
<file path=[Content_Types].xml><?xml version="1.0" encoding="utf-8"?>
<Types xmlns="http://schemas.openxmlformats.org/package/2006/content-types">
  <Override PartName="/xl/worksheets/sheet24.xml" ContentType="application/vnd.openxmlformats-officedocument.spreadsheetml.worksheet+xml"/>
  <Override PartName="/xl/worksheets/sheet35.xml" ContentType="application/vnd.openxmlformats-officedocument.spreadsheetml.worksheet+xml"/>
  <Override PartName="/xl/worksheets/sheet53.xml" ContentType="application/vnd.openxmlformats-officedocument.spreadsheetml.worksheet+xml"/>
  <Override PartName="/xl/worksheets/sheet13.xml" ContentType="application/vnd.openxmlformats-officedocument.spreadsheetml.worksheet+xml"/>
  <Override PartName="/xl/worksheets/sheet42.xml" ContentType="application/vnd.openxmlformats-officedocument.spreadsheetml.worksheet+xml"/>
  <Override PartName="/xl/styles.xml" ContentType="application/vnd.openxmlformats-officedocument.spreadsheetml.styles+xml"/>
  <Override PartName="/xl/charts/chart4.xml" ContentType="application/vnd.openxmlformats-officedocument.drawingml.chart+xml"/>
  <Override PartName="/xl/drawings/drawing6.xml" ContentType="application/vnd.openxmlformats-officedocument.drawing+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worksheets/sheet40.xml" ContentType="application/vnd.openxmlformats-officedocument.spreadsheetml.worksheet+xml"/>
  <Override PartName="/xl/charts/chart2.xml" ContentType="application/vnd.openxmlformats-officedocument.drawingml.chart+xml"/>
  <Override PartName="/xl/drawings/drawing4.xml" ContentType="application/vnd.openxmlformats-officedocument.drawing+xml"/>
  <Override PartName="/xl/comments6.xml" ContentType="application/vnd.openxmlformats-officedocument.spreadsheetml.comments+xml"/>
  <Default Extension="rels" ContentType="application/vnd.openxmlformats-package.relationships+xml"/>
  <Default Extension="xml" ContentType="application/xml"/>
  <Override PartName="/xl/worksheets/sheet5.xml" ContentType="application/vnd.openxmlformats-officedocument.spreadsheetml.worksheet+xml"/>
  <Override PartName="/xl/comments4.xml" ContentType="application/vnd.openxmlformats-officedocument.spreadsheetml.comments+xml"/>
  <Override PartName="/xl/drawings/drawing2.xml" ContentType="application/vnd.openxmlformats-officedocument.drawing+xml"/>
  <Override PartName="/xl/queryTables/queryTable15.xml" ContentType="application/vnd.openxmlformats-officedocument.spreadsheetml.queryTable+xml"/>
  <Override PartName="/xl/worksheets/sheet3.xml" ContentType="application/vnd.openxmlformats-officedocument.spreadsheetml.worksheet+xml"/>
  <Override PartName="/xl/connections.xml" ContentType="application/vnd.openxmlformats-officedocument.spreadsheetml.connections+xml"/>
  <Override PartName="/xl/comments2.xml" ContentType="application/vnd.openxmlformats-officedocument.spreadsheetml.comments+xml"/>
  <Override PartName="/xl/queryTables/queryTable13.xml" ContentType="application/vnd.openxmlformats-officedocument.spreadsheetml.queryTable+xml"/>
  <Override PartName="/xl/worksheets/sheet1.xml" ContentType="application/vnd.openxmlformats-officedocument.spreadsheetml.worksheet+xml"/>
  <Override PartName="/xl/chartsheets/sheet4.xml" ContentType="application/vnd.openxmlformats-officedocument.spreadsheetml.chartsheet+xml"/>
  <Override PartName="/xl/worksheets/sheet49.xml" ContentType="application/vnd.openxmlformats-officedocument.spreadsheetml.worksheet+xml"/>
  <Override PartName="/xl/queryTables/queryTable8.xml" ContentType="application/vnd.openxmlformats-officedocument.spreadsheetml.queryTable+xml"/>
  <Override PartName="/xl/queryTables/queryTable11.xml" ContentType="application/vnd.openxmlformats-officedocument.spreadsheetml.queryTable+xml"/>
  <Override PartName="/xl/worksheets/sheet29.xml" ContentType="application/vnd.openxmlformats-officedocument.spreadsheetml.worksheet+xml"/>
  <Override PartName="/xl/worksheets/sheet38.xml" ContentType="application/vnd.openxmlformats-officedocument.spreadsheetml.worksheet+xml"/>
  <Override PartName="/xl/chartsheets/sheet2.xml" ContentType="application/vnd.openxmlformats-officedocument.spreadsheetml.chartsheet+xml"/>
  <Override PartName="/xl/worksheets/sheet47.xml" ContentType="application/vnd.openxmlformats-officedocument.spreadsheetml.worksheet+xml"/>
  <Override PartName="/xl/sharedStrings.xml" ContentType="application/vnd.openxmlformats-officedocument.spreadsheetml.sharedStrings+xml"/>
  <Override PartName="/xl/queryTables/queryTable6.xml" ContentType="application/vnd.openxmlformats-officedocument.spreadsheetml.queryTable+xml"/>
  <Override PartName="/xl/worksheets/sheet18.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45.xml" ContentType="application/vnd.openxmlformats-officedocument.spreadsheetml.worksheet+xml"/>
  <Override PartName="/xl/queryTables/queryTable4.xml" ContentType="application/vnd.openxmlformats-officedocument.spreadsheetml.queryTable+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43.xml" ContentType="application/vnd.openxmlformats-officedocument.spreadsheetml.worksheet+xml"/>
  <Override PartName="/xl/worksheets/sheet52.xml" ContentType="application/vnd.openxmlformats-officedocument.spreadsheetml.worksheet+xml"/>
  <Default Extension="bin" ContentType="application/vnd.openxmlformats-officedocument.spreadsheetml.printerSettings"/>
  <Default Extension="png" ContentType="image/png"/>
  <Override PartName="/xl/queryTables/queryTable2.xml" ContentType="application/vnd.openxmlformats-officedocument.spreadsheetml.queryTable+xml"/>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worksheets/sheet50.xml" ContentType="application/vnd.openxmlformats-officedocument.spreadsheetml.worksheet+xml"/>
  <Override PartName="/xl/charts/chart5.xml" ContentType="application/vnd.openxmlformats-officedocument.drawingml.chart+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Override PartName="/xl/charts/chart3.xml" ContentType="application/vnd.openxmlformats-officedocument.drawingml.chart+xml"/>
  <Override PartName="/xl/drawings/drawing5.xml" ContentType="application/vnd.openxmlformats-officedocument.drawing+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comments5.xml" ContentType="application/vnd.openxmlformats-officedocument.spreadsheetml.comments+xml"/>
  <Override PartName="/xl/charts/chart1.xml" ContentType="application/vnd.openxmlformats-officedocument.drawingml.chart+xml"/>
  <Override PartName="/xl/drawings/drawing3.xml" ContentType="application/vnd.openxmlformats-officedocument.drawing+xml"/>
  <Override PartName="/xl/queryTables/queryTable14.xml" ContentType="application/vnd.openxmlformats-officedocument.spreadsheetml.queryTable+xml"/>
  <Override PartName="/docProps/app.xml" ContentType="application/vnd.openxmlformats-officedocument.extended-properties+xml"/>
  <Override PartName="/xl/worksheets/sheet2.xml" ContentType="application/vnd.openxmlformats-officedocument.spreadsheetml.worksheet+xml"/>
  <Override PartName="/xl/drawings/drawing1.xml" ContentType="application/vnd.openxmlformats-officedocument.drawing+xml"/>
  <Override PartName="/xl/comments3.xml" ContentType="application/vnd.openxmlformats-officedocument.spreadsheetml.comments+xml"/>
  <Override PartName="/xl/queryTables/queryTable9.xml" ContentType="application/vnd.openxmlformats-officedocument.spreadsheetml.queryTable+xml"/>
  <Override PartName="/xl/queryTables/queryTable12.xml" ContentType="application/vnd.openxmlformats-officedocument.spreadsheetml.queryTable+xml"/>
  <Override PartName="/xl/chartsheets/sheet5.xml" ContentType="application/vnd.openxmlformats-officedocument.spreadsheetml.chartsheet+xml"/>
  <Default Extension="vml" ContentType="application/vnd.openxmlformats-officedocument.vmlDrawing"/>
  <Override PartName="/xl/comments1.xml" ContentType="application/vnd.openxmlformats-officedocument.spreadsheetml.comments+xml"/>
  <Override PartName="/xl/queryTables/queryTable7.xml" ContentType="application/vnd.openxmlformats-officedocument.spreadsheetml.queryTable+xml"/>
  <Override PartName="/xl/queryTables/queryTable10.xml" ContentType="application/vnd.openxmlformats-officedocument.spreadsheetml.queryTable+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39.xml" ContentType="application/vnd.openxmlformats-officedocument.spreadsheetml.worksheet+xml"/>
  <Override PartName="/xl/chartsheets/sheet3.xml" ContentType="application/vnd.openxmlformats-officedocument.spreadsheetml.chartsheet+xml"/>
  <Override PartName="/xl/worksheets/sheet48.xml" ContentType="application/vnd.openxmlformats-officedocument.spreadsheetml.worksheet+xml"/>
  <Override PartName="/xl/queryTables/queryTable5.xml" ContentType="application/vnd.openxmlformats-officedocument.spreadsheetml.queryTable+xml"/>
  <Override PartName="/xl/worksheets/sheet17.xml" ContentType="application/vnd.openxmlformats-officedocument.spreadsheetml.worksheet+xml"/>
  <Override PartName="/xl/worksheets/sheet26.xml" ContentType="application/vnd.openxmlformats-officedocument.spreadsheetml.worksheet+xml"/>
  <Override PartName="/xl/worksheets/sheet37.xml" ContentType="application/vnd.openxmlformats-officedocument.spreadsheetml.worksheet+xml"/>
  <Override PartName="/xl/chartsheets/sheet1.xml" ContentType="application/vnd.openxmlformats-officedocument.spreadsheetml.chartsheet+xml"/>
  <Override PartName="/xl/worksheets/sheet46.xml" ContentType="application/vnd.openxmlformats-officedocument.spreadsheetml.worksheet+xml"/>
  <Override PartName="/xl/queryTables/queryTable3.xml" ContentType="application/vnd.openxmlformats-officedocument.spreadsheetml.queryTable+xml"/>
  <Override PartName="/docProps/core.xml" ContentType="application/vnd.openxmlformats-package.core-properties+xml"/>
  <Override PartName="/xl/worksheets/sheet15.xml" ContentType="application/vnd.openxmlformats-officedocument.spreadsheetml.worksheet+xml"/>
  <Override PartName="/xl/worksheets/sheet44.xml" ContentType="application/vnd.openxmlformats-officedocument.spreadsheetml.worksheet+xml"/>
  <Override PartName="/xl/queryTables/queryTable1.xml" ContentType="application/vnd.openxmlformats-officedocument.spreadsheetml.queryTable+xml"/>
  <Override PartName="/xl/worksheets/sheet9.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51.xml" ContentType="application/vnd.openxmlformats-officedocument.spreadsheetml.worksheet+xml"/>
  <Override PartName="/xl/theme/theme1.xml" ContentType="application/vnd.openxmlformats-officedocument.them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defaultThemeVersion="124226"/>
  <bookViews>
    <workbookView xWindow="120" yWindow="120" windowWidth="12120" windowHeight="8220" tabRatio="586"/>
  </bookViews>
  <sheets>
    <sheet name="COVER" sheetId="66" r:id="rId1"/>
    <sheet name=" INDEX" sheetId="53" r:id="rId2"/>
    <sheet name="APP" sheetId="67" r:id="rId3"/>
    <sheet name="General Information" sheetId="62" r:id="rId4"/>
    <sheet name="Statement of Financial Position" sheetId="4" r:id="rId5"/>
    <sheet name="Statement of Financial Performa" sheetId="5" r:id="rId6"/>
    <sheet name="Cash Flow Statement" sheetId="7" r:id="rId7"/>
    <sheet name="Changes in Net assets" sheetId="6" r:id="rId8"/>
    <sheet name="Note 1 Accounting Policy" sheetId="52" r:id="rId9"/>
    <sheet name="Notes 2 - 9" sheetId="9" r:id="rId10"/>
    <sheet name="Note 10" sheetId="10" r:id="rId11"/>
    <sheet name="Nota 10a" sheetId="69" r:id="rId12"/>
    <sheet name="Note 10b" sheetId="70" r:id="rId13"/>
    <sheet name="Note 11-14" sheetId="11" r:id="rId14"/>
    <sheet name="Note 15" sheetId="12" r:id="rId15"/>
    <sheet name="Note 15a" sheetId="81" r:id="rId16"/>
    <sheet name="Note 16, 17" sheetId="14" r:id="rId17"/>
    <sheet name="Notes 18 - 35" sheetId="16" r:id="rId18"/>
    <sheet name="Note 35 (Continue..) - 36" sheetId="28" r:id="rId19"/>
    <sheet name="Note 37-38" sheetId="55" r:id="rId20"/>
    <sheet name="Note 39-46" sheetId="40" r:id="rId21"/>
    <sheet name="Appendix A" sheetId="30" r:id="rId22"/>
    <sheet name="Appendix B" sheetId="31" r:id="rId23"/>
    <sheet name="App B(1)" sheetId="71" r:id="rId24"/>
    <sheet name="App B (2)" sheetId="74" r:id="rId25"/>
    <sheet name="Appendix C" sheetId="32" r:id="rId26"/>
    <sheet name="App C (1)" sheetId="73" r:id="rId27"/>
    <sheet name="App C (2)" sheetId="72" r:id="rId28"/>
    <sheet name="Appendix D" sheetId="33" r:id="rId29"/>
    <sheet name="Appendix E(1)" sheetId="34" r:id="rId30"/>
    <sheet name="Appendix E(1)a" sheetId="79" r:id="rId31"/>
    <sheet name="Appendix E(2)" sheetId="35" r:id="rId32"/>
    <sheet name="Appendix F" sheetId="68" r:id="rId33"/>
    <sheet name="Appendix G" sheetId="36" r:id="rId34"/>
    <sheet name="main TB" sheetId="58" r:id="rId35"/>
    <sheet name="TRAIL BALANCE" sheetId="59" r:id="rId36"/>
    <sheet name="EMPLOYEE COST 0910" sheetId="77" r:id="rId37"/>
    <sheet name="WORK PAPER APP0910 E (1)" sheetId="76" r:id="rId38"/>
    <sheet name="WORK PAPER STATE COMPARITIVE" sheetId="80" r:id="rId39"/>
    <sheet name="WORK PAPER INCOME" sheetId="78" r:id="rId40"/>
    <sheet name="Note 48" sheetId="61" r:id="rId41"/>
    <sheet name="Financial Report p13" sheetId="1" r:id="rId42"/>
    <sheet name="Round up links" sheetId="44" r:id="rId43"/>
    <sheet name="Operating revenue Graph" sheetId="45" r:id="rId44"/>
    <sheet name="Operating Expenditure Graph" sheetId="46" r:id="rId45"/>
    <sheet name="Consumer debtors Graph" sheetId="47" r:id="rId46"/>
    <sheet name="Collection Rates Graph" sheetId="48" r:id="rId47"/>
    <sheet name="Capital exp by Asset Type" sheetId="49" r:id="rId48"/>
    <sheet name="Graphs - Linked " sheetId="2" r:id="rId49"/>
    <sheet name="Capital Exp by Asset Type " sheetId="42" r:id="rId50"/>
    <sheet name="Collection Rates" sheetId="43" r:id="rId51"/>
    <sheet name="Capital Expenditure &amp; Financing" sheetId="37" r:id="rId52"/>
    <sheet name="Roll Overs Capital Budget" sheetId="38" r:id="rId53"/>
    <sheet name="Accounting Ratios" sheetId="3" r:id="rId54"/>
    <sheet name="work paper employee cost 0809" sheetId="65" r:id="rId55"/>
    <sheet name="Sheet1" sheetId="56" r:id="rId56"/>
    <sheet name="work paper app0809 E(1)" sheetId="63" r:id="rId57"/>
    <sheet name="gen ext 0708" sheetId="82" r:id="rId58"/>
  </sheets>
  <definedNames>
    <definedName name="_xlnm._FilterDatabase" localSheetId="35" hidden="1">'TRAIL BALANCE'!$A$1:$G$816</definedName>
    <definedName name="_Toc203654196" localSheetId="8">'Note 1 Accounting Policy'!$B$4</definedName>
    <definedName name="_xlnm.Print_Area" localSheetId="1">' INDEX'!$A$1:$D$77</definedName>
    <definedName name="_xlnm.Print_Area" localSheetId="2">APP!$A$1:$J$43</definedName>
    <definedName name="_xlnm.Print_Area" localSheetId="24">'App B (2)'!$A$1:$N$37</definedName>
    <definedName name="_xlnm.Print_Area" localSheetId="23">'App B(1)'!$A$1:$P$37</definedName>
    <definedName name="_xlnm.Print_Area" localSheetId="26">'App C (1)'!$A$1:$S$59</definedName>
    <definedName name="_xlnm.Print_Area" localSheetId="27">'App C (2)'!$A$1:$P$59</definedName>
    <definedName name="_xlnm.Print_Area" localSheetId="21">'Appendix A'!$A$1:$L$36</definedName>
    <definedName name="_xlnm.Print_Area" localSheetId="22">'Appendix B'!$A$1:$P$37</definedName>
    <definedName name="_xlnm.Print_Area" localSheetId="25">'Appendix C'!$A$1:$R$59</definedName>
    <definedName name="_xlnm.Print_Area" localSheetId="28">'Appendix D'!$A$1:$X$81</definedName>
    <definedName name="_xlnm.Print_Area" localSheetId="29">'Appendix E(1)'!$A$1:$F$53</definedName>
    <definedName name="_xlnm.Print_Area" localSheetId="30">'Appendix E(1)a'!$A$1:$J$50</definedName>
    <definedName name="_xlnm.Print_Area" localSheetId="31">'Appendix E(2)'!$A$1:$H$32</definedName>
    <definedName name="_xlnm.Print_Area" localSheetId="32">'Appendix F'!$A$1:$Q$16</definedName>
    <definedName name="_xlnm.Print_Area" localSheetId="33">'Appendix G'!$A$1:$E$73</definedName>
    <definedName name="_xlnm.Print_Area" localSheetId="6">'Cash Flow Statement'!$A$1:$I$52</definedName>
    <definedName name="_xlnm.Print_Area" localSheetId="7">'Changes in Net assets'!$A$1:$D$54</definedName>
    <definedName name="_xlnm.Print_Area" localSheetId="0">COVER!$B$1:$D$40</definedName>
    <definedName name="_xlnm.Print_Area" localSheetId="3">'General Information'!$A$1:$E$59</definedName>
    <definedName name="_xlnm.Print_Area" localSheetId="34">'main TB'!$A$1:$O$217</definedName>
    <definedName name="_xlnm.Print_Area" localSheetId="11">'Nota 10a'!$A$1:$I$46</definedName>
    <definedName name="_xlnm.Print_Area" localSheetId="8">'Note 1 Accounting Policy'!$A$1:$D$461</definedName>
    <definedName name="_xlnm.Print_Area" localSheetId="10">'Note 10'!$A$1:$I$42</definedName>
    <definedName name="_xlnm.Print_Area" localSheetId="12">'Note 10b'!$A$1:$H$20</definedName>
    <definedName name="_xlnm.Print_Area" localSheetId="13">'Note 11-14'!$A$1:$K$91</definedName>
    <definedName name="_xlnm.Print_Area" localSheetId="14">'Note 15'!$A$1:$F$189</definedName>
    <definedName name="_xlnm.Print_Area" localSheetId="15">'Note 15a'!$A$1:$G$42</definedName>
    <definedName name="_xlnm.Print_Area" localSheetId="16">'Note 16, 17'!$A$1:$K$123</definedName>
    <definedName name="_xlnm.Print_Area" localSheetId="18">'Note 35 (Continue..) - 36'!$A$1:$I$50</definedName>
    <definedName name="_xlnm.Print_Area" localSheetId="19">'Note 37-38'!$A$1:$J$81</definedName>
    <definedName name="_xlnm.Print_Area" localSheetId="20">'Note 39-46'!$A$1:$L$385</definedName>
    <definedName name="_xlnm.Print_Area" localSheetId="40">'Note 48'!$A$1:$F$162</definedName>
    <definedName name="_xlnm.Print_Area" localSheetId="17">'Notes 18 - 35'!$A$1:$K$490</definedName>
    <definedName name="_xlnm.Print_Area" localSheetId="9">'Notes 2 - 9'!$A$1:$J$165</definedName>
    <definedName name="_xlnm.Print_Area" localSheetId="5">'Statement of Financial Performa'!$C$1:$H$62</definedName>
    <definedName name="_xlnm.Print_Area" localSheetId="4">'Statement of Financial Position'!$A$1:$E$48</definedName>
    <definedName name="_xlnm.Print_Area" localSheetId="35">'TRAIL BALANCE'!$A$1:$W$811</definedName>
    <definedName name="_xlnm.Print_Area" localSheetId="56">'work paper app0809 E(1)'!$A$1:$J$691</definedName>
    <definedName name="_xlnm.Print_Titles" localSheetId="34">'main TB'!$B:$E,'main TB'!$1:$4</definedName>
    <definedName name="_xlnm.Print_Titles" localSheetId="8">'Note 1 Accounting Policy'!$1:$2</definedName>
    <definedName name="_xlnm.Print_Titles" localSheetId="13">'Note 11-14'!$1:$2</definedName>
    <definedName name="_xlnm.Print_Titles" localSheetId="14">'Note 15'!$1:$2</definedName>
    <definedName name="_xlnm.Print_Titles" localSheetId="16">'Note 16, 17'!$1:$2</definedName>
    <definedName name="_xlnm.Print_Titles" localSheetId="18">'Note 35 (Continue..) - 36'!$1:$2</definedName>
    <definedName name="_xlnm.Print_Titles" localSheetId="19">'Note 37-38'!$1:$2</definedName>
    <definedName name="_xlnm.Print_Titles" localSheetId="40">'Note 48'!$1:$11</definedName>
    <definedName name="_xlnm.Print_Titles" localSheetId="17">'Notes 18 - 35'!$1:$2</definedName>
    <definedName name="_xlnm.Print_Titles" localSheetId="9">'Notes 2 - 9'!$1:$2</definedName>
    <definedName name="_xlnm.Print_Titles" localSheetId="35">'TRAIL BALANCE'!$1:$1</definedName>
    <definedName name="Query_from_ProMIS" localSheetId="57">'gen ext 0708'!$A$1:$E$175</definedName>
    <definedName name="Query_from_ProMIS" localSheetId="34">'main TB'!$A$4:$J$218</definedName>
    <definedName name="Query_from_ProMIS" localSheetId="55">Sheet1!$A$1:$F$931</definedName>
    <definedName name="Query_from_ProMIS" localSheetId="35">'TRAIL BALANCE'!$A$1:$F$933</definedName>
    <definedName name="Query_from_ProMIS" localSheetId="56">'work paper app0809 E(1)'!$A$1:$H$747</definedName>
    <definedName name="Query_from_ProMIS" localSheetId="54">'work paper employee cost 0809'!$A$1:$H$247</definedName>
    <definedName name="Query_from_ProMIS" localSheetId="39">'WORK PAPER INCOME'!#REF!</definedName>
    <definedName name="Query_from_ProMIS" localSheetId="38">'WORK PAPER STATE COMPARITIVE'!$A$5:$E$368</definedName>
    <definedName name="Query_from_ProMIS_1" localSheetId="57">'gen ext 0708'!$A$1:$E$175</definedName>
    <definedName name="Query_from_ProMIS_1" localSheetId="55">Sheet1!$A$1:$F$943</definedName>
    <definedName name="Query_from_ProMIS_1" localSheetId="35">'TRAIL BALANCE'!$A$1:$F$945</definedName>
    <definedName name="Query_from_ProMIS_1" localSheetId="56">'work paper app0809 E(1)'!$A$1:$H$747</definedName>
    <definedName name="Query_from_ProMIS_1" localSheetId="54">'work paper employee cost 0809'!$A$1:$H$247</definedName>
    <definedName name="Query_from_ProMIS_1" localSheetId="39">'WORK PAPER INCOME'!#REF!</definedName>
    <definedName name="Query_from_ProMIS_1" localSheetId="38">'WORK PAPER STATE COMPARITIVE'!$A$5:$E$380</definedName>
    <definedName name="Query_from_ProMIS_2" localSheetId="38">'WORK PAPER STATE COMPARITIVE'!$M$278:$R$571</definedName>
    <definedName name="Query_from_ProMIS_3" localSheetId="38">'WORK PAPER STATE COMPARITIVE'!$M$278:$R$571</definedName>
  </definedNames>
  <calcPr calcId="124519"/>
</workbook>
</file>

<file path=xl/calcChain.xml><?xml version="1.0" encoding="utf-8"?>
<calcChain xmlns="http://schemas.openxmlformats.org/spreadsheetml/2006/main">
  <c r="I9" i="55"/>
  <c r="G9"/>
  <c r="D48" i="9"/>
  <c r="F82" i="11"/>
  <c r="D328" i="16"/>
  <c r="D82" i="11" l="1"/>
  <c r="L46" i="4" l="1"/>
  <c r="L44"/>
  <c r="L41"/>
  <c r="L38"/>
  <c r="L37"/>
  <c r="L35"/>
  <c r="L30"/>
  <c r="L29"/>
  <c r="L27"/>
  <c r="L19"/>
  <c r="L18"/>
  <c r="L15"/>
  <c r="K39"/>
  <c r="K31"/>
  <c r="K47" s="1"/>
  <c r="K28"/>
  <c r="K20"/>
  <c r="K16"/>
  <c r="K9"/>
  <c r="O60" i="5"/>
  <c r="O59"/>
  <c r="O57"/>
  <c r="O55"/>
  <c r="O53"/>
  <c r="O52"/>
  <c r="O42"/>
  <c r="O36"/>
  <c r="O35"/>
  <c r="O34"/>
  <c r="O33"/>
  <c r="O31"/>
  <c r="O28"/>
  <c r="O27"/>
  <c r="O20"/>
  <c r="O17"/>
  <c r="O16"/>
  <c r="N26"/>
  <c r="N51"/>
  <c r="N56" s="1"/>
  <c r="G189" i="40"/>
  <c r="D189"/>
  <c r="D179"/>
  <c r="N32" i="5" l="1"/>
  <c r="I47" i="40"/>
  <c r="I46"/>
  <c r="I48" s="1"/>
  <c r="I41"/>
  <c r="I40"/>
  <c r="I42" s="1"/>
  <c r="H13" i="5"/>
  <c r="F15"/>
  <c r="O15" s="1"/>
  <c r="H15"/>
  <c r="J15"/>
  <c r="F18"/>
  <c r="O18" s="1"/>
  <c r="H18"/>
  <c r="J18"/>
  <c r="F19"/>
  <c r="O19" s="1"/>
  <c r="H19"/>
  <c r="J19"/>
  <c r="H20"/>
  <c r="J20"/>
  <c r="F21"/>
  <c r="O21" s="1"/>
  <c r="H21"/>
  <c r="F25"/>
  <c r="O25" s="1"/>
  <c r="H25"/>
  <c r="F29"/>
  <c r="O29" s="1"/>
  <c r="F38"/>
  <c r="O38" s="1"/>
  <c r="F39"/>
  <c r="O39" s="1"/>
  <c r="H39"/>
  <c r="J39"/>
  <c r="H40"/>
  <c r="J40"/>
  <c r="J41"/>
  <c r="F43"/>
  <c r="O43" s="1"/>
  <c r="H43"/>
  <c r="J43"/>
  <c r="H44"/>
  <c r="J44"/>
  <c r="H45"/>
  <c r="H47"/>
  <c r="J47"/>
  <c r="F48"/>
  <c r="O48" s="1"/>
  <c r="F50"/>
  <c r="O50" s="1"/>
  <c r="H50"/>
  <c r="D116" i="9"/>
  <c r="D330" i="16"/>
  <c r="H116" i="9"/>
  <c r="H46" i="5" s="1"/>
  <c r="D219" i="40"/>
  <c r="G219"/>
  <c r="D227"/>
  <c r="G227"/>
  <c r="N58" i="5" l="1"/>
  <c r="D203" i="40"/>
  <c r="G48"/>
  <c r="F48"/>
  <c r="D48"/>
  <c r="G42"/>
  <c r="F42"/>
  <c r="D42"/>
  <c r="O26" i="58"/>
  <c r="M26"/>
  <c r="R25" i="31"/>
  <c r="N61" i="5" l="1"/>
  <c r="D24" i="7"/>
  <c r="D16" i="70"/>
  <c r="C25" i="32"/>
  <c r="C24" i="31"/>
  <c r="C17" i="32" l="1"/>
  <c r="C23" i="31"/>
  <c r="M168" i="58"/>
  <c r="C66" i="36"/>
  <c r="P141" i="9"/>
  <c r="N141"/>
  <c r="O153" i="58"/>
  <c r="E323" i="76"/>
  <c r="S324" i="59"/>
  <c r="D110" i="16" l="1"/>
  <c r="D120" i="14"/>
  <c r="D116"/>
  <c r="P128" i="9" l="1"/>
  <c r="P130"/>
  <c r="P145"/>
  <c r="P147"/>
  <c r="D39" i="7"/>
  <c r="D378" i="16" s="1"/>
  <c r="N17" i="14"/>
  <c r="N19"/>
  <c r="D124" i="9"/>
  <c r="N10" i="14" l="1"/>
  <c r="M42" i="5" l="1"/>
  <c r="N145" i="9" l="1"/>
  <c r="N130"/>
  <c r="N128"/>
  <c r="L19" i="14"/>
  <c r="J38" i="4" l="1"/>
  <c r="J27"/>
  <c r="D332" i="16" l="1"/>
  <c r="D47" i="6" l="1"/>
  <c r="C50"/>
  <c r="C46"/>
  <c r="C49"/>
  <c r="D49" s="1"/>
  <c r="C33" i="4"/>
  <c r="B25" i="34"/>
  <c r="B9"/>
  <c r="B24"/>
  <c r="J33" i="4" l="1"/>
  <c r="L33"/>
  <c r="E331" i="76"/>
  <c r="D334" i="16" l="1"/>
  <c r="D329"/>
  <c r="D321" l="1"/>
  <c r="D20" i="11"/>
  <c r="D399" i="16"/>
  <c r="D398" l="1"/>
  <c r="D403"/>
  <c r="D417" l="1"/>
  <c r="D46" i="6"/>
  <c r="D50"/>
  <c r="D10" i="69"/>
  <c r="S24" i="58"/>
  <c r="H25" i="69"/>
  <c r="H23"/>
  <c r="H21"/>
  <c r="K10" i="73"/>
  <c r="E239" i="76"/>
  <c r="N12" i="73"/>
  <c r="K26" i="71"/>
  <c r="K36" s="1"/>
  <c r="G12" i="73" l="1"/>
  <c r="D10"/>
  <c r="M29" i="71"/>
  <c r="D26"/>
  <c r="D36" s="1"/>
  <c r="G29"/>
  <c r="G31" i="31" l="1"/>
  <c r="F24"/>
  <c r="G29"/>
  <c r="M49" i="32" l="1"/>
  <c r="M44"/>
  <c r="M42"/>
  <c r="M39"/>
  <c r="M38"/>
  <c r="M37"/>
  <c r="M36"/>
  <c r="M34"/>
  <c r="M33"/>
  <c r="M25"/>
  <c r="M23"/>
  <c r="M22"/>
  <c r="M21"/>
  <c r="M20"/>
  <c r="M19"/>
  <c r="M18"/>
  <c r="M17"/>
  <c r="M16"/>
  <c r="M15"/>
  <c r="M14"/>
  <c r="M13"/>
  <c r="M12"/>
  <c r="M11"/>
  <c r="M9"/>
  <c r="K8"/>
  <c r="K10"/>
  <c r="K24"/>
  <c r="K31"/>
  <c r="K35"/>
  <c r="K40"/>
  <c r="K43"/>
  <c r="K48"/>
  <c r="K56"/>
  <c r="K59"/>
  <c r="D10"/>
  <c r="D59" s="1"/>
  <c r="G12"/>
  <c r="D66" i="40"/>
  <c r="D64"/>
  <c r="D65"/>
  <c r="Q55" i="9"/>
  <c r="Q51"/>
  <c r="P40"/>
  <c r="P42" s="1"/>
  <c r="H15" i="69"/>
  <c r="M34" i="31" l="1"/>
  <c r="M33"/>
  <c r="M32"/>
  <c r="M31"/>
  <c r="M30"/>
  <c r="M29"/>
  <c r="M28"/>
  <c r="M24"/>
  <c r="M23"/>
  <c r="M19"/>
  <c r="M18"/>
  <c r="M17"/>
  <c r="M16"/>
  <c r="M15"/>
  <c r="M14"/>
  <c r="M13"/>
  <c r="M12"/>
  <c r="M11"/>
  <c r="M10"/>
  <c r="M9"/>
  <c r="K26"/>
  <c r="F18" i="10" s="1"/>
  <c r="K8" i="31"/>
  <c r="D18" i="10" s="1"/>
  <c r="J27" i="31"/>
  <c r="M27" s="1"/>
  <c r="J22"/>
  <c r="M22" s="1"/>
  <c r="K21"/>
  <c r="E18" i="10" s="1"/>
  <c r="D26" i="31"/>
  <c r="D36" s="1"/>
  <c r="E350" i="76"/>
  <c r="S112" i="59"/>
  <c r="E381" i="76"/>
  <c r="S365" i="59"/>
  <c r="S325"/>
  <c r="E421" i="76"/>
  <c r="M169" i="58"/>
  <c r="M205"/>
  <c r="S628" i="59"/>
  <c r="W628" s="1"/>
  <c r="D40" i="14"/>
  <c r="D308" i="16"/>
  <c r="G327" i="76"/>
  <c r="G326"/>
  <c r="G324"/>
  <c r="G323"/>
  <c r="G311"/>
  <c r="G310"/>
  <c r="G296"/>
  <c r="G295"/>
  <c r="G294"/>
  <c r="G293"/>
  <c r="G292"/>
  <c r="W1008" i="59"/>
  <c r="W1007"/>
  <c r="W1006"/>
  <c r="W1005"/>
  <c r="W1004"/>
  <c r="W1003"/>
  <c r="W1002"/>
  <c r="W1001"/>
  <c r="W1000"/>
  <c r="W999"/>
  <c r="W998"/>
  <c r="W997"/>
  <c r="W996"/>
  <c r="W995"/>
  <c r="W994"/>
  <c r="W993"/>
  <c r="W992"/>
  <c r="W991"/>
  <c r="W990"/>
  <c r="W989"/>
  <c r="W988"/>
  <c r="W987"/>
  <c r="W986"/>
  <c r="W985"/>
  <c r="W984"/>
  <c r="W983"/>
  <c r="W982"/>
  <c r="W981"/>
  <c r="W980"/>
  <c r="W979"/>
  <c r="W978"/>
  <c r="W977"/>
  <c r="W976"/>
  <c r="W975"/>
  <c r="W974"/>
  <c r="W973"/>
  <c r="W972"/>
  <c r="W971"/>
  <c r="W970"/>
  <c r="W969"/>
  <c r="W968"/>
  <c r="W967"/>
  <c r="W966"/>
  <c r="W965"/>
  <c r="W964"/>
  <c r="W963"/>
  <c r="W962"/>
  <c r="W961"/>
  <c r="W960"/>
  <c r="W959"/>
  <c r="W958"/>
  <c r="W957"/>
  <c r="W956"/>
  <c r="W955"/>
  <c r="W954"/>
  <c r="W953"/>
  <c r="W952"/>
  <c r="W951"/>
  <c r="W950"/>
  <c r="W949"/>
  <c r="W948"/>
  <c r="W947"/>
  <c r="W946"/>
  <c r="W945"/>
  <c r="W944"/>
  <c r="W943"/>
  <c r="W942"/>
  <c r="W941"/>
  <c r="W940"/>
  <c r="W939"/>
  <c r="W938"/>
  <c r="W937"/>
  <c r="W936"/>
  <c r="W935"/>
  <c r="W934"/>
  <c r="W933"/>
  <c r="W932"/>
  <c r="W931"/>
  <c r="W930"/>
  <c r="W929"/>
  <c r="W928"/>
  <c r="W927"/>
  <c r="W926"/>
  <c r="W925"/>
  <c r="W924"/>
  <c r="W923"/>
  <c r="W922"/>
  <c r="W921"/>
  <c r="W920"/>
  <c r="W919"/>
  <c r="W918"/>
  <c r="W917"/>
  <c r="W916"/>
  <c r="W915"/>
  <c r="W914"/>
  <c r="W913"/>
  <c r="W912"/>
  <c r="W911"/>
  <c r="W910"/>
  <c r="W909"/>
  <c r="W908"/>
  <c r="W907"/>
  <c r="W906"/>
  <c r="W905"/>
  <c r="W904"/>
  <c r="W903"/>
  <c r="W902"/>
  <c r="W901"/>
  <c r="W900"/>
  <c r="W899"/>
  <c r="W898"/>
  <c r="W897"/>
  <c r="W896"/>
  <c r="W895"/>
  <c r="W894"/>
  <c r="W893"/>
  <c r="W892"/>
  <c r="W891"/>
  <c r="W890"/>
  <c r="W889"/>
  <c r="W888"/>
  <c r="W887"/>
  <c r="W886"/>
  <c r="W885"/>
  <c r="W884"/>
  <c r="W883"/>
  <c r="W882"/>
  <c r="W881"/>
  <c r="W880"/>
  <c r="W879"/>
  <c r="W878"/>
  <c r="W877"/>
  <c r="W876"/>
  <c r="W875"/>
  <c r="W874"/>
  <c r="W873"/>
  <c r="W872"/>
  <c r="W871"/>
  <c r="W870"/>
  <c r="W869"/>
  <c r="W868"/>
  <c r="W867"/>
  <c r="W866"/>
  <c r="W865"/>
  <c r="W864"/>
  <c r="W863"/>
  <c r="W862"/>
  <c r="W861"/>
  <c r="W860"/>
  <c r="W859"/>
  <c r="W858"/>
  <c r="W857"/>
  <c r="W856"/>
  <c r="W855"/>
  <c r="W854"/>
  <c r="W853"/>
  <c r="W852"/>
  <c r="W851"/>
  <c r="W850"/>
  <c r="W849"/>
  <c r="W848"/>
  <c r="W847"/>
  <c r="W846"/>
  <c r="W845"/>
  <c r="W844"/>
  <c r="W843"/>
  <c r="W842"/>
  <c r="W841"/>
  <c r="W840"/>
  <c r="W839"/>
  <c r="W838"/>
  <c r="W837"/>
  <c r="W836"/>
  <c r="W835"/>
  <c r="W834"/>
  <c r="W833"/>
  <c r="W832"/>
  <c r="W831"/>
  <c r="W830"/>
  <c r="W829"/>
  <c r="W828"/>
  <c r="W827"/>
  <c r="W826"/>
  <c r="W825"/>
  <c r="W824"/>
  <c r="W823"/>
  <c r="W822"/>
  <c r="W821"/>
  <c r="W820"/>
  <c r="W819"/>
  <c r="W818"/>
  <c r="W817"/>
  <c r="W816"/>
  <c r="W815"/>
  <c r="W814"/>
  <c r="W813"/>
  <c r="W812"/>
  <c r="W809"/>
  <c r="W808"/>
  <c r="W807"/>
  <c r="W806"/>
  <c r="W805"/>
  <c r="W804"/>
  <c r="W803"/>
  <c r="W802"/>
  <c r="W801"/>
  <c r="W800"/>
  <c r="W799"/>
  <c r="W798"/>
  <c r="W797"/>
  <c r="W796"/>
  <c r="W795"/>
  <c r="W794"/>
  <c r="W793"/>
  <c r="W792"/>
  <c r="W791"/>
  <c r="W790"/>
  <c r="W789"/>
  <c r="W788"/>
  <c r="W787"/>
  <c r="W786"/>
  <c r="W785"/>
  <c r="W784"/>
  <c r="W783"/>
  <c r="W782"/>
  <c r="W781"/>
  <c r="W780"/>
  <c r="W779"/>
  <c r="W778"/>
  <c r="W777"/>
  <c r="W776"/>
  <c r="W775"/>
  <c r="W774"/>
  <c r="W773"/>
  <c r="W772"/>
  <c r="W771"/>
  <c r="W770"/>
  <c r="W769"/>
  <c r="W767"/>
  <c r="W766"/>
  <c r="W765"/>
  <c r="W764"/>
  <c r="W762"/>
  <c r="W761"/>
  <c r="W760"/>
  <c r="W759"/>
  <c r="W758"/>
  <c r="W757"/>
  <c r="W756"/>
  <c r="W755"/>
  <c r="W754"/>
  <c r="W753"/>
  <c r="W752"/>
  <c r="W751"/>
  <c r="W750"/>
  <c r="W749"/>
  <c r="W748"/>
  <c r="W747"/>
  <c r="W746"/>
  <c r="W745"/>
  <c r="W744"/>
  <c r="W742"/>
  <c r="W741"/>
  <c r="W740"/>
  <c r="W739"/>
  <c r="W738"/>
  <c r="W737"/>
  <c r="W736"/>
  <c r="W735"/>
  <c r="W734"/>
  <c r="W732"/>
  <c r="W731"/>
  <c r="W730"/>
  <c r="W729"/>
  <c r="W728"/>
  <c r="W727"/>
  <c r="W726"/>
  <c r="W725"/>
  <c r="W724"/>
  <c r="W723"/>
  <c r="W722"/>
  <c r="W721"/>
  <c r="W720"/>
  <c r="W719"/>
  <c r="W718"/>
  <c r="W717"/>
  <c r="W716"/>
  <c r="W715"/>
  <c r="W714"/>
  <c r="W712"/>
  <c r="W711"/>
  <c r="W710"/>
  <c r="W709"/>
  <c r="W708"/>
  <c r="W707"/>
  <c r="W705"/>
  <c r="W704"/>
  <c r="W703"/>
  <c r="W702"/>
  <c r="W701"/>
  <c r="W700"/>
  <c r="W699"/>
  <c r="W698"/>
  <c r="W697"/>
  <c r="W696"/>
  <c r="W695"/>
  <c r="W694"/>
  <c r="W693"/>
  <c r="W692"/>
  <c r="W691"/>
  <c r="W690"/>
  <c r="W688"/>
  <c r="W687"/>
  <c r="W686"/>
  <c r="W685"/>
  <c r="W684"/>
  <c r="W683"/>
  <c r="W682"/>
  <c r="W680"/>
  <c r="W679"/>
  <c r="W678"/>
  <c r="W677"/>
  <c r="W676"/>
  <c r="W675"/>
  <c r="W674"/>
  <c r="W673"/>
  <c r="W671"/>
  <c r="W670"/>
  <c r="W669"/>
  <c r="W668"/>
  <c r="W667"/>
  <c r="W666"/>
  <c r="W665"/>
  <c r="W664"/>
  <c r="W663"/>
  <c r="W662"/>
  <c r="W661"/>
  <c r="W660"/>
  <c r="W659"/>
  <c r="W658"/>
  <c r="W657"/>
  <c r="W656"/>
  <c r="W655"/>
  <c r="W654"/>
  <c r="W653"/>
  <c r="W652"/>
  <c r="W651"/>
  <c r="W650"/>
  <c r="W649"/>
  <c r="W648"/>
  <c r="W647"/>
  <c r="W646"/>
  <c r="W645"/>
  <c r="W644"/>
  <c r="W643"/>
  <c r="W642"/>
  <c r="W641"/>
  <c r="W640"/>
  <c r="W639"/>
  <c r="W638"/>
  <c r="W637"/>
  <c r="W636"/>
  <c r="W635"/>
  <c r="W634"/>
  <c r="W633"/>
  <c r="W631"/>
  <c r="W630"/>
  <c r="W629"/>
  <c r="W627"/>
  <c r="W626"/>
  <c r="W625"/>
  <c r="W624"/>
  <c r="W623"/>
  <c r="W622"/>
  <c r="W621"/>
  <c r="W620"/>
  <c r="W618"/>
  <c r="W617"/>
  <c r="W616"/>
  <c r="W615"/>
  <c r="W614"/>
  <c r="W613"/>
  <c r="W612"/>
  <c r="W611"/>
  <c r="W610"/>
  <c r="W609"/>
  <c r="W608"/>
  <c r="W607"/>
  <c r="W606"/>
  <c r="W605"/>
  <c r="W604"/>
  <c r="W603"/>
  <c r="W602"/>
  <c r="W601"/>
  <c r="W600"/>
  <c r="W599"/>
  <c r="W598"/>
  <c r="W597"/>
  <c r="W596"/>
  <c r="W595"/>
  <c r="W593"/>
  <c r="W592"/>
  <c r="W591"/>
  <c r="W589"/>
  <c r="W588"/>
  <c r="W586"/>
  <c r="W585"/>
  <c r="W584"/>
  <c r="W583"/>
  <c r="W582"/>
  <c r="W581"/>
  <c r="W580"/>
  <c r="W579"/>
  <c r="W578"/>
  <c r="W577"/>
  <c r="W576"/>
  <c r="W575"/>
  <c r="W574"/>
  <c r="W573"/>
  <c r="W572"/>
  <c r="W571"/>
  <c r="W570"/>
  <c r="W569"/>
  <c r="W568"/>
  <c r="W567"/>
  <c r="W566"/>
  <c r="W565"/>
  <c r="W564"/>
  <c r="W563"/>
  <c r="W562"/>
  <c r="W561"/>
  <c r="W560"/>
  <c r="W559"/>
  <c r="W558"/>
  <c r="W557"/>
  <c r="W556"/>
  <c r="W555"/>
  <c r="W554"/>
  <c r="W553"/>
  <c r="W552"/>
  <c r="W551"/>
  <c r="W550"/>
  <c r="W548"/>
  <c r="W547"/>
  <c r="W546"/>
  <c r="W545"/>
  <c r="W544"/>
  <c r="W543"/>
  <c r="W542"/>
  <c r="W541"/>
  <c r="W540"/>
  <c r="W539"/>
  <c r="W537"/>
  <c r="W536"/>
  <c r="W535"/>
  <c r="W534"/>
  <c r="W533"/>
  <c r="W532"/>
  <c r="W531"/>
  <c r="W530"/>
  <c r="W529"/>
  <c r="W528"/>
  <c r="W527"/>
  <c r="W526"/>
  <c r="W525"/>
  <c r="W524"/>
  <c r="W523"/>
  <c r="W522"/>
  <c r="W521"/>
  <c r="W520"/>
  <c r="W519"/>
  <c r="W518"/>
  <c r="W517"/>
  <c r="W516"/>
  <c r="W515"/>
  <c r="W514"/>
  <c r="W513"/>
  <c r="W512"/>
  <c r="W511"/>
  <c r="W510"/>
  <c r="W509"/>
  <c r="W508"/>
  <c r="W507"/>
  <c r="W506"/>
  <c r="W505"/>
  <c r="W504"/>
  <c r="W502"/>
  <c r="W501"/>
  <c r="W500"/>
  <c r="W499"/>
  <c r="W498"/>
  <c r="W497"/>
  <c r="W496"/>
  <c r="W495"/>
  <c r="W494"/>
  <c r="W493"/>
  <c r="W492"/>
  <c r="W491"/>
  <c r="W490"/>
  <c r="W489"/>
  <c r="W488"/>
  <c r="W487"/>
  <c r="W486"/>
  <c r="W485"/>
  <c r="W484"/>
  <c r="W483"/>
  <c r="W482"/>
  <c r="W481"/>
  <c r="W480"/>
  <c r="W479"/>
  <c r="W478"/>
  <c r="W477"/>
  <c r="W476"/>
  <c r="W475"/>
  <c r="W474"/>
  <c r="W473"/>
  <c r="W472"/>
  <c r="W471"/>
  <c r="W470"/>
  <c r="W469"/>
  <c r="W467"/>
  <c r="W466"/>
  <c r="W464"/>
  <c r="W463"/>
  <c r="W462"/>
  <c r="W461"/>
  <c r="W460"/>
  <c r="W459"/>
  <c r="W458"/>
  <c r="W457"/>
  <c r="W456"/>
  <c r="W455"/>
  <c r="W454"/>
  <c r="W453"/>
  <c r="W452"/>
  <c r="W451"/>
  <c r="W450"/>
  <c r="W449"/>
  <c r="W448"/>
  <c r="W447"/>
  <c r="W446"/>
  <c r="W445"/>
  <c r="W444"/>
  <c r="W442"/>
  <c r="W441"/>
  <c r="W440"/>
  <c r="W438"/>
  <c r="W437"/>
  <c r="W436"/>
  <c r="W435"/>
  <c r="W434"/>
  <c r="W433"/>
  <c r="W432"/>
  <c r="W431"/>
  <c r="W430"/>
  <c r="W429"/>
  <c r="W428"/>
  <c r="W427"/>
  <c r="W426"/>
  <c r="W425"/>
  <c r="W424"/>
  <c r="W423"/>
  <c r="W422"/>
  <c r="W421"/>
  <c r="W420"/>
  <c r="W419"/>
  <c r="W418"/>
  <c r="W417"/>
  <c r="W416"/>
  <c r="W415"/>
  <c r="W414"/>
  <c r="W413"/>
  <c r="W411"/>
  <c r="W410"/>
  <c r="W408"/>
  <c r="W407"/>
  <c r="W406"/>
  <c r="W405"/>
  <c r="W404"/>
  <c r="W403"/>
  <c r="W402"/>
  <c r="W401"/>
  <c r="W400"/>
  <c r="W399"/>
  <c r="W398"/>
  <c r="W397"/>
  <c r="W396"/>
  <c r="W395"/>
  <c r="W394"/>
  <c r="W393"/>
  <c r="W392"/>
  <c r="W391"/>
  <c r="W390"/>
  <c r="W389"/>
  <c r="W388"/>
  <c r="W387"/>
  <c r="W386"/>
  <c r="W385"/>
  <c r="W384"/>
  <c r="W383"/>
  <c r="W382"/>
  <c r="W381"/>
  <c r="W380"/>
  <c r="W379"/>
  <c r="W378"/>
  <c r="W377"/>
  <c r="W376"/>
  <c r="W375"/>
  <c r="W374"/>
  <c r="W373"/>
  <c r="W371"/>
  <c r="W370"/>
  <c r="W369"/>
  <c r="W368"/>
  <c r="W367"/>
  <c r="W366"/>
  <c r="W365"/>
  <c r="W364"/>
  <c r="W363"/>
  <c r="W362"/>
  <c r="W361"/>
  <c r="W360"/>
  <c r="W359"/>
  <c r="W358"/>
  <c r="W357"/>
  <c r="W356"/>
  <c r="W355"/>
  <c r="W354"/>
  <c r="W353"/>
  <c r="W352"/>
  <c r="W351"/>
  <c r="W350"/>
  <c r="W349"/>
  <c r="W348"/>
  <c r="W347"/>
  <c r="W345"/>
  <c r="W344"/>
  <c r="W343"/>
  <c r="W341"/>
  <c r="W340"/>
  <c r="W339"/>
  <c r="W338"/>
  <c r="W337"/>
  <c r="W336"/>
  <c r="W335"/>
  <c r="W334"/>
  <c r="W333"/>
  <c r="W332"/>
  <c r="W331"/>
  <c r="W330"/>
  <c r="W328"/>
  <c r="W327"/>
  <c r="W326"/>
  <c r="W325"/>
  <c r="W324"/>
  <c r="W323"/>
  <c r="W322"/>
  <c r="W321"/>
  <c r="W320"/>
  <c r="W319"/>
  <c r="W318"/>
  <c r="W317"/>
  <c r="W316"/>
  <c r="W315"/>
  <c r="W314"/>
  <c r="W313"/>
  <c r="W312"/>
  <c r="W311"/>
  <c r="W310"/>
  <c r="W309"/>
  <c r="W308"/>
  <c r="W307"/>
  <c r="W306"/>
  <c r="W305"/>
  <c r="W304"/>
  <c r="W303"/>
  <c r="W302"/>
  <c r="W301"/>
  <c r="W300"/>
  <c r="W299"/>
  <c r="W298"/>
  <c r="W297"/>
  <c r="W296"/>
  <c r="W295"/>
  <c r="W294"/>
  <c r="W293"/>
  <c r="W292"/>
  <c r="W291"/>
  <c r="W290"/>
  <c r="W289"/>
  <c r="W288"/>
  <c r="W287"/>
  <c r="W286"/>
  <c r="W285"/>
  <c r="W284"/>
  <c r="W283"/>
  <c r="W282"/>
  <c r="W281"/>
  <c r="W280"/>
  <c r="W279"/>
  <c r="W278"/>
  <c r="W276"/>
  <c r="W275"/>
  <c r="W274"/>
  <c r="W273"/>
  <c r="W272"/>
  <c r="W271"/>
  <c r="W269"/>
  <c r="W268"/>
  <c r="W267"/>
  <c r="W266"/>
  <c r="W265"/>
  <c r="W264"/>
  <c r="W263"/>
  <c r="W262"/>
  <c r="W261"/>
  <c r="W260"/>
  <c r="W259"/>
  <c r="W258"/>
  <c r="W257"/>
  <c r="W256"/>
  <c r="W255"/>
  <c r="W254"/>
  <c r="W253"/>
  <c r="W252"/>
  <c r="W251"/>
  <c r="W250"/>
  <c r="W249"/>
  <c r="W248"/>
  <c r="W247"/>
  <c r="W245"/>
  <c r="W244"/>
  <c r="W243"/>
  <c r="W242"/>
  <c r="W241"/>
  <c r="W240"/>
  <c r="W239"/>
  <c r="W238"/>
  <c r="W237"/>
  <c r="W236"/>
  <c r="W235"/>
  <c r="W234"/>
  <c r="W233"/>
  <c r="W232"/>
  <c r="W231"/>
  <c r="W230"/>
  <c r="W229"/>
  <c r="W228"/>
  <c r="W227"/>
  <c r="W226"/>
  <c r="W225"/>
  <c r="W224"/>
  <c r="W223"/>
  <c r="W222"/>
  <c r="W221"/>
  <c r="W220"/>
  <c r="W219"/>
  <c r="W217"/>
  <c r="W216"/>
  <c r="W214"/>
  <c r="W213"/>
  <c r="W212"/>
  <c r="W211"/>
  <c r="W210"/>
  <c r="W209"/>
  <c r="W208"/>
  <c r="W207"/>
  <c r="W206"/>
  <c r="W205"/>
  <c r="W204"/>
  <c r="W203"/>
  <c r="W202"/>
  <c r="W200"/>
  <c r="W199"/>
  <c r="W198"/>
  <c r="W197"/>
  <c r="W196"/>
  <c r="W195"/>
  <c r="W194"/>
  <c r="W193"/>
  <c r="W192"/>
  <c r="W191"/>
  <c r="W190"/>
  <c r="W189"/>
  <c r="W188"/>
  <c r="W187"/>
  <c r="W186"/>
  <c r="W185"/>
  <c r="W184"/>
  <c r="W183"/>
  <c r="W182"/>
  <c r="W181"/>
  <c r="W180"/>
  <c r="W179"/>
  <c r="W178"/>
  <c r="W177"/>
  <c r="W176"/>
  <c r="W175"/>
  <c r="W174"/>
  <c r="W173"/>
  <c r="W172"/>
  <c r="W170"/>
  <c r="W169"/>
  <c r="W168"/>
  <c r="W167"/>
  <c r="W166"/>
  <c r="W165"/>
  <c r="W164"/>
  <c r="W163"/>
  <c r="W162"/>
  <c r="W161"/>
  <c r="W160"/>
  <c r="W159"/>
  <c r="W158"/>
  <c r="W156"/>
  <c r="W155"/>
  <c r="W153"/>
  <c r="W152"/>
  <c r="W151"/>
  <c r="W150"/>
  <c r="W149"/>
  <c r="W148"/>
  <c r="W147"/>
  <c r="W146"/>
  <c r="W145"/>
  <c r="W144"/>
  <c r="W143"/>
  <c r="W142"/>
  <c r="W141"/>
  <c r="W139"/>
  <c r="W138"/>
  <c r="W137"/>
  <c r="W136"/>
  <c r="W135"/>
  <c r="W134"/>
  <c r="W133"/>
  <c r="W132"/>
  <c r="W131"/>
  <c r="W130"/>
  <c r="W129"/>
  <c r="W128"/>
  <c r="W127"/>
  <c r="W126"/>
  <c r="W125"/>
  <c r="W124"/>
  <c r="W123"/>
  <c r="W122"/>
  <c r="W120"/>
  <c r="W119"/>
  <c r="W118"/>
  <c r="W117"/>
  <c r="W116"/>
  <c r="W115"/>
  <c r="W114"/>
  <c r="W113"/>
  <c r="W112"/>
  <c r="W111"/>
  <c r="W110"/>
  <c r="W109"/>
  <c r="W108"/>
  <c r="W107"/>
  <c r="W106"/>
  <c r="W105"/>
  <c r="W104"/>
  <c r="W103"/>
  <c r="W102"/>
  <c r="W101"/>
  <c r="W100"/>
  <c r="W99"/>
  <c r="W98"/>
  <c r="W97"/>
  <c r="W96"/>
  <c r="W95"/>
  <c r="W94"/>
  <c r="W93"/>
  <c r="W92"/>
  <c r="W91"/>
  <c r="W89"/>
  <c r="W88"/>
  <c r="W87"/>
  <c r="W86"/>
  <c r="W84"/>
  <c r="W83"/>
  <c r="W82"/>
  <c r="W81"/>
  <c r="W80"/>
  <c r="W79"/>
  <c r="W78"/>
  <c r="W77"/>
  <c r="W76"/>
  <c r="W75"/>
  <c r="W74"/>
  <c r="W73"/>
  <c r="W72"/>
  <c r="W71"/>
  <c r="W70"/>
  <c r="W69"/>
  <c r="W68"/>
  <c r="W67"/>
  <c r="W66"/>
  <c r="W65"/>
  <c r="W64"/>
  <c r="W63"/>
  <c r="W62"/>
  <c r="W61"/>
  <c r="W60"/>
  <c r="W59"/>
  <c r="W58"/>
  <c r="W57"/>
  <c r="W56"/>
  <c r="W55"/>
  <c r="W54"/>
  <c r="W53"/>
  <c r="W52"/>
  <c r="W51"/>
  <c r="W50"/>
  <c r="W49"/>
  <c r="W48"/>
  <c r="W47"/>
  <c r="W46"/>
  <c r="W45"/>
  <c r="W44"/>
  <c r="W43"/>
  <c r="W42"/>
  <c r="W41"/>
  <c r="W40"/>
  <c r="W39"/>
  <c r="W38"/>
  <c r="W37"/>
  <c r="W36"/>
  <c r="W35"/>
  <c r="W34"/>
  <c r="W33"/>
  <c r="W32"/>
  <c r="W31"/>
  <c r="W30"/>
  <c r="W29"/>
  <c r="W28"/>
  <c r="W27"/>
  <c r="W26"/>
  <c r="W25"/>
  <c r="W24"/>
  <c r="W22"/>
  <c r="W21"/>
  <c r="W20"/>
  <c r="W19"/>
  <c r="W18"/>
  <c r="W16"/>
  <c r="W15"/>
  <c r="W14"/>
  <c r="W13"/>
  <c r="W12"/>
  <c r="W11"/>
  <c r="W10"/>
  <c r="W9"/>
  <c r="W8"/>
  <c r="W7"/>
  <c r="W6"/>
  <c r="W5"/>
  <c r="W4"/>
  <c r="W3"/>
  <c r="W2"/>
  <c r="G288" i="76"/>
  <c r="G287"/>
  <c r="G286"/>
  <c r="G285"/>
  <c r="G284"/>
  <c r="G283"/>
  <c r="G282"/>
  <c r="G281"/>
  <c r="G280"/>
  <c r="G279"/>
  <c r="G278"/>
  <c r="G277"/>
  <c r="G276"/>
  <c r="G275"/>
  <c r="G274"/>
  <c r="G273"/>
  <c r="G272"/>
  <c r="G271"/>
  <c r="G270"/>
  <c r="G269"/>
  <c r="G268"/>
  <c r="G267"/>
  <c r="G266"/>
  <c r="G265"/>
  <c r="G264"/>
  <c r="G263"/>
  <c r="G262"/>
  <c r="G261"/>
  <c r="G260"/>
  <c r="G259"/>
  <c r="G258"/>
  <c r="G257"/>
  <c r="G256"/>
  <c r="G255"/>
  <c r="G254"/>
  <c r="G253"/>
  <c r="G252"/>
  <c r="G251"/>
  <c r="G250"/>
  <c r="G249"/>
  <c r="G248"/>
  <c r="G247"/>
  <c r="G246"/>
  <c r="E223"/>
  <c r="F40" i="5" s="1"/>
  <c r="O40" s="1"/>
  <c r="E328" i="76"/>
  <c r="G315"/>
  <c r="E305"/>
  <c r="G305" s="1"/>
  <c r="E242"/>
  <c r="G242" s="1"/>
  <c r="E241"/>
  <c r="G241" s="1"/>
  <c r="E240"/>
  <c r="G240" s="1"/>
  <c r="G239"/>
  <c r="E238"/>
  <c r="G238" s="1"/>
  <c r="E237"/>
  <c r="G237" s="1"/>
  <c r="E236"/>
  <c r="G236" s="1"/>
  <c r="E235"/>
  <c r="G235" s="1"/>
  <c r="E234"/>
  <c r="G234" s="1"/>
  <c r="E233"/>
  <c r="G233" s="1"/>
  <c r="E232"/>
  <c r="G232" s="1"/>
  <c r="E231"/>
  <c r="G231" s="1"/>
  <c r="E230"/>
  <c r="G230" s="1"/>
  <c r="E229"/>
  <c r="G229" s="1"/>
  <c r="E228"/>
  <c r="G228" s="1"/>
  <c r="E227"/>
  <c r="G227" s="1"/>
  <c r="E291"/>
  <c r="G291" s="1"/>
  <c r="H18" i="10" l="1"/>
  <c r="K36" i="31"/>
  <c r="G328" i="76"/>
  <c r="O19" i="58"/>
  <c r="O209"/>
  <c r="O208"/>
  <c r="O158"/>
  <c r="D142" i="9" s="1"/>
  <c r="S619" i="59"/>
  <c r="X80"/>
  <c r="O56" i="9"/>
  <c r="Q209" i="58" l="1"/>
  <c r="D18" i="14"/>
  <c r="N18" s="1"/>
  <c r="D34" i="40"/>
  <c r="L18" i="14" l="1"/>
  <c r="J268" i="16"/>
  <c r="J279"/>
  <c r="J284"/>
  <c r="J307"/>
  <c r="J304"/>
  <c r="J302"/>
  <c r="J301"/>
  <c r="J299"/>
  <c r="J298"/>
  <c r="J303"/>
  <c r="J297"/>
  <c r="J294"/>
  <c r="J292"/>
  <c r="J291"/>
  <c r="J293"/>
  <c r="J289"/>
  <c r="J287"/>
  <c r="J286"/>
  <c r="J283"/>
  <c r="J278"/>
  <c r="J282"/>
  <c r="J281"/>
  <c r="J280"/>
  <c r="J276"/>
  <c r="J265"/>
  <c r="J274"/>
  <c r="J273"/>
  <c r="J272"/>
  <c r="J271"/>
  <c r="J270"/>
  <c r="J267"/>
  <c r="J266"/>
  <c r="J263"/>
  <c r="E176" i="82"/>
  <c r="F286" i="16"/>
  <c r="F304"/>
  <c r="F273"/>
  <c r="F279"/>
  <c r="F298"/>
  <c r="F278"/>
  <c r="F284"/>
  <c r="F275"/>
  <c r="F296"/>
  <c r="F282"/>
  <c r="F308"/>
  <c r="F267"/>
  <c r="F299"/>
  <c r="F277"/>
  <c r="F287"/>
  <c r="F290"/>
  <c r="F300"/>
  <c r="F295"/>
  <c r="F305"/>
  <c r="F281"/>
  <c r="F307"/>
  <c r="F302"/>
  <c r="F301"/>
  <c r="F303"/>
  <c r="F297"/>
  <c r="F294"/>
  <c r="F292"/>
  <c r="F289"/>
  <c r="F283"/>
  <c r="F276"/>
  <c r="F274"/>
  <c r="F293"/>
  <c r="F291"/>
  <c r="F272"/>
  <c r="F271"/>
  <c r="F268"/>
  <c r="F270"/>
  <c r="F266"/>
  <c r="F265"/>
  <c r="F264"/>
  <c r="F263"/>
  <c r="H898" i="56"/>
  <c r="G898"/>
  <c r="F898"/>
  <c r="E898"/>
  <c r="H844"/>
  <c r="G844"/>
  <c r="F844"/>
  <c r="E844"/>
  <c r="H835"/>
  <c r="G835"/>
  <c r="F835"/>
  <c r="E835"/>
  <c r="H814"/>
  <c r="G814"/>
  <c r="F814"/>
  <c r="E814"/>
  <c r="T808"/>
  <c r="V808" s="1"/>
  <c r="S808"/>
  <c r="U808" s="1"/>
  <c r="R808"/>
  <c r="Q808"/>
  <c r="H808"/>
  <c r="G808"/>
  <c r="F808"/>
  <c r="E808"/>
  <c r="I767"/>
  <c r="T766"/>
  <c r="V766" s="1"/>
  <c r="V809" s="1"/>
  <c r="S766"/>
  <c r="U766" s="1"/>
  <c r="R766"/>
  <c r="Q766"/>
  <c r="H766"/>
  <c r="G766"/>
  <c r="F766"/>
  <c r="E766"/>
  <c r="T761"/>
  <c r="V761" s="1"/>
  <c r="S761"/>
  <c r="U761" s="1"/>
  <c r="R761"/>
  <c r="Q761"/>
  <c r="H761"/>
  <c r="G761"/>
  <c r="F761"/>
  <c r="E761"/>
  <c r="T741"/>
  <c r="V741" s="1"/>
  <c r="S741"/>
  <c r="U741" s="1"/>
  <c r="R741"/>
  <c r="Q741"/>
  <c r="H741"/>
  <c r="G741"/>
  <c r="F741"/>
  <c r="E741"/>
  <c r="T731"/>
  <c r="V731" s="1"/>
  <c r="S731"/>
  <c r="U731" s="1"/>
  <c r="R731"/>
  <c r="Q731"/>
  <c r="H731"/>
  <c r="G731"/>
  <c r="F731"/>
  <c r="E731"/>
  <c r="T711"/>
  <c r="V711" s="1"/>
  <c r="S711"/>
  <c r="U711" s="1"/>
  <c r="R711"/>
  <c r="Q711"/>
  <c r="H711"/>
  <c r="G711"/>
  <c r="F711"/>
  <c r="E711"/>
  <c r="T704"/>
  <c r="V704" s="1"/>
  <c r="S704"/>
  <c r="U704" s="1"/>
  <c r="R704"/>
  <c r="Q704"/>
  <c r="H704"/>
  <c r="G704"/>
  <c r="F704"/>
  <c r="E704"/>
  <c r="T687"/>
  <c r="V687" s="1"/>
  <c r="S687"/>
  <c r="U687" s="1"/>
  <c r="R687"/>
  <c r="Q687"/>
  <c r="H687"/>
  <c r="G687"/>
  <c r="F687"/>
  <c r="E687"/>
  <c r="T679"/>
  <c r="S679"/>
  <c r="R679"/>
  <c r="Q679"/>
  <c r="H679"/>
  <c r="G679"/>
  <c r="F679"/>
  <c r="E679"/>
  <c r="T670"/>
  <c r="V670" s="1"/>
  <c r="S670"/>
  <c r="U670" s="1"/>
  <c r="R670"/>
  <c r="Q670"/>
  <c r="H670"/>
  <c r="G670"/>
  <c r="F670"/>
  <c r="E670"/>
  <c r="T630"/>
  <c r="V630" s="1"/>
  <c r="V671" s="1"/>
  <c r="S630"/>
  <c r="U630" s="1"/>
  <c r="U671" s="1"/>
  <c r="R630"/>
  <c r="Q630"/>
  <c r="H630"/>
  <c r="G630"/>
  <c r="F630"/>
  <c r="E630"/>
  <c r="G622"/>
  <c r="T617"/>
  <c r="V617" s="1"/>
  <c r="S617"/>
  <c r="U617" s="1"/>
  <c r="R617"/>
  <c r="Q617"/>
  <c r="H617"/>
  <c r="G617"/>
  <c r="F617"/>
  <c r="E617"/>
  <c r="T592"/>
  <c r="V592" s="1"/>
  <c r="V618" s="1"/>
  <c r="S592"/>
  <c r="R592"/>
  <c r="Q592"/>
  <c r="H592"/>
  <c r="G592"/>
  <c r="F592"/>
  <c r="E592"/>
  <c r="T586"/>
  <c r="V586" s="1"/>
  <c r="S586"/>
  <c r="U586" s="1"/>
  <c r="R586"/>
  <c r="Q586"/>
  <c r="H586"/>
  <c r="G586"/>
  <c r="F586"/>
  <c r="E586"/>
  <c r="T548"/>
  <c r="V548" s="1"/>
  <c r="V587" s="1"/>
  <c r="S548"/>
  <c r="U548" s="1"/>
  <c r="U587" s="1"/>
  <c r="R548"/>
  <c r="Q548"/>
  <c r="H548"/>
  <c r="F548"/>
  <c r="E548"/>
  <c r="G542"/>
  <c r="G548" s="1"/>
  <c r="T537"/>
  <c r="V537" s="1"/>
  <c r="S537"/>
  <c r="U537" s="1"/>
  <c r="R537"/>
  <c r="Q537"/>
  <c r="H537"/>
  <c r="G537"/>
  <c r="F537"/>
  <c r="E537"/>
  <c r="T502"/>
  <c r="V502" s="1"/>
  <c r="S502"/>
  <c r="U502" s="1"/>
  <c r="R502"/>
  <c r="Q502"/>
  <c r="H502"/>
  <c r="G502"/>
  <c r="F502"/>
  <c r="E502"/>
  <c r="T467"/>
  <c r="V467" s="1"/>
  <c r="V503" s="1"/>
  <c r="S467"/>
  <c r="U467" s="1"/>
  <c r="U503" s="1"/>
  <c r="R467"/>
  <c r="Q467"/>
  <c r="H467"/>
  <c r="G467"/>
  <c r="F467"/>
  <c r="E467"/>
  <c r="T464"/>
  <c r="V464" s="1"/>
  <c r="S464"/>
  <c r="U464" s="1"/>
  <c r="R464"/>
  <c r="Q464"/>
  <c r="H464"/>
  <c r="G464"/>
  <c r="F464"/>
  <c r="E464"/>
  <c r="T442"/>
  <c r="V442" s="1"/>
  <c r="V465" s="1"/>
  <c r="S442"/>
  <c r="U442" s="1"/>
  <c r="U465" s="1"/>
  <c r="R442"/>
  <c r="Q442"/>
  <c r="H442"/>
  <c r="G442"/>
  <c r="F442"/>
  <c r="E442"/>
  <c r="T438"/>
  <c r="V438" s="1"/>
  <c r="S438"/>
  <c r="U438" s="1"/>
  <c r="R438"/>
  <c r="Q438"/>
  <c r="H438"/>
  <c r="G438"/>
  <c r="F438"/>
  <c r="E438"/>
  <c r="V411"/>
  <c r="V439" s="1"/>
  <c r="T411"/>
  <c r="S411"/>
  <c r="R411"/>
  <c r="Q411"/>
  <c r="H411"/>
  <c r="G411"/>
  <c r="F411"/>
  <c r="E411"/>
  <c r="T408"/>
  <c r="V408" s="1"/>
  <c r="S408"/>
  <c r="U408" s="1"/>
  <c r="R408"/>
  <c r="Q408"/>
  <c r="H408"/>
  <c r="G408"/>
  <c r="F408"/>
  <c r="E408"/>
  <c r="X372"/>
  <c r="T371"/>
  <c r="V371" s="1"/>
  <c r="R371"/>
  <c r="Q371"/>
  <c r="H371"/>
  <c r="G371"/>
  <c r="F371"/>
  <c r="E371"/>
  <c r="S357"/>
  <c r="S371" s="1"/>
  <c r="U371" s="1"/>
  <c r="T345"/>
  <c r="V345" s="1"/>
  <c r="V372" s="1"/>
  <c r="S345"/>
  <c r="U345" s="1"/>
  <c r="U372" s="1"/>
  <c r="R345"/>
  <c r="Q345"/>
  <c r="H345"/>
  <c r="G345"/>
  <c r="F345"/>
  <c r="E345"/>
  <c r="T341"/>
  <c r="V341" s="1"/>
  <c r="S341"/>
  <c r="U341" s="1"/>
  <c r="R341"/>
  <c r="Q341"/>
  <c r="H341"/>
  <c r="G341"/>
  <c r="F341"/>
  <c r="E341"/>
  <c r="T328"/>
  <c r="V328" s="1"/>
  <c r="R328"/>
  <c r="Q328"/>
  <c r="H328"/>
  <c r="F328"/>
  <c r="E328"/>
  <c r="S321"/>
  <c r="S328" s="1"/>
  <c r="U328" s="1"/>
  <c r="G302"/>
  <c r="G328" s="1"/>
  <c r="T276"/>
  <c r="V276" s="1"/>
  <c r="V329" s="1"/>
  <c r="S276"/>
  <c r="U276" s="1"/>
  <c r="R276"/>
  <c r="Q276"/>
  <c r="H276"/>
  <c r="F276"/>
  <c r="G272"/>
  <c r="G276" s="1"/>
  <c r="E272"/>
  <c r="E271"/>
  <c r="T269"/>
  <c r="V269" s="1"/>
  <c r="S269"/>
  <c r="U269" s="1"/>
  <c r="R269"/>
  <c r="Q269"/>
  <c r="H269"/>
  <c r="G269"/>
  <c r="F269"/>
  <c r="E269"/>
  <c r="T245"/>
  <c r="V245" s="1"/>
  <c r="S245"/>
  <c r="U245" s="1"/>
  <c r="R245"/>
  <c r="Q245"/>
  <c r="H245"/>
  <c r="G245"/>
  <c r="F245"/>
  <c r="E245"/>
  <c r="T217"/>
  <c r="V217" s="1"/>
  <c r="V246" s="1"/>
  <c r="S217"/>
  <c r="U217" s="1"/>
  <c r="U246" s="1"/>
  <c r="R217"/>
  <c r="Q217"/>
  <c r="H217"/>
  <c r="G217"/>
  <c r="F217"/>
  <c r="E217"/>
  <c r="T214"/>
  <c r="V214" s="1"/>
  <c r="S214"/>
  <c r="U214" s="1"/>
  <c r="R214"/>
  <c r="Q214"/>
  <c r="H214"/>
  <c r="G214"/>
  <c r="F214"/>
  <c r="E214"/>
  <c r="T200"/>
  <c r="V200" s="1"/>
  <c r="S200"/>
  <c r="U200" s="1"/>
  <c r="R200"/>
  <c r="Q200"/>
  <c r="H200"/>
  <c r="G200"/>
  <c r="F200"/>
  <c r="E200"/>
  <c r="W178"/>
  <c r="T170"/>
  <c r="V170" s="1"/>
  <c r="S170"/>
  <c r="U170" s="1"/>
  <c r="R170"/>
  <c r="Q170"/>
  <c r="H170"/>
  <c r="G170"/>
  <c r="F170"/>
  <c r="E170"/>
  <c r="T156"/>
  <c r="S156"/>
  <c r="H156"/>
  <c r="G156"/>
  <c r="F156"/>
  <c r="E156"/>
  <c r="T153"/>
  <c r="S153"/>
  <c r="R153"/>
  <c r="Q153"/>
  <c r="H153"/>
  <c r="G153"/>
  <c r="F153"/>
  <c r="E153"/>
  <c r="T139"/>
  <c r="S139"/>
  <c r="H139"/>
  <c r="G139"/>
  <c r="F139"/>
  <c r="E139"/>
  <c r="T120"/>
  <c r="V120" s="1"/>
  <c r="S120"/>
  <c r="U120" s="1"/>
  <c r="R120"/>
  <c r="Q120"/>
  <c r="H120"/>
  <c r="G120"/>
  <c r="F120"/>
  <c r="E120"/>
  <c r="W93"/>
  <c r="T89"/>
  <c r="V89" s="1"/>
  <c r="S89"/>
  <c r="R89"/>
  <c r="Q89"/>
  <c r="H89"/>
  <c r="F89"/>
  <c r="E89"/>
  <c r="G43"/>
  <c r="G42"/>
  <c r="G89" s="1"/>
  <c r="T23"/>
  <c r="R23"/>
  <c r="Q23"/>
  <c r="H23"/>
  <c r="E23"/>
  <c r="V22"/>
  <c r="V90" s="1"/>
  <c r="S17"/>
  <c r="U22" s="1"/>
  <c r="G13"/>
  <c r="G12"/>
  <c r="E276" l="1"/>
  <c r="E809"/>
  <c r="E811" s="1"/>
  <c r="J311" i="16"/>
  <c r="E179" i="82"/>
  <c r="U329" i="56"/>
  <c r="U809"/>
  <c r="G23"/>
  <c r="G809" s="1"/>
  <c r="S23"/>
  <c r="U89" s="1"/>
  <c r="H35" i="81" l="1"/>
  <c r="F35"/>
  <c r="H34"/>
  <c r="F34"/>
  <c r="F33"/>
  <c r="H32"/>
  <c r="F32"/>
  <c r="H25"/>
  <c r="H24"/>
  <c r="D70" i="40" l="1"/>
  <c r="D69"/>
  <c r="D68"/>
  <c r="D67"/>
  <c r="D63"/>
  <c r="D61" s="1"/>
  <c r="K28" i="30" l="1"/>
  <c r="H28"/>
  <c r="K27"/>
  <c r="H27"/>
  <c r="K26"/>
  <c r="H26"/>
  <c r="K25"/>
  <c r="H25"/>
  <c r="K24"/>
  <c r="H24"/>
  <c r="K22"/>
  <c r="H22"/>
  <c r="K21"/>
  <c r="H21"/>
  <c r="K23"/>
  <c r="H23"/>
  <c r="H20"/>
  <c r="K20"/>
  <c r="K19"/>
  <c r="H19"/>
  <c r="K18"/>
  <c r="H18"/>
  <c r="K17"/>
  <c r="H17"/>
  <c r="K16"/>
  <c r="H16"/>
  <c r="K15"/>
  <c r="H15"/>
  <c r="K14"/>
  <c r="H14"/>
  <c r="K13"/>
  <c r="H13"/>
  <c r="K12"/>
  <c r="H12"/>
  <c r="K11"/>
  <c r="H11"/>
  <c r="K10"/>
  <c r="H10"/>
  <c r="H9"/>
  <c r="H30" s="1"/>
  <c r="D301" i="16" l="1"/>
  <c r="D307"/>
  <c r="D306"/>
  <c r="D305"/>
  <c r="D304"/>
  <c r="D302"/>
  <c r="D300"/>
  <c r="D299"/>
  <c r="D298"/>
  <c r="D297"/>
  <c r="D295"/>
  <c r="D294"/>
  <c r="D292"/>
  <c r="D291"/>
  <c r="D290"/>
  <c r="D289"/>
  <c r="D288"/>
  <c r="D287"/>
  <c r="D285"/>
  <c r="D284"/>
  <c r="D283"/>
  <c r="D282"/>
  <c r="D281"/>
  <c r="D280"/>
  <c r="D279"/>
  <c r="D278"/>
  <c r="D277"/>
  <c r="D276"/>
  <c r="D274"/>
  <c r="D273"/>
  <c r="D272"/>
  <c r="D271"/>
  <c r="D270"/>
  <c r="D269"/>
  <c r="D268"/>
  <c r="D267"/>
  <c r="D266"/>
  <c r="D265"/>
  <c r="D264"/>
  <c r="D263"/>
  <c r="X373" i="59"/>
  <c r="H41" i="34"/>
  <c r="U29" i="32"/>
  <c r="I57"/>
  <c r="M57" s="1"/>
  <c r="B57"/>
  <c r="B56" s="1"/>
  <c r="B26" i="31"/>
  <c r="I26"/>
  <c r="Q8"/>
  <c r="M167" i="58"/>
  <c r="O25" i="7" l="1"/>
  <c r="E226" i="76" l="1"/>
  <c r="G226" s="1"/>
  <c r="C139" i="12"/>
  <c r="J23" i="79" l="1"/>
  <c r="I23"/>
  <c r="G26"/>
  <c r="D47"/>
  <c r="D46"/>
  <c r="H26"/>
  <c r="R572" i="80"/>
  <c r="R574" s="1"/>
  <c r="Q572"/>
  <c r="C45" i="79" s="1"/>
  <c r="P572" i="80"/>
  <c r="B45" i="79" s="1"/>
  <c r="R276" i="80"/>
  <c r="Q276"/>
  <c r="C48" i="79" s="1"/>
  <c r="P276" i="80"/>
  <c r="B48" i="79" s="1"/>
  <c r="C44"/>
  <c r="B44"/>
  <c r="C43"/>
  <c r="B43"/>
  <c r="C42"/>
  <c r="B42"/>
  <c r="R269" i="80"/>
  <c r="Q268"/>
  <c r="P268"/>
  <c r="Q267"/>
  <c r="P267"/>
  <c r="Q266"/>
  <c r="P266"/>
  <c r="Q265"/>
  <c r="P265"/>
  <c r="Q264"/>
  <c r="P264"/>
  <c r="Q263"/>
  <c r="Q269" s="1"/>
  <c r="C41" i="79" s="1"/>
  <c r="P263" i="80"/>
  <c r="P269" s="1"/>
  <c r="B41" i="79" s="1"/>
  <c r="R261" i="80"/>
  <c r="Q261"/>
  <c r="C40" i="79" s="1"/>
  <c r="P261" i="80"/>
  <c r="B40" i="79" s="1"/>
  <c r="Q213" i="80"/>
  <c r="P213"/>
  <c r="Q212"/>
  <c r="P212"/>
  <c r="Q211"/>
  <c r="P211"/>
  <c r="Q210"/>
  <c r="P210"/>
  <c r="Q209"/>
  <c r="P209"/>
  <c r="Q208"/>
  <c r="P208"/>
  <c r="Q207"/>
  <c r="P207"/>
  <c r="Q206"/>
  <c r="P206"/>
  <c r="Q205"/>
  <c r="P205"/>
  <c r="Q204"/>
  <c r="P204"/>
  <c r="Q203"/>
  <c r="P203"/>
  <c r="Q202"/>
  <c r="P202"/>
  <c r="Q201"/>
  <c r="P201"/>
  <c r="Q200"/>
  <c r="P200"/>
  <c r="Q199"/>
  <c r="P199"/>
  <c r="Q198"/>
  <c r="P198"/>
  <c r="Q197"/>
  <c r="Q214" s="1"/>
  <c r="C39" i="79" s="1"/>
  <c r="P197" i="80"/>
  <c r="P214" s="1"/>
  <c r="B39" i="79" s="1"/>
  <c r="R214" i="80"/>
  <c r="C38" i="79"/>
  <c r="B38"/>
  <c r="C37"/>
  <c r="B37"/>
  <c r="R182" i="80"/>
  <c r="Q182"/>
  <c r="C35" i="79" s="1"/>
  <c r="P182" i="80"/>
  <c r="B35" i="79" s="1"/>
  <c r="F218" i="76"/>
  <c r="F191" i="77"/>
  <c r="R194" i="80"/>
  <c r="E36" i="79" s="1"/>
  <c r="Q194" i="80"/>
  <c r="C36" i="79" s="1"/>
  <c r="P194" i="80"/>
  <c r="B36" i="79" s="1"/>
  <c r="G335" i="80"/>
  <c r="F335"/>
  <c r="E335"/>
  <c r="D335"/>
  <c r="G281"/>
  <c r="F281"/>
  <c r="E281"/>
  <c r="D281"/>
  <c r="G273"/>
  <c r="F273"/>
  <c r="E273"/>
  <c r="D273"/>
  <c r="G252"/>
  <c r="F252"/>
  <c r="E252"/>
  <c r="D252"/>
  <c r="H246"/>
  <c r="G221"/>
  <c r="F221"/>
  <c r="E221"/>
  <c r="D221"/>
  <c r="F13" i="79"/>
  <c r="F12"/>
  <c r="D23"/>
  <c r="E47"/>
  <c r="E46"/>
  <c r="E38"/>
  <c r="E37"/>
  <c r="E25"/>
  <c r="C25"/>
  <c r="D25" s="1"/>
  <c r="E24"/>
  <c r="C24"/>
  <c r="B24"/>
  <c r="E22"/>
  <c r="C22"/>
  <c r="B22"/>
  <c r="E21"/>
  <c r="C21"/>
  <c r="B21"/>
  <c r="E20"/>
  <c r="C20"/>
  <c r="B20"/>
  <c r="E19"/>
  <c r="C19"/>
  <c r="B19"/>
  <c r="E18"/>
  <c r="C18"/>
  <c r="B18"/>
  <c r="E17"/>
  <c r="C17"/>
  <c r="B17"/>
  <c r="E16"/>
  <c r="C16"/>
  <c r="B16"/>
  <c r="E15"/>
  <c r="C15"/>
  <c r="B15"/>
  <c r="E14"/>
  <c r="C14"/>
  <c r="B14"/>
  <c r="B13"/>
  <c r="B12"/>
  <c r="E10"/>
  <c r="C10"/>
  <c r="B10"/>
  <c r="E9"/>
  <c r="C9"/>
  <c r="B9"/>
  <c r="E8"/>
  <c r="C8"/>
  <c r="B8"/>
  <c r="R810" i="59"/>
  <c r="R768"/>
  <c r="R763"/>
  <c r="R743"/>
  <c r="R733"/>
  <c r="R713"/>
  <c r="R706"/>
  <c r="R689"/>
  <c r="R681"/>
  <c r="R672"/>
  <c r="R632"/>
  <c r="R619"/>
  <c r="R594"/>
  <c r="R587"/>
  <c r="R549"/>
  <c r="R538"/>
  <c r="Q538"/>
  <c r="R503"/>
  <c r="R468"/>
  <c r="C11" i="79" s="1"/>
  <c r="R465" i="59"/>
  <c r="R443"/>
  <c r="R439"/>
  <c r="Q439"/>
  <c r="R412"/>
  <c r="Q412"/>
  <c r="R409"/>
  <c r="R372"/>
  <c r="Q372"/>
  <c r="R346"/>
  <c r="Q346"/>
  <c r="R342"/>
  <c r="R329"/>
  <c r="R277"/>
  <c r="R270"/>
  <c r="Q270"/>
  <c r="R246"/>
  <c r="R218"/>
  <c r="R215"/>
  <c r="R201"/>
  <c r="R171"/>
  <c r="R154"/>
  <c r="R121"/>
  <c r="Q121"/>
  <c r="R90"/>
  <c r="R23"/>
  <c r="Q763"/>
  <c r="Q743"/>
  <c r="Q733"/>
  <c r="Q681"/>
  <c r="Q672"/>
  <c r="Q632"/>
  <c r="Q713"/>
  <c r="Q706"/>
  <c r="Q689"/>
  <c r="Q619"/>
  <c r="Q587"/>
  <c r="Q549"/>
  <c r="Q503"/>
  <c r="Q468"/>
  <c r="B11" i="79" s="1"/>
  <c r="D39" l="1"/>
  <c r="D24"/>
  <c r="D40"/>
  <c r="D42"/>
  <c r="D43"/>
  <c r="D44"/>
  <c r="D48"/>
  <c r="D45"/>
  <c r="D9"/>
  <c r="D14"/>
  <c r="D16"/>
  <c r="D18"/>
  <c r="D20"/>
  <c r="D37"/>
  <c r="D38"/>
  <c r="D10"/>
  <c r="D35"/>
  <c r="B26"/>
  <c r="D41"/>
  <c r="J12"/>
  <c r="D22"/>
  <c r="D36"/>
  <c r="D8"/>
  <c r="J13"/>
  <c r="D11"/>
  <c r="D15"/>
  <c r="C49"/>
  <c r="B49"/>
  <c r="B50" s="1"/>
  <c r="D17"/>
  <c r="D19"/>
  <c r="D21"/>
  <c r="Q218" i="59"/>
  <c r="Q246"/>
  <c r="Q810"/>
  <c r="Q768"/>
  <c r="Q465"/>
  <c r="Q443"/>
  <c r="Q594"/>
  <c r="Q409"/>
  <c r="Q215"/>
  <c r="Q342"/>
  <c r="Q277"/>
  <c r="Q329"/>
  <c r="Q201"/>
  <c r="Q171"/>
  <c r="Q154"/>
  <c r="Q90"/>
  <c r="Q23"/>
  <c r="F92" i="9"/>
  <c r="J91"/>
  <c r="J90"/>
  <c r="J89"/>
  <c r="D92"/>
  <c r="H92"/>
  <c r="J92" l="1"/>
  <c r="H19" i="70"/>
  <c r="D8"/>
  <c r="L14" i="68" l="1"/>
  <c r="E13" i="35"/>
  <c r="K32" i="30" l="1"/>
  <c r="M202" i="58"/>
  <c r="G482" i="76"/>
  <c r="D197" i="16" l="1"/>
  <c r="D192"/>
  <c r="D187"/>
  <c r="D182"/>
  <c r="D177"/>
  <c r="D111" i="14"/>
  <c r="J88" i="9"/>
  <c r="C26" i="4" l="1"/>
  <c r="L26" s="1"/>
  <c r="C25" i="34" l="1"/>
  <c r="F25" i="79"/>
  <c r="C24" i="34"/>
  <c r="F24" i="79"/>
  <c r="O29" i="7" l="1"/>
  <c r="D354" i="16"/>
  <c r="D25" i="81"/>
  <c r="I24" i="79"/>
  <c r="J24"/>
  <c r="G24" i="31"/>
  <c r="F25" i="32" l="1"/>
  <c r="M11" i="5"/>
  <c r="D362" i="16"/>
  <c r="H84" i="9" l="1"/>
  <c r="F84"/>
  <c r="D84"/>
  <c r="J83"/>
  <c r="J82"/>
  <c r="C178" i="12"/>
  <c r="C182"/>
  <c r="C172"/>
  <c r="D117" i="40"/>
  <c r="D100"/>
  <c r="D99"/>
  <c r="D98"/>
  <c r="J84" i="9" l="1"/>
  <c r="D53" i="6"/>
  <c r="D52"/>
  <c r="B54"/>
  <c r="D43"/>
  <c r="D42"/>
  <c r="C9" i="31"/>
  <c r="C22"/>
  <c r="D14" i="12" l="1"/>
  <c r="D13"/>
  <c r="D12"/>
  <c r="E28"/>
  <c r="H144"/>
  <c r="H145"/>
  <c r="H147" s="1"/>
  <c r="C149"/>
  <c r="C89"/>
  <c r="C148"/>
  <c r="C147"/>
  <c r="C146"/>
  <c r="C145"/>
  <c r="C107"/>
  <c r="C106"/>
  <c r="C105"/>
  <c r="C104"/>
  <c r="C103"/>
  <c r="C117"/>
  <c r="C116"/>
  <c r="C115"/>
  <c r="C114"/>
  <c r="C94"/>
  <c r="C95"/>
  <c r="C98"/>
  <c r="C97"/>
  <c r="C96"/>
  <c r="C88"/>
  <c r="C158" s="1"/>
  <c r="C87"/>
  <c r="C157" s="1"/>
  <c r="C86"/>
  <c r="C156" s="1"/>
  <c r="C85"/>
  <c r="C155" s="1"/>
  <c r="C80"/>
  <c r="Q107"/>
  <c r="C159" l="1"/>
  <c r="O210" i="58"/>
  <c r="L105"/>
  <c r="M105"/>
  <c r="N105"/>
  <c r="O103"/>
  <c r="I103"/>
  <c r="D42" i="16"/>
  <c r="C21" i="34"/>
  <c r="F13" i="5" l="1"/>
  <c r="O13" s="1"/>
  <c r="O42" i="7"/>
  <c r="D247" i="80"/>
  <c r="D249" s="1"/>
  <c r="D12" i="78"/>
  <c r="E12"/>
  <c r="E25"/>
  <c r="E31"/>
  <c r="D31"/>
  <c r="E59"/>
  <c r="D59"/>
  <c r="E56"/>
  <c r="D56"/>
  <c r="D57" s="1"/>
  <c r="E62"/>
  <c r="D62"/>
  <c r="E82"/>
  <c r="D82"/>
  <c r="D83" s="1"/>
  <c r="E79"/>
  <c r="D79"/>
  <c r="D80" s="1"/>
  <c r="E67"/>
  <c r="D67"/>
  <c r="E68"/>
  <c r="D68"/>
  <c r="E69"/>
  <c r="D69"/>
  <c r="E70"/>
  <c r="D70"/>
  <c r="E73"/>
  <c r="D73"/>
  <c r="E72"/>
  <c r="D72"/>
  <c r="E71"/>
  <c r="D71"/>
  <c r="E76"/>
  <c r="D76"/>
  <c r="D77" s="1"/>
  <c r="D38"/>
  <c r="E38"/>
  <c r="D41"/>
  <c r="D42" s="1"/>
  <c r="E35"/>
  <c r="D35"/>
  <c r="D36" s="1"/>
  <c r="E21"/>
  <c r="D21"/>
  <c r="E61"/>
  <c r="D61"/>
  <c r="D60"/>
  <c r="E53"/>
  <c r="D53"/>
  <c r="D54" s="1"/>
  <c r="D18"/>
  <c r="E19"/>
  <c r="D19"/>
  <c r="E20"/>
  <c r="D20"/>
  <c r="E47"/>
  <c r="D47"/>
  <c r="D48" s="1"/>
  <c r="E50"/>
  <c r="D50"/>
  <c r="D51" s="1"/>
  <c r="E30"/>
  <c r="D30"/>
  <c r="E29"/>
  <c r="D29"/>
  <c r="E34"/>
  <c r="E36" s="1"/>
  <c r="E17"/>
  <c r="D17"/>
  <c r="E28"/>
  <c r="D28"/>
  <c r="E16"/>
  <c r="E15"/>
  <c r="E14"/>
  <c r="D16"/>
  <c r="D15"/>
  <c r="D14"/>
  <c r="E9"/>
  <c r="E8"/>
  <c r="E7"/>
  <c r="E6"/>
  <c r="E5"/>
  <c r="E4"/>
  <c r="D7"/>
  <c r="D6"/>
  <c r="D5"/>
  <c r="D4"/>
  <c r="C22" i="34"/>
  <c r="B22"/>
  <c r="F22" i="79" s="1"/>
  <c r="F395" i="76"/>
  <c r="E395"/>
  <c r="D286" i="16" s="1"/>
  <c r="E322" i="76"/>
  <c r="G322" s="1"/>
  <c r="E321"/>
  <c r="F45" i="5" s="1"/>
  <c r="O45" s="1"/>
  <c r="E318" i="76"/>
  <c r="F302"/>
  <c r="E42" i="79" s="1"/>
  <c r="E301" i="76"/>
  <c r="G301" s="1"/>
  <c r="G318" l="1"/>
  <c r="F46" i="5"/>
  <c r="O46" s="1"/>
  <c r="D24" i="81"/>
  <c r="D363" i="16"/>
  <c r="G321" i="76"/>
  <c r="B51" i="34"/>
  <c r="D10" i="78"/>
  <c r="D74"/>
  <c r="D63"/>
  <c r="D32"/>
  <c r="E88"/>
  <c r="D22"/>
  <c r="V22" i="59" l="1"/>
  <c r="D91" i="16"/>
  <c r="C12" i="68"/>
  <c r="F247" i="80" l="1"/>
  <c r="F12" i="68"/>
  <c r="E12"/>
  <c r="D12"/>
  <c r="E10"/>
  <c r="G156" i="40"/>
  <c r="G144"/>
  <c r="G120"/>
  <c r="G114"/>
  <c r="G108"/>
  <c r="G103"/>
  <c r="G88"/>
  <c r="E80" i="55"/>
  <c r="E65"/>
  <c r="E62"/>
  <c r="E43"/>
  <c r="E35"/>
  <c r="E24"/>
  <c r="G80"/>
  <c r="G65"/>
  <c r="G62"/>
  <c r="G43"/>
  <c r="G35"/>
  <c r="G24"/>
  <c r="D79" i="14"/>
  <c r="D66"/>
  <c r="D53"/>
  <c r="E179" i="12"/>
  <c r="E183" s="1"/>
  <c r="E188" s="1"/>
  <c r="E160"/>
  <c r="E149"/>
  <c r="E148"/>
  <c r="E147"/>
  <c r="E146"/>
  <c r="E145"/>
  <c r="E151" s="1"/>
  <c r="E139"/>
  <c r="E141" s="1"/>
  <c r="E127"/>
  <c r="E129" s="1"/>
  <c r="E117"/>
  <c r="E116"/>
  <c r="E115"/>
  <c r="E114"/>
  <c r="E107"/>
  <c r="E103"/>
  <c r="E109" s="1"/>
  <c r="E98"/>
  <c r="E97"/>
  <c r="E158" s="1"/>
  <c r="E96"/>
  <c r="E95"/>
  <c r="E156" s="1"/>
  <c r="E94"/>
  <c r="E89"/>
  <c r="E88"/>
  <c r="E87"/>
  <c r="E157" s="1"/>
  <c r="E86"/>
  <c r="E85"/>
  <c r="E91" s="1"/>
  <c r="E80"/>
  <c r="E82" s="1"/>
  <c r="E119" l="1"/>
  <c r="E100"/>
  <c r="E152" s="1"/>
  <c r="E155"/>
  <c r="E159"/>
  <c r="E22"/>
  <c r="E18"/>
  <c r="E17"/>
  <c r="E16"/>
  <c r="D11"/>
  <c r="D19" s="1"/>
  <c r="D67" i="11"/>
  <c r="D65"/>
  <c r="D73" s="1"/>
  <c r="D41"/>
  <c r="D34"/>
  <c r="D25"/>
  <c r="D99" i="16"/>
  <c r="D106"/>
  <c r="D123"/>
  <c r="D202"/>
  <c r="D391"/>
  <c r="D471"/>
  <c r="D466"/>
  <c r="D461"/>
  <c r="D456"/>
  <c r="D449"/>
  <c r="D439"/>
  <c r="E161" i="12" l="1"/>
  <c r="E165" s="1"/>
  <c r="D438" i="16"/>
  <c r="D440" s="1"/>
  <c r="D433"/>
  <c r="D434" s="1"/>
  <c r="D424"/>
  <c r="D344"/>
  <c r="D249"/>
  <c r="D248"/>
  <c r="D237"/>
  <c r="D239" s="1"/>
  <c r="F44" i="5" s="1"/>
  <c r="O44" s="1"/>
  <c r="E218" i="76"/>
  <c r="E191" i="77"/>
  <c r="D218" i="16"/>
  <c r="D217"/>
  <c r="D214"/>
  <c r="D213"/>
  <c r="D216"/>
  <c r="D215"/>
  <c r="D211"/>
  <c r="E17" i="77"/>
  <c r="E34"/>
  <c r="E50"/>
  <c r="E60"/>
  <c r="E77"/>
  <c r="E92"/>
  <c r="E102"/>
  <c r="E115"/>
  <c r="E132"/>
  <c r="E142"/>
  <c r="E148"/>
  <c r="E161"/>
  <c r="E179"/>
  <c r="O28" i="7" l="1"/>
  <c r="D366" i="16" s="1"/>
  <c r="M46" i="5"/>
  <c r="D252" i="16"/>
  <c r="D356"/>
  <c r="D219"/>
  <c r="D168"/>
  <c r="D166" l="1"/>
  <c r="D167"/>
  <c r="D163" l="1"/>
  <c r="D169"/>
  <c r="D165" l="1"/>
  <c r="D164" s="1"/>
  <c r="D173" s="1"/>
  <c r="F37" i="5" s="1"/>
  <c r="O37" l="1"/>
  <c r="D26" i="81"/>
  <c r="D41" i="16"/>
  <c r="F12" i="5" s="1"/>
  <c r="O12" s="1"/>
  <c r="B14" i="34"/>
  <c r="F14" i="79" s="1"/>
  <c r="D152" i="16"/>
  <c r="D151"/>
  <c r="D150"/>
  <c r="D149"/>
  <c r="D32" i="81" l="1"/>
  <c r="L149" i="16"/>
  <c r="D34" i="81"/>
  <c r="L151" i="16"/>
  <c r="D33" i="81"/>
  <c r="L150" i="16"/>
  <c r="D35" i="81"/>
  <c r="L152" i="16"/>
  <c r="J14" i="79"/>
  <c r="I14"/>
  <c r="D148" i="16"/>
  <c r="D155"/>
  <c r="D154"/>
  <c r="D153"/>
  <c r="D147"/>
  <c r="D146"/>
  <c r="D37" i="81" l="1"/>
  <c r="D31"/>
  <c r="D28"/>
  <c r="D38"/>
  <c r="D157" i="16"/>
  <c r="F24" i="5" s="1"/>
  <c r="O24" s="1"/>
  <c r="D82" i="16" l="1"/>
  <c r="D84" s="1"/>
  <c r="D56"/>
  <c r="D63"/>
  <c r="D62"/>
  <c r="D55"/>
  <c r="D54"/>
  <c r="D74" s="1"/>
  <c r="D76" s="1"/>
  <c r="D52"/>
  <c r="D13" i="81"/>
  <c r="D14"/>
  <c r="D134" i="16"/>
  <c r="D132" s="1"/>
  <c r="F30" i="5" s="1"/>
  <c r="O30" s="1"/>
  <c r="D127" i="16"/>
  <c r="D357" s="1"/>
  <c r="D11" i="81"/>
  <c r="D33" i="16"/>
  <c r="D13"/>
  <c r="D12"/>
  <c r="D11"/>
  <c r="D10"/>
  <c r="D134" i="9"/>
  <c r="D118"/>
  <c r="D21"/>
  <c r="J9" i="30"/>
  <c r="K9" s="1"/>
  <c r="D27" i="81" l="1"/>
  <c r="D361" i="16"/>
  <c r="D16" i="7"/>
  <c r="D59" i="16"/>
  <c r="F23" i="5" s="1"/>
  <c r="O23" s="1"/>
  <c r="D141" i="16"/>
  <c r="D15"/>
  <c r="D51"/>
  <c r="F22" i="5" s="1"/>
  <c r="O22" s="1"/>
  <c r="D10" i="81" l="1"/>
  <c r="F10" i="5"/>
  <c r="D29" i="81"/>
  <c r="D22" s="1"/>
  <c r="D15"/>
  <c r="D66" i="16"/>
  <c r="M100" s="1"/>
  <c r="O217" i="58"/>
  <c r="N216"/>
  <c r="M216"/>
  <c r="O215"/>
  <c r="O213"/>
  <c r="N212"/>
  <c r="M212"/>
  <c r="O207"/>
  <c r="Q207" s="1"/>
  <c r="O206"/>
  <c r="Q206" s="1"/>
  <c r="O205"/>
  <c r="D16" i="14" s="1"/>
  <c r="N192" i="58"/>
  <c r="M192"/>
  <c r="O191"/>
  <c r="O186"/>
  <c r="N185"/>
  <c r="M185"/>
  <c r="O184"/>
  <c r="O181"/>
  <c r="N180"/>
  <c r="M180"/>
  <c r="O179"/>
  <c r="O175"/>
  <c r="N174"/>
  <c r="M174"/>
  <c r="O173"/>
  <c r="O162"/>
  <c r="N161"/>
  <c r="M161"/>
  <c r="O159"/>
  <c r="O157"/>
  <c r="O156"/>
  <c r="O137"/>
  <c r="O125"/>
  <c r="D161" i="9" s="1"/>
  <c r="N113" i="58"/>
  <c r="M113"/>
  <c r="O112"/>
  <c r="O104"/>
  <c r="N100"/>
  <c r="M100"/>
  <c r="O99"/>
  <c r="O72"/>
  <c r="O70"/>
  <c r="O38"/>
  <c r="N37"/>
  <c r="M37"/>
  <c r="O36"/>
  <c r="O32"/>
  <c r="O30"/>
  <c r="N29"/>
  <c r="M29"/>
  <c r="O28"/>
  <c r="O23"/>
  <c r="N22"/>
  <c r="M22"/>
  <c r="N7"/>
  <c r="M7"/>
  <c r="O6"/>
  <c r="F5"/>
  <c r="I5" s="1"/>
  <c r="G7"/>
  <c r="H7"/>
  <c r="J7"/>
  <c r="K7"/>
  <c r="F9"/>
  <c r="I9"/>
  <c r="L9" s="1"/>
  <c r="O9" s="1"/>
  <c r="F10"/>
  <c r="I10"/>
  <c r="L10" s="1"/>
  <c r="O10" s="1"/>
  <c r="F11"/>
  <c r="I11"/>
  <c r="L11" s="1"/>
  <c r="O11" s="1"/>
  <c r="F12"/>
  <c r="I12"/>
  <c r="L12" s="1"/>
  <c r="O12" s="1"/>
  <c r="F13"/>
  <c r="I13"/>
  <c r="L13" s="1"/>
  <c r="O13" s="1"/>
  <c r="F14"/>
  <c r="I14"/>
  <c r="L14" s="1"/>
  <c r="O14" s="1"/>
  <c r="F15"/>
  <c r="I15"/>
  <c r="K15"/>
  <c r="L15"/>
  <c r="O15" s="1"/>
  <c r="F16"/>
  <c r="I16" s="1"/>
  <c r="F17"/>
  <c r="I17" s="1"/>
  <c r="L17" s="1"/>
  <c r="O17" s="1"/>
  <c r="I18"/>
  <c r="L18" s="1"/>
  <c r="O18" s="1"/>
  <c r="L20"/>
  <c r="O20" s="1"/>
  <c r="G22"/>
  <c r="H22"/>
  <c r="J22"/>
  <c r="K22"/>
  <c r="I24"/>
  <c r="L24" s="1"/>
  <c r="O24" s="1"/>
  <c r="L25"/>
  <c r="O25" s="1"/>
  <c r="L26"/>
  <c r="I27"/>
  <c r="L27" s="1"/>
  <c r="O27" s="1"/>
  <c r="F29"/>
  <c r="G29"/>
  <c r="G31" s="1"/>
  <c r="H29"/>
  <c r="J29"/>
  <c r="J31" s="1"/>
  <c r="K29"/>
  <c r="H31"/>
  <c r="F33"/>
  <c r="I33" s="1"/>
  <c r="J33"/>
  <c r="K33"/>
  <c r="K37" s="1"/>
  <c r="I34"/>
  <c r="L34" s="1"/>
  <c r="O34" s="1"/>
  <c r="I35"/>
  <c r="L35" s="1"/>
  <c r="O35" s="1"/>
  <c r="G37"/>
  <c r="H37"/>
  <c r="J37"/>
  <c r="I38"/>
  <c r="F39"/>
  <c r="I39" s="1"/>
  <c r="F40"/>
  <c r="I40" s="1"/>
  <c r="L40" s="1"/>
  <c r="O40" s="1"/>
  <c r="F41"/>
  <c r="I41" s="1"/>
  <c r="L41" s="1"/>
  <c r="O41" s="1"/>
  <c r="F42"/>
  <c r="I42" s="1"/>
  <c r="L42" s="1"/>
  <c r="O42" s="1"/>
  <c r="F43"/>
  <c r="I43" s="1"/>
  <c r="L43" s="1"/>
  <c r="O43" s="1"/>
  <c r="F44"/>
  <c r="I44" s="1"/>
  <c r="L44" s="1"/>
  <c r="O44" s="1"/>
  <c r="F45"/>
  <c r="I45" s="1"/>
  <c r="L45" s="1"/>
  <c r="O45" s="1"/>
  <c r="F46"/>
  <c r="I46" s="1"/>
  <c r="L46" s="1"/>
  <c r="O46" s="1"/>
  <c r="F47"/>
  <c r="I47" s="1"/>
  <c r="L47" s="1"/>
  <c r="O47" s="1"/>
  <c r="F48"/>
  <c r="L48"/>
  <c r="O48" s="1"/>
  <c r="F49"/>
  <c r="I49"/>
  <c r="L49" s="1"/>
  <c r="O49" s="1"/>
  <c r="F50"/>
  <c r="I50"/>
  <c r="L50" s="1"/>
  <c r="O50" s="1"/>
  <c r="F51"/>
  <c r="I51"/>
  <c r="L51" s="1"/>
  <c r="O51" s="1"/>
  <c r="F52"/>
  <c r="I52"/>
  <c r="L52" s="1"/>
  <c r="O52" s="1"/>
  <c r="F53"/>
  <c r="I53"/>
  <c r="L53" s="1"/>
  <c r="O53" s="1"/>
  <c r="F54"/>
  <c r="I54"/>
  <c r="L54" s="1"/>
  <c r="O54" s="1"/>
  <c r="F55"/>
  <c r="I55"/>
  <c r="L55" s="1"/>
  <c r="O55" s="1"/>
  <c r="F56"/>
  <c r="I56"/>
  <c r="L56" s="1"/>
  <c r="O56" s="1"/>
  <c r="F57"/>
  <c r="I57"/>
  <c r="L57" s="1"/>
  <c r="O57" s="1"/>
  <c r="F58"/>
  <c r="I58"/>
  <c r="L58" s="1"/>
  <c r="O58" s="1"/>
  <c r="F59"/>
  <c r="I59"/>
  <c r="L59" s="1"/>
  <c r="O59" s="1"/>
  <c r="F60"/>
  <c r="I60"/>
  <c r="L60" s="1"/>
  <c r="O60" s="1"/>
  <c r="F61"/>
  <c r="I61"/>
  <c r="L61" s="1"/>
  <c r="O61" s="1"/>
  <c r="F62"/>
  <c r="I62"/>
  <c r="L62" s="1"/>
  <c r="O62" s="1"/>
  <c r="F63"/>
  <c r="I63"/>
  <c r="L63" s="1"/>
  <c r="O63" s="1"/>
  <c r="F64"/>
  <c r="I64"/>
  <c r="L64" s="1"/>
  <c r="O64" s="1"/>
  <c r="F65"/>
  <c r="I65"/>
  <c r="L65" s="1"/>
  <c r="O65" s="1"/>
  <c r="F66"/>
  <c r="I66"/>
  <c r="L66" s="1"/>
  <c r="O66" s="1"/>
  <c r="I67"/>
  <c r="L67"/>
  <c r="O67" s="1"/>
  <c r="I68"/>
  <c r="L68" s="1"/>
  <c r="O68" s="1"/>
  <c r="F69"/>
  <c r="I69" s="1"/>
  <c r="L69" s="1"/>
  <c r="O69" s="1"/>
  <c r="G71"/>
  <c r="H71"/>
  <c r="J71"/>
  <c r="K71"/>
  <c r="I73"/>
  <c r="L73" s="1"/>
  <c r="O73" s="1"/>
  <c r="I74"/>
  <c r="L74" s="1"/>
  <c r="O74" s="1"/>
  <c r="I75"/>
  <c r="L75" s="1"/>
  <c r="O75" s="1"/>
  <c r="I76"/>
  <c r="L76" s="1"/>
  <c r="O76" s="1"/>
  <c r="I77"/>
  <c r="L77" s="1"/>
  <c r="O77" s="1"/>
  <c r="I78"/>
  <c r="L78" s="1"/>
  <c r="O78" s="1"/>
  <c r="I79"/>
  <c r="L79" s="1"/>
  <c r="O79" s="1"/>
  <c r="I80"/>
  <c r="L80" s="1"/>
  <c r="O80" s="1"/>
  <c r="I81"/>
  <c r="L81" s="1"/>
  <c r="O81" s="1"/>
  <c r="I82"/>
  <c r="L82" s="1"/>
  <c r="O82" s="1"/>
  <c r="I83"/>
  <c r="L83" s="1"/>
  <c r="O83" s="1"/>
  <c r="I84"/>
  <c r="L84" s="1"/>
  <c r="O84" s="1"/>
  <c r="I85"/>
  <c r="L85"/>
  <c r="O85" s="1"/>
  <c r="I86"/>
  <c r="L86" s="1"/>
  <c r="O86" s="1"/>
  <c r="I87"/>
  <c r="L87" s="1"/>
  <c r="O87" s="1"/>
  <c r="I88"/>
  <c r="L88" s="1"/>
  <c r="O88" s="1"/>
  <c r="I89"/>
  <c r="L89" s="1"/>
  <c r="O89" s="1"/>
  <c r="I90"/>
  <c r="L90" s="1"/>
  <c r="O90" s="1"/>
  <c r="L91"/>
  <c r="O91" s="1"/>
  <c r="I96"/>
  <c r="L96" s="1"/>
  <c r="O96" s="1"/>
  <c r="I97"/>
  <c r="L97" s="1"/>
  <c r="O97" s="1"/>
  <c r="F100"/>
  <c r="G100"/>
  <c r="H100"/>
  <c r="J100"/>
  <c r="K100"/>
  <c r="I102"/>
  <c r="O102" s="1"/>
  <c r="O105" s="1"/>
  <c r="F105"/>
  <c r="G105"/>
  <c r="H105"/>
  <c r="J105"/>
  <c r="K105"/>
  <c r="L107"/>
  <c r="I108"/>
  <c r="L108" s="1"/>
  <c r="O108" s="1"/>
  <c r="I109"/>
  <c r="L109" s="1"/>
  <c r="O109" s="1"/>
  <c r="D127" i="9" s="1"/>
  <c r="I110" i="58"/>
  <c r="L110" s="1"/>
  <c r="O110" s="1"/>
  <c r="D125" i="9" s="1"/>
  <c r="I111" i="58"/>
  <c r="F113"/>
  <c r="G113"/>
  <c r="H113"/>
  <c r="J113"/>
  <c r="K113"/>
  <c r="I115"/>
  <c r="L115" s="1"/>
  <c r="O115" s="1"/>
  <c r="S115" s="1"/>
  <c r="I116"/>
  <c r="L116" s="1"/>
  <c r="O116" s="1"/>
  <c r="I117"/>
  <c r="L117" s="1"/>
  <c r="O117" s="1"/>
  <c r="D153" i="9" s="1"/>
  <c r="I118" i="58"/>
  <c r="L118" s="1"/>
  <c r="O118" s="1"/>
  <c r="D154" i="9" s="1"/>
  <c r="I119" i="58"/>
  <c r="L119" s="1"/>
  <c r="O119" s="1"/>
  <c r="I120"/>
  <c r="L120" s="1"/>
  <c r="O120" s="1"/>
  <c r="D155" i="9" s="1"/>
  <c r="I121" i="58"/>
  <c r="L121" s="1"/>
  <c r="O121" s="1"/>
  <c r="I122"/>
  <c r="L122" s="1"/>
  <c r="I123"/>
  <c r="L123" s="1"/>
  <c r="I124"/>
  <c r="L124" s="1"/>
  <c r="O124" s="1"/>
  <c r="I126"/>
  <c r="L126" s="1"/>
  <c r="O126" s="1"/>
  <c r="I127"/>
  <c r="L127" s="1"/>
  <c r="O127" s="1"/>
  <c r="D156" i="9" s="1"/>
  <c r="I128" i="58"/>
  <c r="L128" s="1"/>
  <c r="O128" s="1"/>
  <c r="I129"/>
  <c r="L129"/>
  <c r="O129" s="1"/>
  <c r="D143" i="9" s="1"/>
  <c r="I130" i="58"/>
  <c r="L130" s="1"/>
  <c r="I131"/>
  <c r="L131" s="1"/>
  <c r="O131" s="1"/>
  <c r="D137" i="9" s="1"/>
  <c r="I132" i="58"/>
  <c r="L132" s="1"/>
  <c r="O132" s="1"/>
  <c r="I133"/>
  <c r="L133" s="1"/>
  <c r="O133" s="1"/>
  <c r="I134"/>
  <c r="L134" s="1"/>
  <c r="O134" s="1"/>
  <c r="I135"/>
  <c r="L135" s="1"/>
  <c r="O135" s="1"/>
  <c r="I136"/>
  <c r="L136" s="1"/>
  <c r="O136" s="1"/>
  <c r="D158" i="9" s="1"/>
  <c r="I138" i="58"/>
  <c r="L138" s="1"/>
  <c r="O138" s="1"/>
  <c r="I139"/>
  <c r="L139" s="1"/>
  <c r="O139" s="1"/>
  <c r="I140"/>
  <c r="L140" s="1"/>
  <c r="O140" s="1"/>
  <c r="D159" i="9" s="1"/>
  <c r="I141" i="58"/>
  <c r="L141" s="1"/>
  <c r="O141" s="1"/>
  <c r="I142"/>
  <c r="L142" s="1"/>
  <c r="O142" s="1"/>
  <c r="D157" i="9" s="1"/>
  <c r="I143" i="58"/>
  <c r="L143" s="1"/>
  <c r="O143" s="1"/>
  <c r="D132" i="9" s="1"/>
  <c r="I144" i="58"/>
  <c r="L144" s="1"/>
  <c r="O144" s="1"/>
  <c r="D129" i="9" s="1"/>
  <c r="I145" i="58"/>
  <c r="L145" s="1"/>
  <c r="O145" s="1"/>
  <c r="D131" i="9" s="1"/>
  <c r="I146" i="58"/>
  <c r="L146" s="1"/>
  <c r="O146" s="1"/>
  <c r="I147"/>
  <c r="L147" s="1"/>
  <c r="O147" s="1"/>
  <c r="I148"/>
  <c r="L148" s="1"/>
  <c r="O148" s="1"/>
  <c r="D135" i="9" s="1"/>
  <c r="I149" i="58"/>
  <c r="L149" s="1"/>
  <c r="O149" s="1"/>
  <c r="D126" i="9" s="1"/>
  <c r="I150" i="58"/>
  <c r="L150" s="1"/>
  <c r="O150" s="1"/>
  <c r="D136" i="9" s="1"/>
  <c r="I151" i="58"/>
  <c r="L151" s="1"/>
  <c r="O151" s="1"/>
  <c r="D138" i="9" s="1"/>
  <c r="L152" i="58"/>
  <c r="O152" s="1"/>
  <c r="D139" i="9" s="1"/>
  <c r="L154" i="58"/>
  <c r="O154" s="1"/>
  <c r="D140" i="9" s="1"/>
  <c r="L155" i="58"/>
  <c r="O155" s="1"/>
  <c r="F161"/>
  <c r="F163" s="1"/>
  <c r="G161"/>
  <c r="G163" s="1"/>
  <c r="H161"/>
  <c r="H163" s="1"/>
  <c r="J161"/>
  <c r="K161"/>
  <c r="K163" s="1"/>
  <c r="J163"/>
  <c r="L164"/>
  <c r="O164" s="1"/>
  <c r="F165"/>
  <c r="I165" s="1"/>
  <c r="L165" s="1"/>
  <c r="F166"/>
  <c r="I166" s="1"/>
  <c r="L166" s="1"/>
  <c r="O166" s="1"/>
  <c r="I167"/>
  <c r="J167"/>
  <c r="J174" s="1"/>
  <c r="I168"/>
  <c r="I169"/>
  <c r="L170"/>
  <c r="O170" s="1"/>
  <c r="R170" s="1"/>
  <c r="L171"/>
  <c r="O171" s="1"/>
  <c r="L172"/>
  <c r="O172" s="1"/>
  <c r="F174"/>
  <c r="G174"/>
  <c r="H174"/>
  <c r="K174"/>
  <c r="I176"/>
  <c r="L176" s="1"/>
  <c r="O176" s="1"/>
  <c r="I177"/>
  <c r="F178"/>
  <c r="I178" s="1"/>
  <c r="O178" s="1"/>
  <c r="C36" i="4" s="1"/>
  <c r="L36" s="1"/>
  <c r="F180" i="58"/>
  <c r="G180"/>
  <c r="H180"/>
  <c r="J180"/>
  <c r="K180"/>
  <c r="I182"/>
  <c r="L182" s="1"/>
  <c r="O182" s="1"/>
  <c r="L183"/>
  <c r="O183" s="1"/>
  <c r="D83" i="11" s="1"/>
  <c r="L83" s="1"/>
  <c r="F185" i="58"/>
  <c r="G185"/>
  <c r="H185"/>
  <c r="J185"/>
  <c r="K185"/>
  <c r="I187"/>
  <c r="I188"/>
  <c r="L188" s="1"/>
  <c r="O188" s="1"/>
  <c r="D11" i="14" s="1"/>
  <c r="I189" i="58"/>
  <c r="L189" s="1"/>
  <c r="O189" s="1"/>
  <c r="D9" i="14" s="1"/>
  <c r="F190" i="58"/>
  <c r="I190"/>
  <c r="L190" s="1"/>
  <c r="O190" s="1"/>
  <c r="F192"/>
  <c r="G192"/>
  <c r="H192"/>
  <c r="J192"/>
  <c r="K192"/>
  <c r="I194"/>
  <c r="L194" s="1"/>
  <c r="O194" s="1"/>
  <c r="I195"/>
  <c r="I196"/>
  <c r="L196" s="1"/>
  <c r="O196" s="1"/>
  <c r="I197"/>
  <c r="L197" s="1"/>
  <c r="O197" s="1"/>
  <c r="D12" i="14" s="1"/>
  <c r="I198" i="58"/>
  <c r="L198" s="1"/>
  <c r="O198" s="1"/>
  <c r="D15" i="14" s="1"/>
  <c r="I199" i="58"/>
  <c r="L199" s="1"/>
  <c r="O199" s="1"/>
  <c r="I200"/>
  <c r="L200" s="1"/>
  <c r="O200" s="1"/>
  <c r="I201"/>
  <c r="L201" s="1"/>
  <c r="O201" s="1"/>
  <c r="I202"/>
  <c r="L202" s="1"/>
  <c r="O202" s="1"/>
  <c r="D14" i="14" s="1"/>
  <c r="I203" i="58"/>
  <c r="L203" s="1"/>
  <c r="O203" s="1"/>
  <c r="L204"/>
  <c r="O204" s="1"/>
  <c r="F212"/>
  <c r="G212"/>
  <c r="H212"/>
  <c r="J212"/>
  <c r="K212"/>
  <c r="I214"/>
  <c r="L214" s="1"/>
  <c r="O214" s="1"/>
  <c r="F216"/>
  <c r="G216"/>
  <c r="H216"/>
  <c r="J216"/>
  <c r="K216"/>
  <c r="O10" i="5" l="1"/>
  <c r="Q194" i="58"/>
  <c r="Q210" s="1"/>
  <c r="D13" i="14"/>
  <c r="L169" i="58"/>
  <c r="O169" s="1"/>
  <c r="R169" s="1"/>
  <c r="L111"/>
  <c r="L146" i="9"/>
  <c r="G24" i="4" s="1"/>
  <c r="D160" i="9"/>
  <c r="D162" s="1"/>
  <c r="L168" i="58"/>
  <c r="O168" s="1"/>
  <c r="R168" s="1"/>
  <c r="O130"/>
  <c r="S130" s="1"/>
  <c r="L33"/>
  <c r="D124" i="40"/>
  <c r="O216" i="58"/>
  <c r="C45" i="4"/>
  <c r="L45" s="1"/>
  <c r="D133" i="9"/>
  <c r="O185" i="58"/>
  <c r="I216"/>
  <c r="G220"/>
  <c r="H220"/>
  <c r="I185"/>
  <c r="I105"/>
  <c r="F71"/>
  <c r="O33"/>
  <c r="J220"/>
  <c r="O100"/>
  <c r="O165"/>
  <c r="O161"/>
  <c r="O37"/>
  <c r="O29"/>
  <c r="M31"/>
  <c r="N163"/>
  <c r="L167"/>
  <c r="O167" s="1"/>
  <c r="R167" s="1"/>
  <c r="I113"/>
  <c r="F37"/>
  <c r="K31"/>
  <c r="K220" s="1"/>
  <c r="I29"/>
  <c r="N31"/>
  <c r="M163"/>
  <c r="M220" s="1"/>
  <c r="L195"/>
  <c r="O195" s="1"/>
  <c r="D20" i="14" s="1"/>
  <c r="I212" i="58"/>
  <c r="L187"/>
  <c r="O187" s="1"/>
  <c r="O192" s="1"/>
  <c r="I192"/>
  <c r="L185"/>
  <c r="L177"/>
  <c r="O177" s="1"/>
  <c r="O180" s="1"/>
  <c r="I180"/>
  <c r="L37"/>
  <c r="L29"/>
  <c r="L16"/>
  <c r="O16" s="1"/>
  <c r="O22" s="1"/>
  <c r="I22"/>
  <c r="L5"/>
  <c r="O5" s="1"/>
  <c r="O7" s="1"/>
  <c r="I7"/>
  <c r="L216"/>
  <c r="L161"/>
  <c r="L113"/>
  <c r="L100"/>
  <c r="I71"/>
  <c r="L39"/>
  <c r="O39" s="1"/>
  <c r="I174"/>
  <c r="I161"/>
  <c r="I100"/>
  <c r="I37"/>
  <c r="F22"/>
  <c r="F31" s="1"/>
  <c r="F7"/>
  <c r="O111" l="1"/>
  <c r="H146" i="9"/>
  <c r="E24" i="4" s="1"/>
  <c r="D51" i="7"/>
  <c r="C25" i="4"/>
  <c r="L25" s="1"/>
  <c r="D84" i="11"/>
  <c r="C40" i="4" s="1"/>
  <c r="L40" s="1"/>
  <c r="D144" i="9"/>
  <c r="D21" i="14"/>
  <c r="C43" i="4" s="1"/>
  <c r="L43" s="1"/>
  <c r="H221" i="58"/>
  <c r="O212"/>
  <c r="O31"/>
  <c r="N220"/>
  <c r="I31"/>
  <c r="L174"/>
  <c r="I163"/>
  <c r="L22"/>
  <c r="L31" s="1"/>
  <c r="O174"/>
  <c r="I220"/>
  <c r="L163"/>
  <c r="L71"/>
  <c r="O71" s="1"/>
  <c r="L7"/>
  <c r="L180"/>
  <c r="L192"/>
  <c r="L212"/>
  <c r="F220"/>
  <c r="D146" i="9" l="1"/>
  <c r="O113" i="58"/>
  <c r="O163" s="1"/>
  <c r="D168" i="9" s="1"/>
  <c r="D148"/>
  <c r="C23" i="4"/>
  <c r="L23" s="1"/>
  <c r="L220" i="58"/>
  <c r="O220" l="1"/>
  <c r="C24" i="4"/>
  <c r="P146" i="9"/>
  <c r="D167"/>
  <c r="D169" s="1"/>
  <c r="G427" i="76"/>
  <c r="G479"/>
  <c r="G476"/>
  <c r="G475"/>
  <c r="G461"/>
  <c r="G434"/>
  <c r="G426"/>
  <c r="G412"/>
  <c r="G400"/>
  <c r="G392"/>
  <c r="G378"/>
  <c r="G368"/>
  <c r="G349"/>
  <c r="G460"/>
  <c r="G433"/>
  <c r="G348"/>
  <c r="G459"/>
  <c r="G347"/>
  <c r="G458"/>
  <c r="G425"/>
  <c r="G383"/>
  <c r="G457"/>
  <c r="G424"/>
  <c r="G456"/>
  <c r="G367"/>
  <c r="G474"/>
  <c r="G455"/>
  <c r="G432"/>
  <c r="G399"/>
  <c r="G391"/>
  <c r="G377"/>
  <c r="G366"/>
  <c r="G365"/>
  <c r="G477"/>
  <c r="G473"/>
  <c r="G454"/>
  <c r="G431"/>
  <c r="G423"/>
  <c r="G398"/>
  <c r="G390"/>
  <c r="G376"/>
  <c r="G364"/>
  <c r="G472"/>
  <c r="G471"/>
  <c r="G453"/>
  <c r="G430"/>
  <c r="G422"/>
  <c r="G411"/>
  <c r="G389"/>
  <c r="G363"/>
  <c r="G452"/>
  <c r="G429"/>
  <c r="G397"/>
  <c r="G375"/>
  <c r="G362"/>
  <c r="G361"/>
  <c r="G451"/>
  <c r="G374"/>
  <c r="G360"/>
  <c r="G338"/>
  <c r="G382"/>
  <c r="G406"/>
  <c r="G340"/>
  <c r="G450"/>
  <c r="G381"/>
  <c r="G437"/>
  <c r="G401"/>
  <c r="G354"/>
  <c r="G346"/>
  <c r="G385"/>
  <c r="G384"/>
  <c r="G470"/>
  <c r="G469"/>
  <c r="G449"/>
  <c r="G439"/>
  <c r="G436"/>
  <c r="G428"/>
  <c r="G421"/>
  <c r="G410"/>
  <c r="G388"/>
  <c r="G353"/>
  <c r="G345"/>
  <c r="G337"/>
  <c r="G336"/>
  <c r="G335"/>
  <c r="G468"/>
  <c r="G448"/>
  <c r="G420"/>
  <c r="G359"/>
  <c r="G447"/>
  <c r="G419"/>
  <c r="G441"/>
  <c r="G358"/>
  <c r="G394"/>
  <c r="G478"/>
  <c r="G446"/>
  <c r="G418"/>
  <c r="G352"/>
  <c r="G344"/>
  <c r="G334"/>
  <c r="G467"/>
  <c r="G466"/>
  <c r="G445"/>
  <c r="G435"/>
  <c r="G417"/>
  <c r="G409"/>
  <c r="G387"/>
  <c r="G357"/>
  <c r="G343"/>
  <c r="G444"/>
  <c r="G416"/>
  <c r="G395"/>
  <c r="G351"/>
  <c r="G333"/>
  <c r="G465"/>
  <c r="G464"/>
  <c r="G443"/>
  <c r="G415"/>
  <c r="G408"/>
  <c r="G386"/>
  <c r="G372"/>
  <c r="G356"/>
  <c r="G350"/>
  <c r="G342"/>
  <c r="G332"/>
  <c r="G413"/>
  <c r="G402"/>
  <c r="G440"/>
  <c r="G379"/>
  <c r="G405"/>
  <c r="G480"/>
  <c r="G369"/>
  <c r="G463"/>
  <c r="G462"/>
  <c r="G442"/>
  <c r="G438"/>
  <c r="G414"/>
  <c r="G407"/>
  <c r="G404"/>
  <c r="G403"/>
  <c r="G396"/>
  <c r="G373"/>
  <c r="G371"/>
  <c r="G370"/>
  <c r="G355"/>
  <c r="G339"/>
  <c r="G341"/>
  <c r="G331"/>
  <c r="G380"/>
  <c r="G393"/>
  <c r="G223"/>
  <c r="G220"/>
  <c r="F483"/>
  <c r="E483"/>
  <c r="D311" i="16" s="1"/>
  <c r="F49" i="5" s="1"/>
  <c r="O49" s="1"/>
  <c r="F325" i="76"/>
  <c r="E325"/>
  <c r="C50" i="34"/>
  <c r="B50"/>
  <c r="F47" i="79" s="1"/>
  <c r="G47" s="1"/>
  <c r="C49" i="34"/>
  <c r="B49"/>
  <c r="F46" i="79" s="1"/>
  <c r="G46" s="1"/>
  <c r="F312" i="76"/>
  <c r="E312"/>
  <c r="F306"/>
  <c r="E306"/>
  <c r="F47" i="5" s="1"/>
  <c r="O47" s="1"/>
  <c r="C42" i="34"/>
  <c r="E302" i="76"/>
  <c r="B42" i="34" s="1"/>
  <c r="F42" i="79" s="1"/>
  <c r="F297" i="76"/>
  <c r="E297"/>
  <c r="D232" i="16" s="1"/>
  <c r="F289" i="76"/>
  <c r="E289"/>
  <c r="G289" s="1"/>
  <c r="F243"/>
  <c r="E243"/>
  <c r="F41" i="5" s="1"/>
  <c r="C38" i="34"/>
  <c r="B38"/>
  <c r="F38" i="79" s="1"/>
  <c r="I38" s="1"/>
  <c r="C37" i="34"/>
  <c r="B37"/>
  <c r="F37" i="79" s="1"/>
  <c r="G217" i="76"/>
  <c r="G216"/>
  <c r="G215"/>
  <c r="G214"/>
  <c r="G213"/>
  <c r="G212"/>
  <c r="G211"/>
  <c r="C36" i="34"/>
  <c r="B36"/>
  <c r="F36" i="79" s="1"/>
  <c r="G207" i="76"/>
  <c r="G206"/>
  <c r="G205"/>
  <c r="G204"/>
  <c r="G203"/>
  <c r="G202"/>
  <c r="G201"/>
  <c r="G200"/>
  <c r="G199"/>
  <c r="G198"/>
  <c r="G197"/>
  <c r="G196"/>
  <c r="G195"/>
  <c r="G194"/>
  <c r="G193"/>
  <c r="G192"/>
  <c r="G191"/>
  <c r="G190"/>
  <c r="G189"/>
  <c r="G188"/>
  <c r="G187"/>
  <c r="G186"/>
  <c r="G185"/>
  <c r="G184"/>
  <c r="G183"/>
  <c r="G182"/>
  <c r="G181"/>
  <c r="G180"/>
  <c r="G179"/>
  <c r="G178"/>
  <c r="G177"/>
  <c r="G176"/>
  <c r="G175"/>
  <c r="G174"/>
  <c r="G173"/>
  <c r="G172"/>
  <c r="G171"/>
  <c r="G170"/>
  <c r="G169"/>
  <c r="G168"/>
  <c r="G167"/>
  <c r="G166"/>
  <c r="G165"/>
  <c r="G164"/>
  <c r="G163"/>
  <c r="G162"/>
  <c r="G161"/>
  <c r="G160"/>
  <c r="G159"/>
  <c r="G158"/>
  <c r="G157"/>
  <c r="G156"/>
  <c r="G155"/>
  <c r="G154"/>
  <c r="G153"/>
  <c r="G152"/>
  <c r="G151"/>
  <c r="G150"/>
  <c r="G149"/>
  <c r="G148"/>
  <c r="G147"/>
  <c r="G146"/>
  <c r="G145"/>
  <c r="G144"/>
  <c r="G143"/>
  <c r="G142"/>
  <c r="G141"/>
  <c r="G140"/>
  <c r="G139"/>
  <c r="G138"/>
  <c r="G137"/>
  <c r="G136"/>
  <c r="G135"/>
  <c r="G134"/>
  <c r="G133"/>
  <c r="G132"/>
  <c r="G131"/>
  <c r="G130"/>
  <c r="G129"/>
  <c r="G128"/>
  <c r="G127"/>
  <c r="G126"/>
  <c r="G125"/>
  <c r="G124"/>
  <c r="G123"/>
  <c r="G122"/>
  <c r="G121"/>
  <c r="G120"/>
  <c r="G119"/>
  <c r="G118"/>
  <c r="G117"/>
  <c r="G116"/>
  <c r="G115"/>
  <c r="G114"/>
  <c r="G113"/>
  <c r="G112"/>
  <c r="G111"/>
  <c r="G110"/>
  <c r="G109"/>
  <c r="G108"/>
  <c r="G107"/>
  <c r="G106"/>
  <c r="G105"/>
  <c r="G104"/>
  <c r="G103"/>
  <c r="G102"/>
  <c r="G101"/>
  <c r="G100"/>
  <c r="G99"/>
  <c r="G98"/>
  <c r="G97"/>
  <c r="G96"/>
  <c r="G95"/>
  <c r="G94"/>
  <c r="G93"/>
  <c r="G92"/>
  <c r="G91"/>
  <c r="G90"/>
  <c r="G89"/>
  <c r="G88"/>
  <c r="G87"/>
  <c r="G86"/>
  <c r="G85"/>
  <c r="G84"/>
  <c r="G83"/>
  <c r="G82"/>
  <c r="G81"/>
  <c r="G80"/>
  <c r="G79"/>
  <c r="G78"/>
  <c r="G77"/>
  <c r="G76"/>
  <c r="G75"/>
  <c r="G74"/>
  <c r="G73"/>
  <c r="G72"/>
  <c r="G71"/>
  <c r="G70"/>
  <c r="G69"/>
  <c r="G68"/>
  <c r="G67"/>
  <c r="G66"/>
  <c r="G65"/>
  <c r="G64"/>
  <c r="G63"/>
  <c r="G62"/>
  <c r="G61"/>
  <c r="G60"/>
  <c r="G59"/>
  <c r="G58"/>
  <c r="G57"/>
  <c r="G56"/>
  <c r="G55"/>
  <c r="G54"/>
  <c r="G53"/>
  <c r="G52"/>
  <c r="G51"/>
  <c r="G50"/>
  <c r="G49"/>
  <c r="G48"/>
  <c r="G47"/>
  <c r="G46"/>
  <c r="G45"/>
  <c r="G44"/>
  <c r="G43"/>
  <c r="G42"/>
  <c r="G41"/>
  <c r="G40"/>
  <c r="G39"/>
  <c r="G38"/>
  <c r="G37"/>
  <c r="G36"/>
  <c r="G35"/>
  <c r="G34"/>
  <c r="G33"/>
  <c r="G32"/>
  <c r="G31"/>
  <c r="G30"/>
  <c r="G29"/>
  <c r="G28"/>
  <c r="G27"/>
  <c r="G26"/>
  <c r="G25"/>
  <c r="G24"/>
  <c r="G23"/>
  <c r="G22"/>
  <c r="G21"/>
  <c r="G20"/>
  <c r="G19"/>
  <c r="G18"/>
  <c r="G17"/>
  <c r="G16"/>
  <c r="G15"/>
  <c r="G14"/>
  <c r="G13"/>
  <c r="G12"/>
  <c r="G11"/>
  <c r="G10"/>
  <c r="G9"/>
  <c r="G8"/>
  <c r="G210"/>
  <c r="G6"/>
  <c r="G5"/>
  <c r="G4"/>
  <c r="G3"/>
  <c r="F208"/>
  <c r="E208"/>
  <c r="B35" i="34" s="1"/>
  <c r="F35" i="79" s="1"/>
  <c r="B21" i="34"/>
  <c r="F21" i="79" s="1"/>
  <c r="C20" i="34"/>
  <c r="B20"/>
  <c r="F20" i="79" s="1"/>
  <c r="C19" i="34"/>
  <c r="C17"/>
  <c r="B17"/>
  <c r="F17" i="79" s="1"/>
  <c r="C18" i="34"/>
  <c r="C16"/>
  <c r="C15"/>
  <c r="B18"/>
  <c r="F18" i="79" s="1"/>
  <c r="B16" i="34"/>
  <c r="F16" i="79" s="1"/>
  <c r="B15" i="34"/>
  <c r="F15" i="79" s="1"/>
  <c r="C14" i="34"/>
  <c r="C10"/>
  <c r="B10"/>
  <c r="F10" i="79" s="1"/>
  <c r="C9" i="34"/>
  <c r="F9" i="79"/>
  <c r="C8" i="34"/>
  <c r="B8"/>
  <c r="F8" i="79" s="1"/>
  <c r="T59" i="33"/>
  <c r="R59"/>
  <c r="V70"/>
  <c r="T69"/>
  <c r="T68" s="1"/>
  <c r="R69"/>
  <c r="V66"/>
  <c r="V60"/>
  <c r="V41"/>
  <c r="V40"/>
  <c r="V39"/>
  <c r="T39"/>
  <c r="R39"/>
  <c r="R36"/>
  <c r="V27"/>
  <c r="R26"/>
  <c r="R20"/>
  <c r="T810" i="59"/>
  <c r="V810" s="1"/>
  <c r="S810"/>
  <c r="T768"/>
  <c r="V768" s="1"/>
  <c r="V811" s="1"/>
  <c r="S768"/>
  <c r="T763"/>
  <c r="V763" s="1"/>
  <c r="S763"/>
  <c r="T743"/>
  <c r="V743" s="1"/>
  <c r="S743"/>
  <c r="T733"/>
  <c r="V733" s="1"/>
  <c r="S733"/>
  <c r="T713"/>
  <c r="V713" s="1"/>
  <c r="S713"/>
  <c r="T706"/>
  <c r="V706" s="1"/>
  <c r="S706"/>
  <c r="T689"/>
  <c r="V689" s="1"/>
  <c r="S689"/>
  <c r="T681"/>
  <c r="S681"/>
  <c r="T672"/>
  <c r="V672" s="1"/>
  <c r="S672"/>
  <c r="T632"/>
  <c r="V632" s="1"/>
  <c r="S632"/>
  <c r="T619"/>
  <c r="U619"/>
  <c r="T594"/>
  <c r="V594" s="1"/>
  <c r="S594"/>
  <c r="U594" s="1"/>
  <c r="U620" s="1"/>
  <c r="T587"/>
  <c r="V587" s="1"/>
  <c r="S587"/>
  <c r="T549"/>
  <c r="V549" s="1"/>
  <c r="V588" s="1"/>
  <c r="S549"/>
  <c r="T538"/>
  <c r="V538" s="1"/>
  <c r="S538"/>
  <c r="T503"/>
  <c r="V503" s="1"/>
  <c r="S503"/>
  <c r="T468"/>
  <c r="S468"/>
  <c r="T465"/>
  <c r="V465" s="1"/>
  <c r="S465"/>
  <c r="T443"/>
  <c r="V443" s="1"/>
  <c r="V466" s="1"/>
  <c r="S443"/>
  <c r="T439"/>
  <c r="V439" s="1"/>
  <c r="S439"/>
  <c r="T412"/>
  <c r="V412" s="1"/>
  <c r="V440" s="1"/>
  <c r="S412"/>
  <c r="T409"/>
  <c r="V409" s="1"/>
  <c r="S409"/>
  <c r="T372"/>
  <c r="V372" s="1"/>
  <c r="S372"/>
  <c r="T346"/>
  <c r="V346" s="1"/>
  <c r="V373" s="1"/>
  <c r="S346"/>
  <c r="T342"/>
  <c r="V342" s="1"/>
  <c r="S342"/>
  <c r="T329"/>
  <c r="V329" s="1"/>
  <c r="S329"/>
  <c r="T277"/>
  <c r="V277" s="1"/>
  <c r="S277"/>
  <c r="T270"/>
  <c r="V270" s="1"/>
  <c r="S270"/>
  <c r="T246"/>
  <c r="V246" s="1"/>
  <c r="S246"/>
  <c r="T218"/>
  <c r="V218" s="1"/>
  <c r="V247" s="1"/>
  <c r="S218"/>
  <c r="T215"/>
  <c r="S215"/>
  <c r="U215" s="1"/>
  <c r="T201"/>
  <c r="V201" s="1"/>
  <c r="S201"/>
  <c r="T171"/>
  <c r="V171" s="1"/>
  <c r="S171"/>
  <c r="T157"/>
  <c r="S157"/>
  <c r="T154"/>
  <c r="S154"/>
  <c r="T140"/>
  <c r="S140"/>
  <c r="W140" s="1"/>
  <c r="T121"/>
  <c r="V121" s="1"/>
  <c r="S121"/>
  <c r="T90"/>
  <c r="V90" s="1"/>
  <c r="V91" s="1"/>
  <c r="S90"/>
  <c r="W90" s="1"/>
  <c r="T23"/>
  <c r="S17"/>
  <c r="W17" s="1"/>
  <c r="O41" i="5" l="1"/>
  <c r="F51"/>
  <c r="J24" i="4"/>
  <c r="L24"/>
  <c r="V619" i="59"/>
  <c r="W619"/>
  <c r="V620"/>
  <c r="R18" i="33"/>
  <c r="W157" i="59"/>
  <c r="U218"/>
  <c r="W218"/>
  <c r="U277"/>
  <c r="W277"/>
  <c r="U342"/>
  <c r="W342"/>
  <c r="U346"/>
  <c r="W346"/>
  <c r="R56" i="33"/>
  <c r="W412" i="59"/>
  <c r="U443"/>
  <c r="W443"/>
  <c r="U465"/>
  <c r="W465"/>
  <c r="U689"/>
  <c r="W689"/>
  <c r="U706"/>
  <c r="W706"/>
  <c r="U713"/>
  <c r="W713"/>
  <c r="U733"/>
  <c r="W733"/>
  <c r="U743"/>
  <c r="W743"/>
  <c r="U763"/>
  <c r="W763"/>
  <c r="U768"/>
  <c r="W768"/>
  <c r="T11" i="33"/>
  <c r="W154" i="59"/>
  <c r="W468"/>
  <c r="W681"/>
  <c r="T74" i="33" s="1"/>
  <c r="V74" s="1"/>
  <c r="O24" i="7"/>
  <c r="D353" i="16"/>
  <c r="M41" i="5"/>
  <c r="M49"/>
  <c r="R17" i="33"/>
  <c r="W594" i="59"/>
  <c r="V215"/>
  <c r="W215"/>
  <c r="C35" i="34"/>
  <c r="E35" i="79"/>
  <c r="I35" s="1"/>
  <c r="C39" i="34"/>
  <c r="E39" i="79"/>
  <c r="C40" i="34"/>
  <c r="E40" i="79"/>
  <c r="C41" i="34"/>
  <c r="E41" i="79"/>
  <c r="C45" i="34"/>
  <c r="E43" i="79"/>
  <c r="C46" i="34"/>
  <c r="E44" i="79"/>
  <c r="B46" i="34"/>
  <c r="F44" i="79" s="1"/>
  <c r="U549" i="59"/>
  <c r="W549"/>
  <c r="U810"/>
  <c r="W810"/>
  <c r="U672"/>
  <c r="W672"/>
  <c r="U587"/>
  <c r="W587"/>
  <c r="U538"/>
  <c r="W538"/>
  <c r="U503"/>
  <c r="W503"/>
  <c r="U439"/>
  <c r="W439"/>
  <c r="U409"/>
  <c r="W409"/>
  <c r="U270"/>
  <c r="W270"/>
  <c r="U246"/>
  <c r="W246"/>
  <c r="U201"/>
  <c r="W201"/>
  <c r="G325" i="76"/>
  <c r="U121" i="59"/>
  <c r="W121"/>
  <c r="T10" i="33"/>
  <c r="U372" i="59"/>
  <c r="U373" s="1"/>
  <c r="W372"/>
  <c r="U329"/>
  <c r="W329"/>
  <c r="U632"/>
  <c r="U673" s="1"/>
  <c r="W632"/>
  <c r="U171"/>
  <c r="W171"/>
  <c r="B40" i="34"/>
  <c r="F40" i="79" s="1"/>
  <c r="B45" i="34"/>
  <c r="F43" i="79" s="1"/>
  <c r="B41" i="34"/>
  <c r="F41" i="79" s="1"/>
  <c r="J41" s="1"/>
  <c r="D233" i="16"/>
  <c r="F54" i="5" s="1"/>
  <c r="O54" s="1"/>
  <c r="U811" i="59"/>
  <c r="U588"/>
  <c r="U247"/>
  <c r="C51" i="34"/>
  <c r="E48" i="79"/>
  <c r="V468" i="59"/>
  <c r="V504" s="1"/>
  <c r="E11" i="79"/>
  <c r="B39" i="34"/>
  <c r="F39" i="79" s="1"/>
  <c r="I15"/>
  <c r="J15"/>
  <c r="J18"/>
  <c r="I18"/>
  <c r="J20"/>
  <c r="I20"/>
  <c r="I21"/>
  <c r="J21"/>
  <c r="J36"/>
  <c r="I36"/>
  <c r="C47" i="34"/>
  <c r="E45" i="79"/>
  <c r="I8"/>
  <c r="J8"/>
  <c r="J9"/>
  <c r="I9"/>
  <c r="J16"/>
  <c r="I16"/>
  <c r="I17"/>
  <c r="J17"/>
  <c r="J35"/>
  <c r="J37"/>
  <c r="I37"/>
  <c r="I42"/>
  <c r="J42"/>
  <c r="G42"/>
  <c r="H42" s="1"/>
  <c r="T33" i="33"/>
  <c r="V33" s="1"/>
  <c r="S23" i="59"/>
  <c r="D25" i="78"/>
  <c r="D88" s="1"/>
  <c r="U22" i="59"/>
  <c r="U468"/>
  <c r="U504" s="1"/>
  <c r="D43" i="16"/>
  <c r="F14" i="5" s="1"/>
  <c r="R14" i="33"/>
  <c r="T16"/>
  <c r="R16"/>
  <c r="T21"/>
  <c r="V21" s="1"/>
  <c r="T23"/>
  <c r="V23" s="1"/>
  <c r="T28"/>
  <c r="V28" s="1"/>
  <c r="V26" s="1"/>
  <c r="R34"/>
  <c r="T32"/>
  <c r="V32" s="1"/>
  <c r="T34"/>
  <c r="R65"/>
  <c r="T65"/>
  <c r="B11" i="34"/>
  <c r="F11" i="79" s="1"/>
  <c r="B19" i="34"/>
  <c r="F19" i="79" s="1"/>
  <c r="T15" i="33"/>
  <c r="V15" s="1"/>
  <c r="T17"/>
  <c r="T22"/>
  <c r="V22" s="1"/>
  <c r="T24"/>
  <c r="V24" s="1"/>
  <c r="R31"/>
  <c r="T31"/>
  <c r="T37"/>
  <c r="V37" s="1"/>
  <c r="V36" s="1"/>
  <c r="T56"/>
  <c r="T55" s="1"/>
  <c r="R61"/>
  <c r="R58" s="1"/>
  <c r="T61"/>
  <c r="T58" s="1"/>
  <c r="T64"/>
  <c r="C11" i="34"/>
  <c r="B47"/>
  <c r="F45" i="79" s="1"/>
  <c r="V673" i="59"/>
  <c r="T73" i="33"/>
  <c r="T72" s="1"/>
  <c r="V330" i="59"/>
  <c r="T14" i="33"/>
  <c r="U330" i="59"/>
  <c r="T18" i="33"/>
  <c r="R64"/>
  <c r="R73"/>
  <c r="R72" s="1"/>
  <c r="V69"/>
  <c r="V68" s="1"/>
  <c r="V59"/>
  <c r="R68"/>
  <c r="R55"/>
  <c r="U90" i="59"/>
  <c r="O14" i="5" l="1"/>
  <c r="F26"/>
  <c r="O51"/>
  <c r="F56"/>
  <c r="O56" s="1"/>
  <c r="I43" i="79"/>
  <c r="I40"/>
  <c r="R11" i="33"/>
  <c r="R10" s="1"/>
  <c r="U466" i="59"/>
  <c r="W23"/>
  <c r="S811"/>
  <c r="W811" s="1"/>
  <c r="R63" i="33"/>
  <c r="V17"/>
  <c r="O27" i="7"/>
  <c r="D355" i="16" s="1"/>
  <c r="J43" i="79"/>
  <c r="I41"/>
  <c r="V14" i="33"/>
  <c r="I39" i="79"/>
  <c r="I44"/>
  <c r="J40"/>
  <c r="G39"/>
  <c r="H39" s="1"/>
  <c r="J39"/>
  <c r="D17" i="7"/>
  <c r="D359" i="16" s="1"/>
  <c r="E49" i="79"/>
  <c r="T26" i="33"/>
  <c r="V64"/>
  <c r="F48" i="79"/>
  <c r="F49" s="1"/>
  <c r="I19"/>
  <c r="J19"/>
  <c r="I11"/>
  <c r="J11"/>
  <c r="F26"/>
  <c r="I45"/>
  <c r="J45"/>
  <c r="V34" i="33"/>
  <c r="V20"/>
  <c r="R30"/>
  <c r="V16"/>
  <c r="R13"/>
  <c r="T30"/>
  <c r="V61"/>
  <c r="V58" s="1"/>
  <c r="T63"/>
  <c r="V65"/>
  <c r="V56"/>
  <c r="V55" s="1"/>
  <c r="V31"/>
  <c r="V30" s="1"/>
  <c r="D12" i="81"/>
  <c r="D8" s="1"/>
  <c r="D41" s="1"/>
  <c r="D44" i="16"/>
  <c r="V11" i="33"/>
  <c r="V10" s="1"/>
  <c r="T20"/>
  <c r="T36"/>
  <c r="T13"/>
  <c r="V18"/>
  <c r="V73"/>
  <c r="V72" s="1"/>
  <c r="O26" i="5" l="1"/>
  <c r="F32"/>
  <c r="R76" i="33"/>
  <c r="R78" s="1"/>
  <c r="O21" i="7"/>
  <c r="O31" s="1"/>
  <c r="D12"/>
  <c r="V13" i="33"/>
  <c r="V63"/>
  <c r="J26" i="79"/>
  <c r="J48"/>
  <c r="I48"/>
  <c r="G48"/>
  <c r="I49"/>
  <c r="J49"/>
  <c r="F50"/>
  <c r="T76" i="33"/>
  <c r="T78" s="1"/>
  <c r="O32" i="5" l="1"/>
  <c r="F58"/>
  <c r="V76" i="33"/>
  <c r="V78" s="1"/>
  <c r="D46" i="9" s="1"/>
  <c r="D11" i="7"/>
  <c r="D14" s="1"/>
  <c r="O37"/>
  <c r="O47" s="1"/>
  <c r="H48" i="79"/>
  <c r="H49" s="1"/>
  <c r="G49"/>
  <c r="J50"/>
  <c r="F321" i="16"/>
  <c r="F344" s="1"/>
  <c r="F61" i="5" l="1"/>
  <c r="O61" s="1"/>
  <c r="O58"/>
  <c r="D19" i="7"/>
  <c r="L380" i="16"/>
  <c r="H48" i="9"/>
  <c r="Q48" l="1"/>
  <c r="O48"/>
  <c r="C45" i="6"/>
  <c r="D45" s="1"/>
  <c r="D351" i="16"/>
  <c r="D368" s="1"/>
  <c r="D36" i="12" l="1"/>
  <c r="M395" i="63" l="1"/>
  <c r="M394"/>
  <c r="M393"/>
  <c r="M392"/>
  <c r="M391"/>
  <c r="M390"/>
  <c r="M389"/>
  <c r="M387"/>
  <c r="M386"/>
  <c r="M385"/>
  <c r="M384"/>
  <c r="M383"/>
  <c r="M382"/>
  <c r="M381"/>
  <c r="M670"/>
  <c r="M669"/>
  <c r="M668"/>
  <c r="M667"/>
  <c r="M666"/>
  <c r="M665"/>
  <c r="M664"/>
  <c r="M663"/>
  <c r="M662"/>
  <c r="M661"/>
  <c r="M660"/>
  <c r="M659"/>
  <c r="M658"/>
  <c r="M657"/>
  <c r="M656"/>
  <c r="M655"/>
  <c r="M654"/>
  <c r="M653"/>
  <c r="M652"/>
  <c r="M651"/>
  <c r="M650"/>
  <c r="M649"/>
  <c r="M648"/>
  <c r="M647"/>
  <c r="M646"/>
  <c r="M645"/>
  <c r="M644"/>
  <c r="M643"/>
  <c r="M642"/>
  <c r="M641"/>
  <c r="M640"/>
  <c r="M639"/>
  <c r="M638"/>
  <c r="M637"/>
  <c r="M636"/>
  <c r="M635"/>
  <c r="M634"/>
  <c r="M633"/>
  <c r="M632"/>
  <c r="M631"/>
  <c r="M630"/>
  <c r="M629"/>
  <c r="M628"/>
  <c r="M627"/>
  <c r="M626"/>
  <c r="M625"/>
  <c r="M624"/>
  <c r="M623"/>
  <c r="M622"/>
  <c r="M621"/>
  <c r="M620"/>
  <c r="M619"/>
  <c r="M618"/>
  <c r="M617"/>
  <c r="M616"/>
  <c r="M615"/>
  <c r="M614"/>
  <c r="M613"/>
  <c r="M612"/>
  <c r="M611"/>
  <c r="M610"/>
  <c r="M609"/>
  <c r="M608"/>
  <c r="M607"/>
  <c r="M606"/>
  <c r="M605"/>
  <c r="M604"/>
  <c r="M603"/>
  <c r="M602"/>
  <c r="M601"/>
  <c r="M600"/>
  <c r="M599"/>
  <c r="M598"/>
  <c r="M597"/>
  <c r="M596"/>
  <c r="M595"/>
  <c r="M594"/>
  <c r="M593"/>
  <c r="M592"/>
  <c r="M591"/>
  <c r="M590"/>
  <c r="M589"/>
  <c r="M588"/>
  <c r="M587"/>
  <c r="M586"/>
  <c r="M585"/>
  <c r="M584"/>
  <c r="M583"/>
  <c r="M582"/>
  <c r="M581"/>
  <c r="M580"/>
  <c r="M579"/>
  <c r="M578"/>
  <c r="M577"/>
  <c r="M576"/>
  <c r="M575"/>
  <c r="M574"/>
  <c r="M573"/>
  <c r="M572"/>
  <c r="M571"/>
  <c r="M570"/>
  <c r="M569"/>
  <c r="M568"/>
  <c r="M567"/>
  <c r="M566"/>
  <c r="M565"/>
  <c r="M564"/>
  <c r="M563"/>
  <c r="M562"/>
  <c r="M561"/>
  <c r="M560"/>
  <c r="M559"/>
  <c r="M558"/>
  <c r="M557"/>
  <c r="M556"/>
  <c r="M555"/>
  <c r="M554"/>
  <c r="M553"/>
  <c r="M552"/>
  <c r="M551"/>
  <c r="M550"/>
  <c r="M549"/>
  <c r="M548"/>
  <c r="M547"/>
  <c r="M546"/>
  <c r="M545"/>
  <c r="M544"/>
  <c r="M543"/>
  <c r="M542"/>
  <c r="M541"/>
  <c r="M540"/>
  <c r="M539"/>
  <c r="M538"/>
  <c r="M537"/>
  <c r="M536"/>
  <c r="M535"/>
  <c r="M534"/>
  <c r="M533"/>
  <c r="M532"/>
  <c r="M531"/>
  <c r="M530"/>
  <c r="M529"/>
  <c r="M528"/>
  <c r="M527"/>
  <c r="M526"/>
  <c r="M525"/>
  <c r="M524"/>
  <c r="M523"/>
  <c r="M522"/>
  <c r="M521"/>
  <c r="M520"/>
  <c r="M519"/>
  <c r="M518"/>
  <c r="M517"/>
  <c r="M516"/>
  <c r="M515"/>
  <c r="M514"/>
  <c r="M513"/>
  <c r="M512"/>
  <c r="M511"/>
  <c r="M510"/>
  <c r="M509"/>
  <c r="M508"/>
  <c r="M507"/>
  <c r="M506"/>
  <c r="M505"/>
  <c r="M504"/>
  <c r="M503"/>
  <c r="M502"/>
  <c r="M501"/>
  <c r="M500"/>
  <c r="M499"/>
  <c r="M498"/>
  <c r="M497"/>
  <c r="M496"/>
  <c r="M495"/>
  <c r="M494"/>
  <c r="M493"/>
  <c r="M492"/>
  <c r="M491"/>
  <c r="M490"/>
  <c r="M489"/>
  <c r="M488"/>
  <c r="M487"/>
  <c r="M486"/>
  <c r="M485"/>
  <c r="M484"/>
  <c r="M483"/>
  <c r="M482"/>
  <c r="M481"/>
  <c r="M480"/>
  <c r="M479"/>
  <c r="M478"/>
  <c r="M477"/>
  <c r="M476"/>
  <c r="M475"/>
  <c r="M474"/>
  <c r="M473"/>
  <c r="M472"/>
  <c r="M471"/>
  <c r="M470"/>
  <c r="M469"/>
  <c r="M468"/>
  <c r="M467"/>
  <c r="M466"/>
  <c r="M465"/>
  <c r="M464"/>
  <c r="M463"/>
  <c r="M462"/>
  <c r="M461"/>
  <c r="M460"/>
  <c r="M459"/>
  <c r="M458"/>
  <c r="M457"/>
  <c r="M456"/>
  <c r="M455"/>
  <c r="M454"/>
  <c r="M453"/>
  <c r="M452"/>
  <c r="M451"/>
  <c r="M450"/>
  <c r="M449"/>
  <c r="M448"/>
  <c r="M447"/>
  <c r="M446"/>
  <c r="M445"/>
  <c r="M444"/>
  <c r="M443"/>
  <c r="M442"/>
  <c r="M441"/>
  <c r="M440"/>
  <c r="M439"/>
  <c r="M438"/>
  <c r="M437"/>
  <c r="M436"/>
  <c r="M435"/>
  <c r="M434"/>
  <c r="M433"/>
  <c r="M432"/>
  <c r="M431"/>
  <c r="M430"/>
  <c r="M429"/>
  <c r="M428"/>
  <c r="M427"/>
  <c r="M426"/>
  <c r="M425"/>
  <c r="M424"/>
  <c r="M423"/>
  <c r="M422"/>
  <c r="M421"/>
  <c r="M420"/>
  <c r="M419"/>
  <c r="M418"/>
  <c r="M417"/>
  <c r="M416"/>
  <c r="M415"/>
  <c r="M414"/>
  <c r="M413"/>
  <c r="M412"/>
  <c r="M411"/>
  <c r="M410"/>
  <c r="M409"/>
  <c r="M408"/>
  <c r="M407"/>
  <c r="M406"/>
  <c r="M405"/>
  <c r="M404"/>
  <c r="M403"/>
  <c r="M402"/>
  <c r="M401"/>
  <c r="M400"/>
  <c r="M399"/>
  <c r="M398"/>
  <c r="M397"/>
  <c r="M396"/>
  <c r="B11" i="6" l="1"/>
  <c r="B23" s="1"/>
  <c r="B28" s="1"/>
  <c r="B38" s="1"/>
  <c r="B48" i="34"/>
  <c r="K11" i="40"/>
  <c r="D12" i="6"/>
  <c r="D17"/>
  <c r="D18"/>
  <c r="D19"/>
  <c r="D37"/>
  <c r="E21" i="10" l="1"/>
  <c r="F16" i="14"/>
  <c r="F44" i="11"/>
  <c r="G13" i="59"/>
  <c r="I81" i="63"/>
  <c r="F25" i="81"/>
  <c r="M21" i="5"/>
  <c r="F52" i="16"/>
  <c r="L16" i="14" l="1"/>
  <c r="N16"/>
  <c r="M13" i="5"/>
  <c r="F24" i="81"/>
  <c r="M25" i="5"/>
  <c r="F363" i="16"/>
  <c r="I38" i="63" l="1"/>
  <c r="I52"/>
  <c r="G273" i="59"/>
  <c r="G543" l="1"/>
  <c r="G12"/>
  <c r="D98" i="14" l="1"/>
  <c r="D103" s="1"/>
  <c r="D144" i="40"/>
  <c r="F21" i="16" l="1"/>
  <c r="F20"/>
  <c r="I248" i="65" l="1"/>
  <c r="F90" i="16"/>
  <c r="I672" i="63" l="1"/>
  <c r="H36" i="69" l="1"/>
  <c r="H35"/>
  <c r="H33"/>
  <c r="H32"/>
  <c r="H17"/>
  <c r="H16"/>
  <c r="H14"/>
  <c r="H13"/>
  <c r="L13" i="68" l="1"/>
  <c r="L12"/>
  <c r="B8" i="72"/>
  <c r="B8" i="73"/>
  <c r="B8" i="32"/>
  <c r="B8" i="74"/>
  <c r="B8" i="71"/>
  <c r="B8" i="31"/>
  <c r="G13" i="68"/>
  <c r="N13" s="1"/>
  <c r="L31" i="32"/>
  <c r="L10"/>
  <c r="F58" i="72"/>
  <c r="M58" s="1"/>
  <c r="K57"/>
  <c r="K56" s="1"/>
  <c r="F57"/>
  <c r="F56" s="1"/>
  <c r="O56"/>
  <c r="J56"/>
  <c r="I56"/>
  <c r="H56"/>
  <c r="E56"/>
  <c r="D56"/>
  <c r="C56"/>
  <c r="B56"/>
  <c r="K54"/>
  <c r="F54"/>
  <c r="M54" s="1"/>
  <c r="K53"/>
  <c r="F53"/>
  <c r="M53" s="1"/>
  <c r="M52" s="1"/>
  <c r="O52"/>
  <c r="K52"/>
  <c r="J52"/>
  <c r="I52"/>
  <c r="H52"/>
  <c r="F52"/>
  <c r="E52"/>
  <c r="D52"/>
  <c r="C52"/>
  <c r="B52"/>
  <c r="K51"/>
  <c r="F51"/>
  <c r="M51" s="1"/>
  <c r="M50" s="1"/>
  <c r="O50"/>
  <c r="K50"/>
  <c r="J50"/>
  <c r="I50"/>
  <c r="H50"/>
  <c r="F50"/>
  <c r="E50"/>
  <c r="D50"/>
  <c r="C50"/>
  <c r="B50"/>
  <c r="K49"/>
  <c r="F49"/>
  <c r="M49" s="1"/>
  <c r="M48" s="1"/>
  <c r="O48"/>
  <c r="K48"/>
  <c r="J48"/>
  <c r="I48"/>
  <c r="H48"/>
  <c r="F48"/>
  <c r="E48"/>
  <c r="D48"/>
  <c r="C48"/>
  <c r="B48"/>
  <c r="K47"/>
  <c r="F47"/>
  <c r="M47" s="1"/>
  <c r="K46"/>
  <c r="F46"/>
  <c r="F45" s="1"/>
  <c r="O45"/>
  <c r="J45"/>
  <c r="I45"/>
  <c r="H45"/>
  <c r="E45"/>
  <c r="D45"/>
  <c r="C45"/>
  <c r="B45"/>
  <c r="K44"/>
  <c r="F44"/>
  <c r="M44" s="1"/>
  <c r="M43" s="1"/>
  <c r="O43"/>
  <c r="L43"/>
  <c r="K43"/>
  <c r="J43"/>
  <c r="I43"/>
  <c r="H43"/>
  <c r="E43"/>
  <c r="D43"/>
  <c r="C43"/>
  <c r="B43"/>
  <c r="K42"/>
  <c r="K40" s="1"/>
  <c r="F42"/>
  <c r="F41"/>
  <c r="M41" s="1"/>
  <c r="O40"/>
  <c r="L40"/>
  <c r="J40"/>
  <c r="I40"/>
  <c r="H40"/>
  <c r="F40"/>
  <c r="E40"/>
  <c r="D40"/>
  <c r="C40"/>
  <c r="B40"/>
  <c r="K39"/>
  <c r="F39"/>
  <c r="K38"/>
  <c r="F38"/>
  <c r="K37"/>
  <c r="F37"/>
  <c r="K36"/>
  <c r="K35" s="1"/>
  <c r="F36"/>
  <c r="O35"/>
  <c r="J35"/>
  <c r="I35"/>
  <c r="H35"/>
  <c r="F35"/>
  <c r="E35"/>
  <c r="D35"/>
  <c r="C35"/>
  <c r="B35"/>
  <c r="K34"/>
  <c r="F34"/>
  <c r="K33"/>
  <c r="F33"/>
  <c r="K32"/>
  <c r="K31" s="1"/>
  <c r="F32"/>
  <c r="O31"/>
  <c r="J31"/>
  <c r="I31"/>
  <c r="H31"/>
  <c r="F31"/>
  <c r="E31"/>
  <c r="D31"/>
  <c r="C31"/>
  <c r="B31"/>
  <c r="K30"/>
  <c r="F30"/>
  <c r="K29"/>
  <c r="F29"/>
  <c r="K28"/>
  <c r="K27" s="1"/>
  <c r="F28"/>
  <c r="M28" s="1"/>
  <c r="O27"/>
  <c r="L27"/>
  <c r="J27"/>
  <c r="I27"/>
  <c r="H27"/>
  <c r="E27"/>
  <c r="D27"/>
  <c r="C27"/>
  <c r="B27"/>
  <c r="K26"/>
  <c r="F26"/>
  <c r="K25"/>
  <c r="F25"/>
  <c r="M25" s="1"/>
  <c r="M24" s="1"/>
  <c r="O24"/>
  <c r="K24"/>
  <c r="J24"/>
  <c r="I24"/>
  <c r="H24"/>
  <c r="F24"/>
  <c r="E24"/>
  <c r="D24"/>
  <c r="C24"/>
  <c r="B24"/>
  <c r="K23"/>
  <c r="F23"/>
  <c r="M23" s="1"/>
  <c r="K22"/>
  <c r="F22"/>
  <c r="M22" s="1"/>
  <c r="K21"/>
  <c r="F21"/>
  <c r="M21" s="1"/>
  <c r="K20"/>
  <c r="F20"/>
  <c r="M20" s="1"/>
  <c r="K19"/>
  <c r="F19"/>
  <c r="M19" s="1"/>
  <c r="K18"/>
  <c r="F18"/>
  <c r="M18" s="1"/>
  <c r="K17"/>
  <c r="F17"/>
  <c r="M17" s="1"/>
  <c r="K16"/>
  <c r="F16"/>
  <c r="M16" s="1"/>
  <c r="K15"/>
  <c r="F15"/>
  <c r="M15" s="1"/>
  <c r="K14"/>
  <c r="F14"/>
  <c r="M14" s="1"/>
  <c r="K13"/>
  <c r="F13"/>
  <c r="M13" s="1"/>
  <c r="K12"/>
  <c r="F12"/>
  <c r="M12" s="1"/>
  <c r="K11"/>
  <c r="F11"/>
  <c r="M11" s="1"/>
  <c r="M10" s="1"/>
  <c r="O10"/>
  <c r="K10"/>
  <c r="J10"/>
  <c r="I10"/>
  <c r="H10"/>
  <c r="F10"/>
  <c r="E10"/>
  <c r="D10"/>
  <c r="C10"/>
  <c r="B10"/>
  <c r="K9"/>
  <c r="F9"/>
  <c r="M9" s="1"/>
  <c r="M8" s="1"/>
  <c r="O8"/>
  <c r="K8"/>
  <c r="J8"/>
  <c r="I8"/>
  <c r="H8"/>
  <c r="F8"/>
  <c r="E8"/>
  <c r="D8"/>
  <c r="C8"/>
  <c r="K34" i="74"/>
  <c r="F34"/>
  <c r="K33"/>
  <c r="F33"/>
  <c r="K32"/>
  <c r="F32"/>
  <c r="K31"/>
  <c r="F31"/>
  <c r="K30"/>
  <c r="F30"/>
  <c r="K29"/>
  <c r="F29"/>
  <c r="K28"/>
  <c r="M28" s="1"/>
  <c r="K27"/>
  <c r="F27"/>
  <c r="M27" s="1"/>
  <c r="N26"/>
  <c r="K26"/>
  <c r="J26"/>
  <c r="I26"/>
  <c r="H26"/>
  <c r="F26"/>
  <c r="E26"/>
  <c r="D26"/>
  <c r="C26"/>
  <c r="B26"/>
  <c r="K24"/>
  <c r="F24"/>
  <c r="M23"/>
  <c r="M22"/>
  <c r="N21"/>
  <c r="K21"/>
  <c r="J21"/>
  <c r="I21"/>
  <c r="H21"/>
  <c r="F21"/>
  <c r="E21"/>
  <c r="D21"/>
  <c r="C21"/>
  <c r="B21"/>
  <c r="K19"/>
  <c r="F19"/>
  <c r="M19" s="1"/>
  <c r="K18"/>
  <c r="F18"/>
  <c r="M18" s="1"/>
  <c r="K17"/>
  <c r="F17"/>
  <c r="M17" s="1"/>
  <c r="K16"/>
  <c r="F16"/>
  <c r="M16" s="1"/>
  <c r="K15"/>
  <c r="F15"/>
  <c r="M15" s="1"/>
  <c r="K14"/>
  <c r="F14"/>
  <c r="M14" s="1"/>
  <c r="K13"/>
  <c r="F13"/>
  <c r="M13" s="1"/>
  <c r="K12"/>
  <c r="F12"/>
  <c r="M12" s="1"/>
  <c r="K11"/>
  <c r="F11"/>
  <c r="M11" s="1"/>
  <c r="K10"/>
  <c r="F10"/>
  <c r="M10" s="1"/>
  <c r="K9"/>
  <c r="F9"/>
  <c r="M9" s="1"/>
  <c r="M8" s="1"/>
  <c r="N8"/>
  <c r="J8"/>
  <c r="I8"/>
  <c r="H8"/>
  <c r="E8"/>
  <c r="D8"/>
  <c r="C8"/>
  <c r="G58" i="73"/>
  <c r="P58" s="1"/>
  <c r="N57"/>
  <c r="N56" s="1"/>
  <c r="G57"/>
  <c r="G56" s="1"/>
  <c r="R56"/>
  <c r="M56"/>
  <c r="J56"/>
  <c r="I56"/>
  <c r="F56"/>
  <c r="E56"/>
  <c r="C56"/>
  <c r="B56"/>
  <c r="N54"/>
  <c r="G54"/>
  <c r="N53"/>
  <c r="N52" s="1"/>
  <c r="G53"/>
  <c r="R52"/>
  <c r="M52"/>
  <c r="J52"/>
  <c r="I52"/>
  <c r="G52"/>
  <c r="F52"/>
  <c r="E52"/>
  <c r="C52"/>
  <c r="B52"/>
  <c r="N51"/>
  <c r="N50" s="1"/>
  <c r="G51"/>
  <c r="R50"/>
  <c r="M50"/>
  <c r="J50"/>
  <c r="I50"/>
  <c r="G50"/>
  <c r="F50"/>
  <c r="E50"/>
  <c r="C50"/>
  <c r="B50"/>
  <c r="N49"/>
  <c r="N48" s="1"/>
  <c r="G49"/>
  <c r="R48"/>
  <c r="M48"/>
  <c r="J48"/>
  <c r="I48"/>
  <c r="F48"/>
  <c r="E48"/>
  <c r="C48"/>
  <c r="B48"/>
  <c r="N47"/>
  <c r="G47"/>
  <c r="N46"/>
  <c r="N45" s="1"/>
  <c r="G46"/>
  <c r="R45"/>
  <c r="M45"/>
  <c r="J45"/>
  <c r="I45"/>
  <c r="G45"/>
  <c r="F45"/>
  <c r="E45"/>
  <c r="C45"/>
  <c r="B45"/>
  <c r="N44"/>
  <c r="G44"/>
  <c r="R43"/>
  <c r="O43"/>
  <c r="N43"/>
  <c r="M43"/>
  <c r="J43"/>
  <c r="I43"/>
  <c r="F43"/>
  <c r="E43"/>
  <c r="C43"/>
  <c r="B43"/>
  <c r="N42"/>
  <c r="N40" s="1"/>
  <c r="G42"/>
  <c r="G41"/>
  <c r="P41" s="1"/>
  <c r="R40"/>
  <c r="O40"/>
  <c r="M40"/>
  <c r="J40"/>
  <c r="I40"/>
  <c r="F40"/>
  <c r="E40"/>
  <c r="C40"/>
  <c r="B40"/>
  <c r="N39"/>
  <c r="G39"/>
  <c r="N38"/>
  <c r="G38"/>
  <c r="N37"/>
  <c r="G37"/>
  <c r="N36"/>
  <c r="N35" s="1"/>
  <c r="G36"/>
  <c r="G35" s="1"/>
  <c r="R35"/>
  <c r="M35"/>
  <c r="J35"/>
  <c r="I35"/>
  <c r="F35"/>
  <c r="E35"/>
  <c r="C35"/>
  <c r="B35"/>
  <c r="N34"/>
  <c r="G34"/>
  <c r="N33"/>
  <c r="G33"/>
  <c r="N32"/>
  <c r="G32"/>
  <c r="R31"/>
  <c r="M31"/>
  <c r="J31"/>
  <c r="I31"/>
  <c r="G31"/>
  <c r="F31"/>
  <c r="E31"/>
  <c r="C31"/>
  <c r="B31"/>
  <c r="N30"/>
  <c r="G30"/>
  <c r="P30" s="1"/>
  <c r="N29"/>
  <c r="G29"/>
  <c r="P29" s="1"/>
  <c r="N28"/>
  <c r="G28"/>
  <c r="P28" s="1"/>
  <c r="P27" s="1"/>
  <c r="R27"/>
  <c r="O27"/>
  <c r="N27"/>
  <c r="M27"/>
  <c r="J27"/>
  <c r="I27"/>
  <c r="F27"/>
  <c r="E27"/>
  <c r="C27"/>
  <c r="B27"/>
  <c r="N26"/>
  <c r="G26"/>
  <c r="N25"/>
  <c r="N24" s="1"/>
  <c r="G25"/>
  <c r="G24" s="1"/>
  <c r="R24"/>
  <c r="M24"/>
  <c r="J24"/>
  <c r="I24"/>
  <c r="F24"/>
  <c r="E24"/>
  <c r="C24"/>
  <c r="B24"/>
  <c r="N23"/>
  <c r="G23"/>
  <c r="N22"/>
  <c r="G22"/>
  <c r="N21"/>
  <c r="G21"/>
  <c r="N20"/>
  <c r="G20"/>
  <c r="N19"/>
  <c r="G19"/>
  <c r="N18"/>
  <c r="G18"/>
  <c r="N17"/>
  <c r="G17"/>
  <c r="N16"/>
  <c r="G16"/>
  <c r="N15"/>
  <c r="G15"/>
  <c r="N14"/>
  <c r="G14"/>
  <c r="N13"/>
  <c r="G13"/>
  <c r="N11"/>
  <c r="G11"/>
  <c r="R10"/>
  <c r="M10"/>
  <c r="J10"/>
  <c r="I10"/>
  <c r="F10"/>
  <c r="E10"/>
  <c r="C10"/>
  <c r="B10"/>
  <c r="N9"/>
  <c r="N8" s="1"/>
  <c r="G9"/>
  <c r="R8"/>
  <c r="M8"/>
  <c r="J8"/>
  <c r="I8"/>
  <c r="G8"/>
  <c r="F8"/>
  <c r="E8"/>
  <c r="C8"/>
  <c r="G30" i="71"/>
  <c r="M34"/>
  <c r="G34"/>
  <c r="M33"/>
  <c r="G33"/>
  <c r="M32"/>
  <c r="G32"/>
  <c r="O32" s="1"/>
  <c r="M31"/>
  <c r="G31"/>
  <c r="M30"/>
  <c r="O30" s="1"/>
  <c r="M28"/>
  <c r="O28"/>
  <c r="M27"/>
  <c r="G27"/>
  <c r="P26"/>
  <c r="L26"/>
  <c r="J26"/>
  <c r="I26"/>
  <c r="F26"/>
  <c r="E26"/>
  <c r="C26"/>
  <c r="B26"/>
  <c r="M24"/>
  <c r="G24"/>
  <c r="O24" s="1"/>
  <c r="M21"/>
  <c r="G21"/>
  <c r="P21"/>
  <c r="L21"/>
  <c r="J21"/>
  <c r="I21"/>
  <c r="F21"/>
  <c r="E21"/>
  <c r="C21"/>
  <c r="B21"/>
  <c r="M19"/>
  <c r="G19"/>
  <c r="O19" s="1"/>
  <c r="M18"/>
  <c r="G18"/>
  <c r="O18" s="1"/>
  <c r="M17"/>
  <c r="G17"/>
  <c r="M16"/>
  <c r="G16"/>
  <c r="O16" s="1"/>
  <c r="M15"/>
  <c r="G15"/>
  <c r="M14"/>
  <c r="G14"/>
  <c r="M13"/>
  <c r="G13"/>
  <c r="M12"/>
  <c r="G12"/>
  <c r="M11"/>
  <c r="G11"/>
  <c r="O11" s="1"/>
  <c r="M10"/>
  <c r="G10"/>
  <c r="M9"/>
  <c r="G9"/>
  <c r="G8" s="1"/>
  <c r="P8"/>
  <c r="L8"/>
  <c r="J8"/>
  <c r="I8"/>
  <c r="F8"/>
  <c r="E8"/>
  <c r="C8"/>
  <c r="E36" l="1"/>
  <c r="P37" i="73"/>
  <c r="G40"/>
  <c r="P42"/>
  <c r="P46"/>
  <c r="P45" s="1"/>
  <c r="P47"/>
  <c r="P51"/>
  <c r="P50" s="1"/>
  <c r="P53"/>
  <c r="P54"/>
  <c r="M29" i="74"/>
  <c r="M30"/>
  <c r="M31"/>
  <c r="M32"/>
  <c r="M33"/>
  <c r="M34"/>
  <c r="M24"/>
  <c r="D17" i="70"/>
  <c r="E6" i="55" s="1"/>
  <c r="E9" s="1"/>
  <c r="J36" i="71"/>
  <c r="G26"/>
  <c r="G36" s="1"/>
  <c r="F36"/>
  <c r="P36"/>
  <c r="P14" i="73"/>
  <c r="P17"/>
  <c r="P19"/>
  <c r="P23"/>
  <c r="P26"/>
  <c r="G27"/>
  <c r="P32"/>
  <c r="K8" i="74"/>
  <c r="E36"/>
  <c r="H36"/>
  <c r="J36"/>
  <c r="N36"/>
  <c r="F27" i="72"/>
  <c r="M30"/>
  <c r="M32"/>
  <c r="M33"/>
  <c r="M34"/>
  <c r="M36"/>
  <c r="M37"/>
  <c r="M38"/>
  <c r="M39"/>
  <c r="L59"/>
  <c r="M42"/>
  <c r="F43"/>
  <c r="K45"/>
  <c r="O59"/>
  <c r="E59"/>
  <c r="B36" i="71"/>
  <c r="L36"/>
  <c r="O59" i="73"/>
  <c r="E59"/>
  <c r="R59"/>
  <c r="M21" i="74"/>
  <c r="B36"/>
  <c r="D36"/>
  <c r="I36"/>
  <c r="M26"/>
  <c r="M26" i="72"/>
  <c r="M40"/>
  <c r="D59"/>
  <c r="H59"/>
  <c r="J59"/>
  <c r="B59"/>
  <c r="I59"/>
  <c r="C59"/>
  <c r="K59"/>
  <c r="F59"/>
  <c r="M29"/>
  <c r="M27" s="1"/>
  <c r="M46"/>
  <c r="M45" s="1"/>
  <c r="M57"/>
  <c r="M56" s="1"/>
  <c r="C36" i="74"/>
  <c r="K36"/>
  <c r="M36"/>
  <c r="C34" i="4" s="1"/>
  <c r="F8" i="74"/>
  <c r="F36" s="1"/>
  <c r="P33" i="73"/>
  <c r="N31"/>
  <c r="P34"/>
  <c r="P31" s="1"/>
  <c r="P49"/>
  <c r="P48" s="1"/>
  <c r="P57"/>
  <c r="P56" s="1"/>
  <c r="P39"/>
  <c r="P38"/>
  <c r="P36"/>
  <c r="P40"/>
  <c r="P44"/>
  <c r="P43" s="1"/>
  <c r="G43"/>
  <c r="P25"/>
  <c r="P24" s="1"/>
  <c r="P22"/>
  <c r="P21"/>
  <c r="P20"/>
  <c r="J59"/>
  <c r="N10"/>
  <c r="P11"/>
  <c r="P12"/>
  <c r="P13"/>
  <c r="P15"/>
  <c r="P16"/>
  <c r="P18"/>
  <c r="G10"/>
  <c r="M59"/>
  <c r="P9"/>
  <c r="P8" s="1"/>
  <c r="I59"/>
  <c r="F59"/>
  <c r="C59"/>
  <c r="B59"/>
  <c r="G48"/>
  <c r="O29" i="71"/>
  <c r="O31"/>
  <c r="O33"/>
  <c r="O34"/>
  <c r="M26"/>
  <c r="O23"/>
  <c r="M8"/>
  <c r="O10"/>
  <c r="O12"/>
  <c r="O13"/>
  <c r="O14"/>
  <c r="O15"/>
  <c r="O17"/>
  <c r="I36"/>
  <c r="C36"/>
  <c r="O9"/>
  <c r="O22"/>
  <c r="O21" s="1"/>
  <c r="O27"/>
  <c r="J34" i="4" l="1"/>
  <c r="L34"/>
  <c r="P52" i="73"/>
  <c r="M36" i="71"/>
  <c r="M31" i="72"/>
  <c r="N59" i="73"/>
  <c r="M35" i="72"/>
  <c r="M59"/>
  <c r="G59" i="73"/>
  <c r="P35"/>
  <c r="P10"/>
  <c r="O26" i="71"/>
  <c r="O36" s="1"/>
  <c r="O8"/>
  <c r="P59" i="73" l="1"/>
  <c r="N63" i="9" l="1"/>
  <c r="J360" i="16" l="1"/>
  <c r="O58" i="9" l="1"/>
  <c r="G43" i="59"/>
  <c r="G42"/>
  <c r="I298" i="63"/>
  <c r="M50" i="5" s="1"/>
  <c r="I301" i="63"/>
  <c r="I318"/>
  <c r="G303" i="59"/>
  <c r="G90" l="1"/>
  <c r="F362" i="16" l="1"/>
  <c r="G18" i="70"/>
  <c r="F18"/>
  <c r="E18"/>
  <c r="C18"/>
  <c r="G17"/>
  <c r="F17"/>
  <c r="F16" s="1"/>
  <c r="G16"/>
  <c r="H15"/>
  <c r="H14"/>
  <c r="H13"/>
  <c r="H9"/>
  <c r="F25" i="11"/>
  <c r="L25" s="1"/>
  <c r="D120" i="40"/>
  <c r="D114"/>
  <c r="D108"/>
  <c r="D103"/>
  <c r="D156"/>
  <c r="H17" i="70" l="1"/>
  <c r="H18"/>
  <c r="H8"/>
  <c r="H10"/>
  <c r="J449" i="16"/>
  <c r="H16" i="70" l="1"/>
  <c r="D88" i="40"/>
  <c r="G43" i="69"/>
  <c r="F43"/>
  <c r="F10" s="1"/>
  <c r="E43"/>
  <c r="G42"/>
  <c r="G9" s="1"/>
  <c r="F42"/>
  <c r="E42"/>
  <c r="H40"/>
  <c r="H39"/>
  <c r="H38"/>
  <c r="H37"/>
  <c r="H34"/>
  <c r="H31"/>
  <c r="H30"/>
  <c r="H29"/>
  <c r="G28"/>
  <c r="F28"/>
  <c r="C28"/>
  <c r="G25"/>
  <c r="F25"/>
  <c r="E25"/>
  <c r="C25"/>
  <c r="G24"/>
  <c r="G23" s="1"/>
  <c r="F24"/>
  <c r="E24"/>
  <c r="E23" s="1"/>
  <c r="C24"/>
  <c r="C23" s="1"/>
  <c r="F23"/>
  <c r="H22"/>
  <c r="H19"/>
  <c r="G10"/>
  <c r="C10"/>
  <c r="F9"/>
  <c r="G8" l="1"/>
  <c r="G41"/>
  <c r="F8"/>
  <c r="F41"/>
  <c r="E41"/>
  <c r="E9"/>
  <c r="E8" s="1"/>
  <c r="C9"/>
  <c r="C8" s="1"/>
  <c r="H42"/>
  <c r="H10"/>
  <c r="H24"/>
  <c r="H28"/>
  <c r="H43"/>
  <c r="K16" i="68"/>
  <c r="M16"/>
  <c r="J16"/>
  <c r="I16"/>
  <c r="H16"/>
  <c r="F16"/>
  <c r="E16"/>
  <c r="D16"/>
  <c r="C16"/>
  <c r="L15"/>
  <c r="N15"/>
  <c r="G14"/>
  <c r="N14" s="1"/>
  <c r="L11"/>
  <c r="G11"/>
  <c r="N11" s="1"/>
  <c r="L10"/>
  <c r="L16" s="1"/>
  <c r="G10"/>
  <c r="N10" s="1"/>
  <c r="D26" i="6"/>
  <c r="H9" i="69" l="1"/>
  <c r="H8"/>
  <c r="H41"/>
  <c r="G12" i="68"/>
  <c r="G16" l="1"/>
  <c r="N12"/>
  <c r="N16" s="1"/>
  <c r="D49" i="34"/>
  <c r="D43"/>
  <c r="D25"/>
  <c r="D23"/>
  <c r="E23" s="1"/>
  <c r="K691" i="63" l="1"/>
  <c r="F449" i="16" l="1"/>
  <c r="E15" i="35"/>
  <c r="E25"/>
  <c r="B19"/>
  <c r="D35" i="12" l="1"/>
  <c r="D33"/>
  <c r="D34"/>
  <c r="E26" i="4" l="1"/>
  <c r="J26" l="1"/>
  <c r="D375" i="16" s="1"/>
  <c r="L749" i="63"/>
  <c r="K749"/>
  <c r="D24" i="34"/>
  <c r="E24" s="1"/>
  <c r="D21"/>
  <c r="E21" s="1"/>
  <c r="D16" l="1"/>
  <c r="E16" s="1"/>
  <c r="D17"/>
  <c r="E17" s="1"/>
  <c r="D18"/>
  <c r="E18" s="1"/>
  <c r="D42"/>
  <c r="D45"/>
  <c r="D14"/>
  <c r="E14" s="1"/>
  <c r="D37"/>
  <c r="D19"/>
  <c r="E19" s="1"/>
  <c r="D20"/>
  <c r="E20" s="1"/>
  <c r="I26" i="63"/>
  <c r="I30" s="1"/>
  <c r="G624" i="59"/>
  <c r="D9" i="34" s="1"/>
  <c r="E9" s="1"/>
  <c r="F23" i="16" l="1"/>
  <c r="F213"/>
  <c r="J248" i="65"/>
  <c r="J133"/>
  <c r="I133"/>
  <c r="J235"/>
  <c r="I235"/>
  <c r="J208"/>
  <c r="I208"/>
  <c r="F167" i="16" s="1"/>
  <c r="J190" i="65"/>
  <c r="I190"/>
  <c r="F459" i="16" s="1"/>
  <c r="J170" i="65"/>
  <c r="I170"/>
  <c r="F469" i="16" s="1"/>
  <c r="J151" i="65"/>
  <c r="I151"/>
  <c r="F464" i="16" s="1"/>
  <c r="J130" i="65"/>
  <c r="I130"/>
  <c r="J122"/>
  <c r="I122"/>
  <c r="J107"/>
  <c r="I107"/>
  <c r="F168" i="16" s="1"/>
  <c r="J77" i="65"/>
  <c r="I77"/>
  <c r="J64"/>
  <c r="I64"/>
  <c r="J57"/>
  <c r="I57"/>
  <c r="J36"/>
  <c r="I36"/>
  <c r="J20"/>
  <c r="J237" s="1"/>
  <c r="I20"/>
  <c r="F163" i="16" s="1"/>
  <c r="J77" i="63"/>
  <c r="I77"/>
  <c r="J71"/>
  <c r="I71"/>
  <c r="J50"/>
  <c r="I50"/>
  <c r="J35"/>
  <c r="I35"/>
  <c r="J40"/>
  <c r="I40"/>
  <c r="J14"/>
  <c r="I14"/>
  <c r="J30"/>
  <c r="J9"/>
  <c r="I9"/>
  <c r="C160" i="12"/>
  <c r="F249" i="16"/>
  <c r="F248"/>
  <c r="M40" i="5"/>
  <c r="J388" i="63"/>
  <c r="I388"/>
  <c r="M388" s="1"/>
  <c r="J686"/>
  <c r="I686"/>
  <c r="M45" i="5" s="1"/>
  <c r="J679" i="63"/>
  <c r="I679"/>
  <c r="J672"/>
  <c r="J371"/>
  <c r="I371"/>
  <c r="J363"/>
  <c r="I363"/>
  <c r="M43" i="5" s="1"/>
  <c r="J318" i="63"/>
  <c r="D39" i="34" s="1"/>
  <c r="J293" i="63"/>
  <c r="I293"/>
  <c r="J284"/>
  <c r="I284"/>
  <c r="G45"/>
  <c r="G42"/>
  <c r="I769" i="59"/>
  <c r="F41" i="16"/>
  <c r="H12" i="5" s="1"/>
  <c r="F63" i="16"/>
  <c r="F153"/>
  <c r="F36" i="81" s="1"/>
  <c r="F165" i="16" l="1"/>
  <c r="I237" i="65"/>
  <c r="F166" i="16"/>
  <c r="D41" i="34"/>
  <c r="D38"/>
  <c r="D40"/>
  <c r="D47"/>
  <c r="D46"/>
  <c r="D51"/>
  <c r="E51" s="1"/>
  <c r="D36"/>
  <c r="J749" i="63"/>
  <c r="F169" i="16"/>
  <c r="F62"/>
  <c r="F54"/>
  <c r="I30" i="30"/>
  <c r="I35" l="1"/>
  <c r="H140" i="9"/>
  <c r="P140" s="1"/>
  <c r="H139"/>
  <c r="P139" s="1"/>
  <c r="N139" l="1"/>
  <c r="N140"/>
  <c r="G329" i="59"/>
  <c r="C23" i="35" l="1"/>
  <c r="C22" s="1"/>
  <c r="E27"/>
  <c r="F27" s="1"/>
  <c r="C27"/>
  <c r="B27"/>
  <c r="C26"/>
  <c r="H36" i="7"/>
  <c r="F59" i="16"/>
  <c r="H23" i="5" s="1"/>
  <c r="D15" i="34"/>
  <c r="E15" s="1"/>
  <c r="K80" i="55"/>
  <c r="K65"/>
  <c r="K62"/>
  <c r="K43"/>
  <c r="K35"/>
  <c r="K24"/>
  <c r="F438" i="16"/>
  <c r="F440" s="1"/>
  <c r="J438"/>
  <c r="J440" s="1"/>
  <c r="F433"/>
  <c r="F434" s="1"/>
  <c r="J433"/>
  <c r="J434" s="1"/>
  <c r="J169"/>
  <c r="M47" i="5"/>
  <c r="M44"/>
  <c r="B23" i="2"/>
  <c r="J353" i="16"/>
  <c r="M39" i="5"/>
  <c r="J356" i="16"/>
  <c r="M20" i="5"/>
  <c r="H13" i="81"/>
  <c r="H14"/>
  <c r="H26"/>
  <c r="F237" i="16"/>
  <c r="F239" s="1"/>
  <c r="J237"/>
  <c r="J239" s="1"/>
  <c r="F232"/>
  <c r="F233" s="1"/>
  <c r="H54" i="5" s="1"/>
  <c r="J232" i="16"/>
  <c r="J233" s="1"/>
  <c r="J218"/>
  <c r="F217"/>
  <c r="J217"/>
  <c r="F216"/>
  <c r="J216"/>
  <c r="F215"/>
  <c r="J215"/>
  <c r="F214"/>
  <c r="J214"/>
  <c r="F211"/>
  <c r="J211"/>
  <c r="J219" s="1"/>
  <c r="J38" i="5" s="1"/>
  <c r="J197" i="16"/>
  <c r="J192"/>
  <c r="J187"/>
  <c r="J182"/>
  <c r="J177"/>
  <c r="F170"/>
  <c r="F164" s="1"/>
  <c r="J170"/>
  <c r="J168"/>
  <c r="J167"/>
  <c r="J166"/>
  <c r="J165"/>
  <c r="J163"/>
  <c r="F155"/>
  <c r="F154"/>
  <c r="F148"/>
  <c r="F147"/>
  <c r="L147" s="1"/>
  <c r="F146"/>
  <c r="J155"/>
  <c r="H38" i="81" s="1"/>
  <c r="J154" i="16"/>
  <c r="H37" i="81" s="1"/>
  <c r="J153" i="16"/>
  <c r="J148"/>
  <c r="H31" i="81" s="1"/>
  <c r="J147" i="16"/>
  <c r="H30" i="81" s="1"/>
  <c r="J146" i="16"/>
  <c r="H28" i="81" s="1"/>
  <c r="F134" i="16"/>
  <c r="F129"/>
  <c r="F104"/>
  <c r="J104"/>
  <c r="F105"/>
  <c r="J105"/>
  <c r="J90"/>
  <c r="J92" s="1"/>
  <c r="F89" s="1"/>
  <c r="F83"/>
  <c r="F82"/>
  <c r="J83"/>
  <c r="J82"/>
  <c r="J75"/>
  <c r="J74"/>
  <c r="J62"/>
  <c r="J59" s="1"/>
  <c r="J23" i="5" s="1"/>
  <c r="F56" i="16"/>
  <c r="F55"/>
  <c r="F74"/>
  <c r="J56"/>
  <c r="J55"/>
  <c r="J54"/>
  <c r="J52"/>
  <c r="F13"/>
  <c r="F12"/>
  <c r="F11"/>
  <c r="F10"/>
  <c r="J13"/>
  <c r="J12"/>
  <c r="J11"/>
  <c r="J10"/>
  <c r="J79" i="14"/>
  <c r="J66"/>
  <c r="J53"/>
  <c r="E64" i="12"/>
  <c r="E60"/>
  <c r="E59"/>
  <c r="C58"/>
  <c r="E58" s="1"/>
  <c r="C57"/>
  <c r="E57" s="1"/>
  <c r="E56"/>
  <c r="E55"/>
  <c r="E54"/>
  <c r="D53"/>
  <c r="D61" s="1"/>
  <c r="C42" i="2"/>
  <c r="J83" i="11"/>
  <c r="L74" i="33"/>
  <c r="N74" s="1"/>
  <c r="H900" i="59"/>
  <c r="G900"/>
  <c r="L69" i="33" s="1"/>
  <c r="L68" s="1"/>
  <c r="F900" i="59"/>
  <c r="E900"/>
  <c r="H846"/>
  <c r="G846"/>
  <c r="J69" i="33" s="1"/>
  <c r="F846" i="59"/>
  <c r="E846"/>
  <c r="C13" i="79" s="1"/>
  <c r="D13" s="1"/>
  <c r="H837" i="59"/>
  <c r="G837"/>
  <c r="L59" i="33" s="1"/>
  <c r="F837" i="59"/>
  <c r="E837"/>
  <c r="H816"/>
  <c r="G816"/>
  <c r="J59" i="33" s="1"/>
  <c r="F816" i="59"/>
  <c r="E816"/>
  <c r="C12" i="79" s="1"/>
  <c r="H503" i="59"/>
  <c r="H810"/>
  <c r="G810"/>
  <c r="L65" i="33" s="1"/>
  <c r="F810" i="59"/>
  <c r="H768"/>
  <c r="G768"/>
  <c r="J65" i="33" s="1"/>
  <c r="F768" i="59"/>
  <c r="H763"/>
  <c r="G763"/>
  <c r="L33" i="33" s="1"/>
  <c r="N33" s="1"/>
  <c r="F763" i="59"/>
  <c r="H743"/>
  <c r="G743"/>
  <c r="F743"/>
  <c r="H733"/>
  <c r="G733"/>
  <c r="L37" i="33" s="1"/>
  <c r="N37" s="1"/>
  <c r="N36" s="1"/>
  <c r="F733" i="59"/>
  <c r="H713"/>
  <c r="G713"/>
  <c r="L24" i="33" s="1"/>
  <c r="N24" s="1"/>
  <c r="F713" i="59"/>
  <c r="H706"/>
  <c r="G706"/>
  <c r="L23" i="33" s="1"/>
  <c r="F706" i="59"/>
  <c r="H689"/>
  <c r="G689"/>
  <c r="L22" i="33" s="1"/>
  <c r="F689" i="59"/>
  <c r="H681"/>
  <c r="G681"/>
  <c r="F681"/>
  <c r="H672"/>
  <c r="G672"/>
  <c r="L73" i="33" s="1"/>
  <c r="F672" i="59"/>
  <c r="H632"/>
  <c r="G632"/>
  <c r="J73" i="33" s="1"/>
  <c r="J72" s="1"/>
  <c r="F632" i="59"/>
  <c r="H619"/>
  <c r="G619"/>
  <c r="L17" i="33" s="1"/>
  <c r="F619" i="59"/>
  <c r="H594"/>
  <c r="G594"/>
  <c r="F594"/>
  <c r="H587"/>
  <c r="G587"/>
  <c r="L64" i="33" s="1"/>
  <c r="F587" i="59"/>
  <c r="H549"/>
  <c r="G549"/>
  <c r="J64" i="33" s="1"/>
  <c r="F549" i="59"/>
  <c r="H538"/>
  <c r="G538"/>
  <c r="F538"/>
  <c r="G503"/>
  <c r="L61" i="33" s="1"/>
  <c r="F503" i="59"/>
  <c r="H468"/>
  <c r="G468"/>
  <c r="F468"/>
  <c r="H465"/>
  <c r="G465"/>
  <c r="L34" i="33" s="1"/>
  <c r="F465" i="59"/>
  <c r="H443"/>
  <c r="G443"/>
  <c r="J34" i="33" s="1"/>
  <c r="F443" i="59"/>
  <c r="H439"/>
  <c r="G439"/>
  <c r="L56" i="33" s="1"/>
  <c r="L55" s="1"/>
  <c r="F439" i="59"/>
  <c r="H412"/>
  <c r="G412"/>
  <c r="J56" i="33" s="1"/>
  <c r="J55" s="1"/>
  <c r="F412" i="59"/>
  <c r="H409"/>
  <c r="G409"/>
  <c r="L28" i="33" s="1"/>
  <c r="L26" s="1"/>
  <c r="F409" i="59"/>
  <c r="H372"/>
  <c r="G372"/>
  <c r="L16" i="33" s="1"/>
  <c r="F372" i="59"/>
  <c r="H346"/>
  <c r="G346"/>
  <c r="J16" i="33" s="1"/>
  <c r="F346" i="59"/>
  <c r="H342"/>
  <c r="G342"/>
  <c r="L14" i="33" s="1"/>
  <c r="F342" i="59"/>
  <c r="H329"/>
  <c r="F329"/>
  <c r="H277"/>
  <c r="G277"/>
  <c r="J14" i="33" s="1"/>
  <c r="F277" i="59"/>
  <c r="H270"/>
  <c r="G270"/>
  <c r="F270"/>
  <c r="H246"/>
  <c r="G246"/>
  <c r="L31" i="33" s="1"/>
  <c r="F246" i="59"/>
  <c r="H218"/>
  <c r="G218"/>
  <c r="J31" i="33" s="1"/>
  <c r="F218" i="59"/>
  <c r="H215"/>
  <c r="G215"/>
  <c r="L15" i="33" s="1"/>
  <c r="F215" i="59"/>
  <c r="H201"/>
  <c r="G201"/>
  <c r="F201"/>
  <c r="H157"/>
  <c r="G157"/>
  <c r="J18" i="33" s="1"/>
  <c r="F157" i="59"/>
  <c r="H171"/>
  <c r="G171"/>
  <c r="L18" i="33" s="1"/>
  <c r="F171" i="59"/>
  <c r="H154"/>
  <c r="G154"/>
  <c r="F154"/>
  <c r="H140"/>
  <c r="G140"/>
  <c r="F140"/>
  <c r="H121"/>
  <c r="G121"/>
  <c r="F121"/>
  <c r="H90"/>
  <c r="F90"/>
  <c r="H23"/>
  <c r="G23"/>
  <c r="J11" i="33" s="1"/>
  <c r="E689" i="59"/>
  <c r="D22" i="33" s="1"/>
  <c r="E681" i="59"/>
  <c r="D74" i="33" s="1"/>
  <c r="F74" s="1"/>
  <c r="E171" i="59"/>
  <c r="E157"/>
  <c r="B18" i="33" s="1"/>
  <c r="E810" i="59"/>
  <c r="D65" i="33" s="1"/>
  <c r="E768" i="59"/>
  <c r="B65" i="33" s="1"/>
  <c r="E763" i="59"/>
  <c r="E743"/>
  <c r="E733"/>
  <c r="D37" i="33" s="1"/>
  <c r="E713" i="59"/>
  <c r="D24" i="33" s="1"/>
  <c r="F24" s="1"/>
  <c r="E706" i="59"/>
  <c r="D23" i="33" s="1"/>
  <c r="F23" s="1"/>
  <c r="E672" i="59"/>
  <c r="D73" i="33" s="1"/>
  <c r="E632" i="59"/>
  <c r="E619"/>
  <c r="D17" i="33" s="1"/>
  <c r="F17" s="1"/>
  <c r="E594" i="59"/>
  <c r="B21" i="33" s="1"/>
  <c r="E587" i="59"/>
  <c r="D64" i="33" s="1"/>
  <c r="E549" i="59"/>
  <c r="B64" i="33" s="1"/>
  <c r="E538" i="59"/>
  <c r="E503"/>
  <c r="D61" i="33" s="1"/>
  <c r="D58" s="1"/>
  <c r="E468" i="59"/>
  <c r="B61" i="33" s="1"/>
  <c r="B58" s="1"/>
  <c r="E465" i="59"/>
  <c r="D34" i="33" s="1"/>
  <c r="E443" i="59"/>
  <c r="B34" i="33" s="1"/>
  <c r="E439" i="59"/>
  <c r="E412"/>
  <c r="B56" i="33" s="1"/>
  <c r="E409" i="59"/>
  <c r="D28" i="33" s="1"/>
  <c r="E372" i="59"/>
  <c r="D16" i="33" s="1"/>
  <c r="E346" i="59"/>
  <c r="B16" i="33" s="1"/>
  <c r="E342" i="59"/>
  <c r="E329"/>
  <c r="E270"/>
  <c r="E246"/>
  <c r="D31" i="33" s="1"/>
  <c r="E218" i="59"/>
  <c r="B31" i="33" s="1"/>
  <c r="E215" i="59"/>
  <c r="D15" i="33" s="1"/>
  <c r="F15" s="1"/>
  <c r="E201" i="59"/>
  <c r="E154"/>
  <c r="E140"/>
  <c r="E121"/>
  <c r="E90"/>
  <c r="E23"/>
  <c r="B11" i="33" s="1"/>
  <c r="B10" s="1"/>
  <c r="J47" i="11"/>
  <c r="F14" i="14"/>
  <c r="F12"/>
  <c r="F13"/>
  <c r="J9"/>
  <c r="J11"/>
  <c r="J45" i="11"/>
  <c r="H138" i="9"/>
  <c r="P138" s="1"/>
  <c r="H126"/>
  <c r="P126" s="1"/>
  <c r="L135"/>
  <c r="H131"/>
  <c r="P131" s="1"/>
  <c r="H132"/>
  <c r="P132" s="1"/>
  <c r="L157"/>
  <c r="L159"/>
  <c r="L156"/>
  <c r="L154"/>
  <c r="H125"/>
  <c r="H124"/>
  <c r="H118"/>
  <c r="H29"/>
  <c r="L30"/>
  <c r="L28"/>
  <c r="L20"/>
  <c r="L22"/>
  <c r="L21"/>
  <c r="C183" i="12"/>
  <c r="C188" s="1"/>
  <c r="C161"/>
  <c r="C165" s="1"/>
  <c r="C151"/>
  <c r="C141"/>
  <c r="C129"/>
  <c r="B42" i="2"/>
  <c r="C119" i="12"/>
  <c r="C109"/>
  <c r="C100"/>
  <c r="C91"/>
  <c r="C82"/>
  <c r="E43"/>
  <c r="E39"/>
  <c r="E38"/>
  <c r="E37"/>
  <c r="D32"/>
  <c r="D40" s="1"/>
  <c r="H30" i="7"/>
  <c r="H21" i="9"/>
  <c r="F360" i="16"/>
  <c r="K18" i="40"/>
  <c r="D14" i="35"/>
  <c r="D17"/>
  <c r="G14" i="32"/>
  <c r="G15"/>
  <c r="G16"/>
  <c r="G17"/>
  <c r="G18"/>
  <c r="G19"/>
  <c r="G14" i="31"/>
  <c r="G15"/>
  <c r="G16"/>
  <c r="G17"/>
  <c r="G18"/>
  <c r="G19"/>
  <c r="F41" i="11"/>
  <c r="J41"/>
  <c r="H15" i="10"/>
  <c r="C19"/>
  <c r="G19"/>
  <c r="E18" i="4"/>
  <c r="G18"/>
  <c r="I19"/>
  <c r="C14" i="53"/>
  <c r="C15"/>
  <c r="C16"/>
  <c r="C17"/>
  <c r="C18"/>
  <c r="G13" i="32"/>
  <c r="G13" i="31"/>
  <c r="C13" i="53"/>
  <c r="D34" i="6"/>
  <c r="J136" i="16"/>
  <c r="J123"/>
  <c r="F136"/>
  <c r="F123"/>
  <c r="B14" i="44" s="1"/>
  <c r="C14" s="1"/>
  <c r="E14" s="1"/>
  <c r="F311" i="16"/>
  <c r="L311" s="1"/>
  <c r="G26" i="4"/>
  <c r="I43" i="55"/>
  <c r="L115" i="9"/>
  <c r="L116"/>
  <c r="J355" i="16" s="1"/>
  <c r="D35" i="6"/>
  <c r="I35" i="55"/>
  <c r="E273" i="59"/>
  <c r="J134" i="16" s="1"/>
  <c r="E272" i="59"/>
  <c r="J129" i="16" s="1"/>
  <c r="J127" s="1"/>
  <c r="J29" i="5" s="1"/>
  <c r="H37" i="9"/>
  <c r="H30"/>
  <c r="H35" i="30"/>
  <c r="G23" i="31"/>
  <c r="M21"/>
  <c r="E29" i="10" s="1"/>
  <c r="G39" i="32"/>
  <c r="G36"/>
  <c r="G37"/>
  <c r="G38"/>
  <c r="G22"/>
  <c r="G21"/>
  <c r="G20"/>
  <c r="L56"/>
  <c r="L52"/>
  <c r="L50"/>
  <c r="L48"/>
  <c r="L45"/>
  <c r="L43"/>
  <c r="L40"/>
  <c r="L35"/>
  <c r="L27"/>
  <c r="L24"/>
  <c r="L8"/>
  <c r="G33"/>
  <c r="M26"/>
  <c r="G26"/>
  <c r="G25"/>
  <c r="G24" s="1"/>
  <c r="C8" i="31"/>
  <c r="D12" i="10"/>
  <c r="D38" s="1"/>
  <c r="F8" i="31"/>
  <c r="E8"/>
  <c r="E22" i="35"/>
  <c r="E9"/>
  <c r="E46" i="34"/>
  <c r="K27" i="40"/>
  <c r="D27"/>
  <c r="C29" i="53"/>
  <c r="H23" i="28"/>
  <c r="H24"/>
  <c r="H25"/>
  <c r="H22"/>
  <c r="E23"/>
  <c r="E24"/>
  <c r="E25"/>
  <c r="E22"/>
  <c r="J252" i="16"/>
  <c r="J26" i="33"/>
  <c r="F252" i="16"/>
  <c r="J40" i="14"/>
  <c r="F40"/>
  <c r="D35" s="1"/>
  <c r="F53"/>
  <c r="D48" s="1"/>
  <c r="F66"/>
  <c r="F79"/>
  <c r="D74" s="1"/>
  <c r="J65" i="11"/>
  <c r="L161" i="9"/>
  <c r="B5" i="3"/>
  <c r="D5"/>
  <c r="B10"/>
  <c r="D10"/>
  <c r="C4" i="38"/>
  <c r="D3" i="37"/>
  <c r="D4"/>
  <c r="D5"/>
  <c r="D6"/>
  <c r="D7"/>
  <c r="D8"/>
  <c r="B9"/>
  <c r="C9"/>
  <c r="B11" i="43"/>
  <c r="B69" i="2" s="1"/>
  <c r="B13" i="42"/>
  <c r="B58" i="2" s="1"/>
  <c r="B42" i="44" s="1"/>
  <c r="C42" s="1"/>
  <c r="E42" s="1"/>
  <c r="B11" i="2"/>
  <c r="C40"/>
  <c r="B49"/>
  <c r="A50"/>
  <c r="B50"/>
  <c r="A51"/>
  <c r="B51"/>
  <c r="A52"/>
  <c r="B52"/>
  <c r="A53"/>
  <c r="B53"/>
  <c r="A54"/>
  <c r="B54"/>
  <c r="A55"/>
  <c r="B55"/>
  <c r="A56"/>
  <c r="B56"/>
  <c r="A57"/>
  <c r="B57"/>
  <c r="A63"/>
  <c r="B63"/>
  <c r="A64"/>
  <c r="B64"/>
  <c r="A65"/>
  <c r="B65"/>
  <c r="A66"/>
  <c r="B66"/>
  <c r="A67"/>
  <c r="B67"/>
  <c r="A68"/>
  <c r="B68"/>
  <c r="A69"/>
  <c r="F3" i="1"/>
  <c r="A3" i="44"/>
  <c r="C4"/>
  <c r="E4" s="1"/>
  <c r="A6"/>
  <c r="D31" i="35"/>
  <c r="F31" s="1"/>
  <c r="B26" i="33"/>
  <c r="F27"/>
  <c r="N27"/>
  <c r="F33"/>
  <c r="B36"/>
  <c r="J36"/>
  <c r="B39"/>
  <c r="D39"/>
  <c r="J39"/>
  <c r="L39"/>
  <c r="F40"/>
  <c r="N40"/>
  <c r="F41"/>
  <c r="N41"/>
  <c r="F59"/>
  <c r="F60"/>
  <c r="N60"/>
  <c r="F66"/>
  <c r="N66"/>
  <c r="B68"/>
  <c r="D68"/>
  <c r="F69"/>
  <c r="F70"/>
  <c r="N70"/>
  <c r="F77"/>
  <c r="C8" i="32"/>
  <c r="B10" i="35" s="1"/>
  <c r="B9" s="1"/>
  <c r="E8" i="32"/>
  <c r="C10" i="35" s="1"/>
  <c r="F8" i="32"/>
  <c r="I8"/>
  <c r="J8"/>
  <c r="Q8"/>
  <c r="G9"/>
  <c r="G8" s="1"/>
  <c r="M8"/>
  <c r="B10"/>
  <c r="C10"/>
  <c r="B13" i="35" s="1"/>
  <c r="E10" i="32"/>
  <c r="C13" i="35" s="1"/>
  <c r="F10" i="32"/>
  <c r="I10"/>
  <c r="J10"/>
  <c r="Q10"/>
  <c r="E12" i="35" s="1"/>
  <c r="G11" i="32"/>
  <c r="G23"/>
  <c r="B24"/>
  <c r="C24"/>
  <c r="E24"/>
  <c r="C16" i="35" s="1"/>
  <c r="C15" s="1"/>
  <c r="F24" i="32"/>
  <c r="I24"/>
  <c r="J24"/>
  <c r="Q24"/>
  <c r="M24"/>
  <c r="B27"/>
  <c r="C27"/>
  <c r="B18" i="35" s="1"/>
  <c r="E27" i="32"/>
  <c r="C19" i="35" s="1"/>
  <c r="F27" i="32"/>
  <c r="I27"/>
  <c r="J27"/>
  <c r="N27"/>
  <c r="Q27"/>
  <c r="E18" i="35" s="1"/>
  <c r="G28" i="32"/>
  <c r="M28"/>
  <c r="G29"/>
  <c r="M29"/>
  <c r="G30"/>
  <c r="M30"/>
  <c r="B31"/>
  <c r="C31"/>
  <c r="E31"/>
  <c r="F31"/>
  <c r="I31"/>
  <c r="J31"/>
  <c r="Q31"/>
  <c r="G32"/>
  <c r="M32"/>
  <c r="G34"/>
  <c r="B35"/>
  <c r="C35"/>
  <c r="E35"/>
  <c r="F35"/>
  <c r="I35"/>
  <c r="J35"/>
  <c r="Q35"/>
  <c r="O37"/>
  <c r="O39"/>
  <c r="B40"/>
  <c r="C40"/>
  <c r="E40"/>
  <c r="F40"/>
  <c r="I40"/>
  <c r="J40"/>
  <c r="N40"/>
  <c r="Q40"/>
  <c r="G41"/>
  <c r="O41" s="1"/>
  <c r="G42"/>
  <c r="G40" s="1"/>
  <c r="M40"/>
  <c r="B43"/>
  <c r="C43"/>
  <c r="B23" i="35" s="1"/>
  <c r="B22" s="1"/>
  <c r="E43" i="32"/>
  <c r="F43"/>
  <c r="I43"/>
  <c r="J43"/>
  <c r="N43"/>
  <c r="Q43"/>
  <c r="G44"/>
  <c r="M43"/>
  <c r="B45"/>
  <c r="C45"/>
  <c r="E45"/>
  <c r="F45"/>
  <c r="I45"/>
  <c r="J45"/>
  <c r="Q45"/>
  <c r="G46"/>
  <c r="M46"/>
  <c r="G47"/>
  <c r="M47"/>
  <c r="B48"/>
  <c r="C48"/>
  <c r="B16" i="35" s="1"/>
  <c r="E48" i="32"/>
  <c r="F48"/>
  <c r="I48"/>
  <c r="J48"/>
  <c r="Q48"/>
  <c r="G49"/>
  <c r="G48" s="1"/>
  <c r="M48"/>
  <c r="B50"/>
  <c r="C50"/>
  <c r="E50"/>
  <c r="F50"/>
  <c r="I50"/>
  <c r="J50"/>
  <c r="Q50"/>
  <c r="G51"/>
  <c r="G50" s="1"/>
  <c r="M51"/>
  <c r="M50" s="1"/>
  <c r="B52"/>
  <c r="C52"/>
  <c r="E52"/>
  <c r="F52"/>
  <c r="I52"/>
  <c r="J52"/>
  <c r="Q52"/>
  <c r="G53"/>
  <c r="M53"/>
  <c r="G54"/>
  <c r="M54"/>
  <c r="C56"/>
  <c r="B26" i="35" s="1"/>
  <c r="E56" i="32"/>
  <c r="F56"/>
  <c r="I56"/>
  <c r="J56"/>
  <c r="Q56"/>
  <c r="G57"/>
  <c r="M56"/>
  <c r="G58"/>
  <c r="O58" s="1"/>
  <c r="I8" i="31"/>
  <c r="D13" i="10" s="1"/>
  <c r="J8" i="31"/>
  <c r="D17" i="10" s="1"/>
  <c r="L8" i="31"/>
  <c r="D21" i="10" s="1"/>
  <c r="P8" i="31"/>
  <c r="G9"/>
  <c r="G10"/>
  <c r="G11"/>
  <c r="G12"/>
  <c r="B21"/>
  <c r="E12" i="10" s="1"/>
  <c r="E38" s="1"/>
  <c r="C21" i="31"/>
  <c r="E14" i="10" s="1"/>
  <c r="E21" i="31"/>
  <c r="E16" i="10" s="1"/>
  <c r="H16" s="1"/>
  <c r="F21" i="31"/>
  <c r="I21"/>
  <c r="E13" i="10" s="1"/>
  <c r="J21" i="31"/>
  <c r="E17" i="10" s="1"/>
  <c r="L21" i="31"/>
  <c r="P21"/>
  <c r="F12" i="10"/>
  <c r="C26" i="31"/>
  <c r="E26"/>
  <c r="F26"/>
  <c r="F13" i="10"/>
  <c r="J26" i="31"/>
  <c r="F17" i="10" s="1"/>
  <c r="L26" i="31"/>
  <c r="P26"/>
  <c r="P36" s="1"/>
  <c r="G27"/>
  <c r="G28"/>
  <c r="G30"/>
  <c r="G32"/>
  <c r="G33"/>
  <c r="G34"/>
  <c r="I65" i="55"/>
  <c r="C10" i="28"/>
  <c r="D10"/>
  <c r="E10"/>
  <c r="F10"/>
  <c r="C26"/>
  <c r="D26"/>
  <c r="E26"/>
  <c r="F26"/>
  <c r="G26"/>
  <c r="H26"/>
  <c r="F33" i="16"/>
  <c r="J33"/>
  <c r="F99"/>
  <c r="J99"/>
  <c r="F177"/>
  <c r="F182"/>
  <c r="F187"/>
  <c r="F192"/>
  <c r="F197"/>
  <c r="J391"/>
  <c r="J398"/>
  <c r="F410"/>
  <c r="J410"/>
  <c r="J417" s="1"/>
  <c r="J424"/>
  <c r="F456"/>
  <c r="J456"/>
  <c r="F461"/>
  <c r="J461"/>
  <c r="F466"/>
  <c r="J466"/>
  <c r="F471"/>
  <c r="J471"/>
  <c r="F35" i="14"/>
  <c r="F48"/>
  <c r="F61"/>
  <c r="F74"/>
  <c r="C37" i="2"/>
  <c r="B38"/>
  <c r="B39"/>
  <c r="C39"/>
  <c r="B40"/>
  <c r="B41"/>
  <c r="C41"/>
  <c r="F34" i="11"/>
  <c r="J34"/>
  <c r="G49"/>
  <c r="H49"/>
  <c r="I49"/>
  <c r="F65"/>
  <c r="F67"/>
  <c r="E44" i="4" s="1"/>
  <c r="J44" s="1"/>
  <c r="J67" i="11"/>
  <c r="C11" i="10"/>
  <c r="G11"/>
  <c r="C23"/>
  <c r="G23"/>
  <c r="C24"/>
  <c r="G24"/>
  <c r="G22" s="1"/>
  <c r="C27"/>
  <c r="G27"/>
  <c r="H30"/>
  <c r="H31"/>
  <c r="H32"/>
  <c r="C33"/>
  <c r="D33"/>
  <c r="E33"/>
  <c r="H34"/>
  <c r="H35"/>
  <c r="H36"/>
  <c r="C38"/>
  <c r="G38"/>
  <c r="C39"/>
  <c r="G39"/>
  <c r="L105" i="9"/>
  <c r="I170"/>
  <c r="J170"/>
  <c r="K170"/>
  <c r="I27" i="4"/>
  <c r="I29"/>
  <c r="I30"/>
  <c r="J35"/>
  <c r="I38"/>
  <c r="I46"/>
  <c r="D27" i="6"/>
  <c r="C9" i="53"/>
  <c r="C10"/>
  <c r="C11"/>
  <c r="C12"/>
  <c r="C22"/>
  <c r="C23"/>
  <c r="C24"/>
  <c r="C28"/>
  <c r="C30"/>
  <c r="C31"/>
  <c r="C32"/>
  <c r="C33"/>
  <c r="C34"/>
  <c r="C35"/>
  <c r="C36"/>
  <c r="C37"/>
  <c r="C38"/>
  <c r="C39"/>
  <c r="C40"/>
  <c r="C41"/>
  <c r="C42"/>
  <c r="C43"/>
  <c r="C44"/>
  <c r="C45"/>
  <c r="C46"/>
  <c r="C48"/>
  <c r="C50"/>
  <c r="C51"/>
  <c r="C52"/>
  <c r="M27" i="32"/>
  <c r="C43" i="2"/>
  <c r="O9" i="31"/>
  <c r="O46" i="32"/>
  <c r="G35"/>
  <c r="M31"/>
  <c r="G27"/>
  <c r="N59"/>
  <c r="G43"/>
  <c r="O30"/>
  <c r="M52"/>
  <c r="M45"/>
  <c r="O53"/>
  <c r="O49"/>
  <c r="O48" s="1"/>
  <c r="O36"/>
  <c r="B37" i="2"/>
  <c r="B43"/>
  <c r="M35" i="32"/>
  <c r="O34" i="31"/>
  <c r="E41" i="4"/>
  <c r="B36" i="31"/>
  <c r="E47" i="34"/>
  <c r="D35"/>
  <c r="E35" s="1"/>
  <c r="G22" i="31"/>
  <c r="J73" i="11"/>
  <c r="G52" i="32"/>
  <c r="O21"/>
  <c r="E36" i="31"/>
  <c r="F120" i="14"/>
  <c r="C37" i="10"/>
  <c r="G10" i="32"/>
  <c r="O33"/>
  <c r="O38"/>
  <c r="O14"/>
  <c r="J54" i="5" l="1"/>
  <c r="J359" i="16" s="1"/>
  <c r="H48" i="5"/>
  <c r="M48" s="1"/>
  <c r="N125" i="9"/>
  <c r="P125"/>
  <c r="N131"/>
  <c r="N124"/>
  <c r="P124"/>
  <c r="N132"/>
  <c r="N138"/>
  <c r="D56" i="33"/>
  <c r="D55" s="1"/>
  <c r="L12" i="14"/>
  <c r="N12"/>
  <c r="L13"/>
  <c r="N13"/>
  <c r="L14"/>
  <c r="N14"/>
  <c r="L21"/>
  <c r="F28" i="81"/>
  <c r="L146" i="16"/>
  <c r="F31" i="81"/>
  <c r="L148" i="16"/>
  <c r="F38" i="81"/>
  <c r="L155" i="16"/>
  <c r="F37" i="81"/>
  <c r="L154" i="16"/>
  <c r="F359"/>
  <c r="M54" i="5"/>
  <c r="D39" i="10"/>
  <c r="E24"/>
  <c r="M15" i="5"/>
  <c r="F26" i="81"/>
  <c r="M19" i="5"/>
  <c r="F13" i="81"/>
  <c r="M18" i="5"/>
  <c r="F14" i="81"/>
  <c r="M12" i="5"/>
  <c r="F11" i="81"/>
  <c r="G21" i="4"/>
  <c r="H101" i="9"/>
  <c r="C12" i="34"/>
  <c r="E12" i="79"/>
  <c r="C13" i="34"/>
  <c r="E13" i="79"/>
  <c r="I13" s="1"/>
  <c r="D12"/>
  <c r="D26" s="1"/>
  <c r="D50" s="1"/>
  <c r="C26"/>
  <c r="C50" s="1"/>
  <c r="J357" i="16"/>
  <c r="H27" i="81"/>
  <c r="D26" i="35"/>
  <c r="E45" i="4"/>
  <c r="J45" s="1"/>
  <c r="D119" i="14"/>
  <c r="L120"/>
  <c r="E33" i="12"/>
  <c r="C12"/>
  <c r="E12" s="1"/>
  <c r="E35"/>
  <c r="C14"/>
  <c r="E14" s="1"/>
  <c r="E34"/>
  <c r="C13"/>
  <c r="E13" s="1"/>
  <c r="C15"/>
  <c r="C11" s="1"/>
  <c r="C19" s="1"/>
  <c r="O57" i="32"/>
  <c r="O56" s="1"/>
  <c r="F39" i="10"/>
  <c r="O31" i="31"/>
  <c r="O22"/>
  <c r="G26"/>
  <c r="E15" i="12"/>
  <c r="E11" s="1"/>
  <c r="E19" s="1"/>
  <c r="F20" i="14"/>
  <c r="N20" s="1"/>
  <c r="L32" i="33"/>
  <c r="L30" s="1"/>
  <c r="F356" i="16"/>
  <c r="B26" i="2"/>
  <c r="H137" i="9"/>
  <c r="G811" i="59"/>
  <c r="D9" i="37"/>
  <c r="L59" i="32"/>
  <c r="O47"/>
  <c r="O34"/>
  <c r="O31" s="1"/>
  <c r="O32"/>
  <c r="O16" i="31"/>
  <c r="O30"/>
  <c r="Q59" i="32"/>
  <c r="F68" i="33"/>
  <c r="F39"/>
  <c r="L11"/>
  <c r="L10" s="1"/>
  <c r="C53" i="12"/>
  <c r="C61" s="1"/>
  <c r="G37" i="10"/>
  <c r="H33"/>
  <c r="I44" i="4"/>
  <c r="B15" i="35"/>
  <c r="J10" i="33"/>
  <c r="O12" i="32"/>
  <c r="F14" i="10"/>
  <c r="D14"/>
  <c r="F398" i="16"/>
  <c r="F417" s="1"/>
  <c r="J61" i="33"/>
  <c r="N61" s="1"/>
  <c r="D11" i="34"/>
  <c r="E11" s="1"/>
  <c r="F43" i="16"/>
  <c r="H14" i="5" s="1"/>
  <c r="J20" i="33"/>
  <c r="J17"/>
  <c r="J13" s="1"/>
  <c r="O44" i="32"/>
  <c r="O43" s="1"/>
  <c r="G56"/>
  <c r="F73" i="11"/>
  <c r="E37" i="4" s="1"/>
  <c r="O12" i="31"/>
  <c r="I59" i="32"/>
  <c r="E59"/>
  <c r="B59"/>
  <c r="B25" i="35"/>
  <c r="B73" i="33"/>
  <c r="B72" s="1"/>
  <c r="J41" i="16"/>
  <c r="O16" i="32"/>
  <c r="F36" i="31"/>
  <c r="F20" i="10"/>
  <c r="M23" i="5"/>
  <c r="F424" i="16"/>
  <c r="J202"/>
  <c r="J18" i="4"/>
  <c r="F21" i="10"/>
  <c r="H21" s="1"/>
  <c r="F19"/>
  <c r="E20"/>
  <c r="E19"/>
  <c r="D20"/>
  <c r="D19"/>
  <c r="D24" s="1"/>
  <c r="B12" i="35"/>
  <c r="H35" i="7"/>
  <c r="H44" s="1"/>
  <c r="E29" i="35"/>
  <c r="O22" i="32"/>
  <c r="O18"/>
  <c r="O15"/>
  <c r="O25"/>
  <c r="O24" s="1"/>
  <c r="O33" i="31"/>
  <c r="O32"/>
  <c r="O29"/>
  <c r="O28"/>
  <c r="O27"/>
  <c r="O19"/>
  <c r="O17"/>
  <c r="O15"/>
  <c r="O14"/>
  <c r="I35" i="4"/>
  <c r="C152" i="12"/>
  <c r="D23" i="35"/>
  <c r="D22" s="1"/>
  <c r="E36" i="12"/>
  <c r="E32" s="1"/>
  <c r="E40" s="1"/>
  <c r="I26" i="4"/>
  <c r="I18"/>
  <c r="D63" i="33"/>
  <c r="C9" i="35"/>
  <c r="D10"/>
  <c r="D19"/>
  <c r="F19" s="1"/>
  <c r="F18" s="1"/>
  <c r="G18" s="1"/>
  <c r="C18"/>
  <c r="D18" s="1"/>
  <c r="D13"/>
  <c r="F13" s="1"/>
  <c r="F12" s="1"/>
  <c r="G12" s="1"/>
  <c r="G31" i="32"/>
  <c r="O29"/>
  <c r="O28"/>
  <c r="O27" s="1"/>
  <c r="O23"/>
  <c r="N39" i="33"/>
  <c r="O23" i="31"/>
  <c r="J132" i="16"/>
  <c r="O13" i="31"/>
  <c r="O13" i="32"/>
  <c r="H133" i="9"/>
  <c r="P133" s="1"/>
  <c r="H160"/>
  <c r="G8" i="31"/>
  <c r="L36"/>
  <c r="F59" i="32"/>
  <c r="O45"/>
  <c r="G45"/>
  <c r="C25" i="35"/>
  <c r="D16"/>
  <c r="F16" s="1"/>
  <c r="F15" s="1"/>
  <c r="D15"/>
  <c r="C12"/>
  <c r="D37" i="10"/>
  <c r="C22"/>
  <c r="J36" i="31"/>
  <c r="M26"/>
  <c r="F29" i="10" s="1"/>
  <c r="O42" i="32"/>
  <c r="O40" s="1"/>
  <c r="O9"/>
  <c r="O8" s="1"/>
  <c r="O51"/>
  <c r="O50" s="1"/>
  <c r="C36" i="31"/>
  <c r="O11"/>
  <c r="J59" i="32"/>
  <c r="O54"/>
  <c r="O52" s="1"/>
  <c r="O11"/>
  <c r="L124" i="9"/>
  <c r="L127"/>
  <c r="L129"/>
  <c r="L132"/>
  <c r="L136"/>
  <c r="L137"/>
  <c r="L133"/>
  <c r="E53" i="12"/>
  <c r="E61" s="1"/>
  <c r="G42" i="4" s="1"/>
  <c r="J14" i="14"/>
  <c r="B17" i="44"/>
  <c r="C17" s="1"/>
  <c r="E17" s="1"/>
  <c r="H16" i="7"/>
  <c r="H105" i="9"/>
  <c r="O26" i="32"/>
  <c r="L125" i="9"/>
  <c r="L131"/>
  <c r="L138"/>
  <c r="L126"/>
  <c r="L134"/>
  <c r="L160"/>
  <c r="J82" i="11"/>
  <c r="J84" s="1"/>
  <c r="G40" i="4" s="1"/>
  <c r="J12" i="14"/>
  <c r="H17" i="7"/>
  <c r="B13" i="34"/>
  <c r="D13" s="1"/>
  <c r="E13" s="1"/>
  <c r="E41"/>
  <c r="E45"/>
  <c r="E40"/>
  <c r="F84" i="16"/>
  <c r="F132"/>
  <c r="H30" i="5" s="1"/>
  <c r="J76" i="16"/>
  <c r="E42" i="34"/>
  <c r="C52"/>
  <c r="J106" i="16"/>
  <c r="E37" i="34"/>
  <c r="J84" i="16"/>
  <c r="J164"/>
  <c r="J173" s="1"/>
  <c r="J37" i="5" s="1"/>
  <c r="J51" s="1"/>
  <c r="J56" s="1"/>
  <c r="D8" i="34"/>
  <c r="E8" s="1"/>
  <c r="E39"/>
  <c r="E38"/>
  <c r="F106" i="16"/>
  <c r="F127"/>
  <c r="H29" i="5" s="1"/>
  <c r="C26" i="34"/>
  <c r="B12"/>
  <c r="D12" s="1"/>
  <c r="E12" s="1"/>
  <c r="J15" i="16"/>
  <c r="J43"/>
  <c r="J51"/>
  <c r="J157"/>
  <c r="J24" i="5" s="1"/>
  <c r="F202" i="16"/>
  <c r="F76"/>
  <c r="J120" i="14"/>
  <c r="G45" i="4" s="1"/>
  <c r="H51" i="7" s="1"/>
  <c r="C38" i="2"/>
  <c r="O35" i="32"/>
  <c r="O20"/>
  <c r="M10"/>
  <c r="M59" s="1"/>
  <c r="C59"/>
  <c r="C39" i="31" s="1"/>
  <c r="O19" i="32"/>
  <c r="O17"/>
  <c r="I36" i="31"/>
  <c r="E11" i="10"/>
  <c r="E39"/>
  <c r="M8" i="31"/>
  <c r="D29" i="10" s="1"/>
  <c r="O10" i="31"/>
  <c r="H13" i="10"/>
  <c r="G21" i="31"/>
  <c r="E28" i="10" s="1"/>
  <c r="E27" s="1"/>
  <c r="O24" i="31"/>
  <c r="F38" i="10"/>
  <c r="F11"/>
  <c r="O18" i="31"/>
  <c r="H12" i="10"/>
  <c r="D11"/>
  <c r="B37" i="44"/>
  <c r="C37" s="1"/>
  <c r="E37" s="1"/>
  <c r="L21" i="33"/>
  <c r="L20" s="1"/>
  <c r="J68"/>
  <c r="N69"/>
  <c r="N68" s="1"/>
  <c r="N59"/>
  <c r="L58"/>
  <c r="D32"/>
  <c r="F32" s="1"/>
  <c r="F65"/>
  <c r="D14"/>
  <c r="D21"/>
  <c r="D20" s="1"/>
  <c r="F31"/>
  <c r="B30"/>
  <c r="D36"/>
  <c r="F37"/>
  <c r="F36" s="1"/>
  <c r="F34"/>
  <c r="D26"/>
  <c r="F28"/>
  <c r="F26" s="1"/>
  <c r="B63"/>
  <c r="F64"/>
  <c r="F21"/>
  <c r="B20"/>
  <c r="D18"/>
  <c r="F18" s="1"/>
  <c r="D72"/>
  <c r="F61"/>
  <c r="F58" s="1"/>
  <c r="F22"/>
  <c r="F16"/>
  <c r="F15" i="16"/>
  <c r="H10" i="5" s="1"/>
  <c r="B25" i="2"/>
  <c r="N18" i="33"/>
  <c r="D11"/>
  <c r="D10" s="1"/>
  <c r="E277" i="59"/>
  <c r="B14" i="33" s="1"/>
  <c r="B13" s="1"/>
  <c r="N15"/>
  <c r="N64"/>
  <c r="F173" i="16"/>
  <c r="H37" i="5" s="1"/>
  <c r="L72" i="33"/>
  <c r="N31"/>
  <c r="N22"/>
  <c r="B33" i="44"/>
  <c r="C33" s="1"/>
  <c r="E33" s="1"/>
  <c r="F157" i="16"/>
  <c r="N65" i="33"/>
  <c r="L63"/>
  <c r="B28" i="2"/>
  <c r="N73" i="33"/>
  <c r="N72" s="1"/>
  <c r="N34"/>
  <c r="N23"/>
  <c r="N16"/>
  <c r="J30"/>
  <c r="F51" i="16"/>
  <c r="H22" i="5" s="1"/>
  <c r="N56" i="33"/>
  <c r="N55" s="1"/>
  <c r="L36"/>
  <c r="H154" i="9"/>
  <c r="L45"/>
  <c r="J15" i="14"/>
  <c r="L153" i="9"/>
  <c r="H153"/>
  <c r="G41" i="4"/>
  <c r="J41" s="1"/>
  <c r="L155" i="9"/>
  <c r="L114"/>
  <c r="H158"/>
  <c r="J13" i="14"/>
  <c r="J20"/>
  <c r="F11"/>
  <c r="N11" s="1"/>
  <c r="L158" i="9"/>
  <c r="D36" i="6"/>
  <c r="H155" i="9"/>
  <c r="H134"/>
  <c r="P134" s="1"/>
  <c r="H129"/>
  <c r="H136"/>
  <c r="P136" s="1"/>
  <c r="H156"/>
  <c r="L19"/>
  <c r="F1" i="1"/>
  <c r="F12" s="1"/>
  <c r="F15" s="1"/>
  <c r="F17" s="1"/>
  <c r="L37" i="9"/>
  <c r="L35" s="1"/>
  <c r="H36" s="1"/>
  <c r="H35" s="1"/>
  <c r="D36" s="1"/>
  <c r="D35" s="1"/>
  <c r="C13" i="4" s="1"/>
  <c r="L13" s="1"/>
  <c r="J30" i="30"/>
  <c r="J35" s="1"/>
  <c r="L27" i="9"/>
  <c r="I24" i="55"/>
  <c r="F119" i="14"/>
  <c r="H127" i="9"/>
  <c r="H143"/>
  <c r="P143" s="1"/>
  <c r="B4" i="2"/>
  <c r="F15" i="14"/>
  <c r="N15" s="1"/>
  <c r="F17" i="7"/>
  <c r="H17" i="10"/>
  <c r="J63" i="33"/>
  <c r="I62" i="55"/>
  <c r="J44" i="11"/>
  <c r="F219" i="16"/>
  <c r="I80" i="55"/>
  <c r="N28" i="33"/>
  <c r="N26" s="1"/>
  <c r="H24" i="5" l="1"/>
  <c r="M24" s="1"/>
  <c r="J14"/>
  <c r="H12" i="81" s="1"/>
  <c r="H8" s="1"/>
  <c r="M38" i="5"/>
  <c r="H38"/>
  <c r="H15" i="81"/>
  <c r="J22" i="5"/>
  <c r="H10" i="81"/>
  <c r="J10" i="5"/>
  <c r="H29" i="81"/>
  <c r="J30" i="5"/>
  <c r="H11" i="81"/>
  <c r="J12" i="5"/>
  <c r="H51"/>
  <c r="H56" s="1"/>
  <c r="N143" i="9"/>
  <c r="N136"/>
  <c r="N134"/>
  <c r="N127"/>
  <c r="P127"/>
  <c r="N129"/>
  <c r="P129"/>
  <c r="D23" i="10"/>
  <c r="D28"/>
  <c r="D27" s="1"/>
  <c r="H29"/>
  <c r="D30" i="7"/>
  <c r="F51"/>
  <c r="D50" s="1"/>
  <c r="D54" s="1"/>
  <c r="N133" i="9"/>
  <c r="F27" i="81"/>
  <c r="M29" i="5"/>
  <c r="F29" i="81"/>
  <c r="M30" i="5"/>
  <c r="L157" i="16"/>
  <c r="I37" i="4"/>
  <c r="J37"/>
  <c r="F23" i="10"/>
  <c r="F28"/>
  <c r="F24"/>
  <c r="M22" i="5"/>
  <c r="F15" i="81"/>
  <c r="B11" i="44"/>
  <c r="C11" s="1"/>
  <c r="E11" s="1"/>
  <c r="M14" i="5"/>
  <c r="F12" i="81"/>
  <c r="H22"/>
  <c r="M10" i="5"/>
  <c r="F10" i="81"/>
  <c r="H12" i="7"/>
  <c r="D101" i="9"/>
  <c r="D105" s="1"/>
  <c r="I12" i="79"/>
  <c r="E26"/>
  <c r="M36" i="31"/>
  <c r="F37" i="10"/>
  <c r="H39"/>
  <c r="F26" i="35"/>
  <c r="G26" s="1"/>
  <c r="D25"/>
  <c r="F25" s="1"/>
  <c r="G25" s="1"/>
  <c r="C42" i="4"/>
  <c r="L42" s="1"/>
  <c r="G19" i="12"/>
  <c r="G59" i="32"/>
  <c r="H24" i="10"/>
  <c r="O21" i="31"/>
  <c r="E22" i="10" s="1"/>
  <c r="O26" i="31"/>
  <c r="F22" i="10" s="1"/>
  <c r="C40" i="31"/>
  <c r="M37" i="5"/>
  <c r="N17" i="33"/>
  <c r="J58"/>
  <c r="J76" s="1"/>
  <c r="J78" s="1"/>
  <c r="E21" i="4"/>
  <c r="E42"/>
  <c r="I42" s="1"/>
  <c r="G40" i="12"/>
  <c r="F370" i="16" s="1"/>
  <c r="J49" i="11"/>
  <c r="F45" s="1"/>
  <c r="D30" i="33"/>
  <c r="F73"/>
  <c r="F72" s="1"/>
  <c r="B29" i="35"/>
  <c r="B6" i="2"/>
  <c r="B13" i="44"/>
  <c r="B15" s="1"/>
  <c r="C15" s="1"/>
  <c r="E15" s="1"/>
  <c r="H168" i="9"/>
  <c r="F16" i="7"/>
  <c r="F357" i="16"/>
  <c r="F49" i="11"/>
  <c r="H14" i="10"/>
  <c r="H20"/>
  <c r="D11" i="6"/>
  <c r="C11"/>
  <c r="O8" i="31"/>
  <c r="D22" i="10" s="1"/>
  <c r="B10" i="2"/>
  <c r="C29" i="35"/>
  <c r="M17" i="5"/>
  <c r="F23" i="35"/>
  <c r="F22" s="1"/>
  <c r="G22" s="1"/>
  <c r="H115" i="9"/>
  <c r="H114" s="1"/>
  <c r="D115" s="1"/>
  <c r="D114" s="1"/>
  <c r="L112"/>
  <c r="G22" i="4" s="1"/>
  <c r="H19" i="10"/>
  <c r="G36" i="31"/>
  <c r="E23" i="10"/>
  <c r="O10" i="32"/>
  <c r="O59" s="1"/>
  <c r="O39" i="31" s="1"/>
  <c r="C53" i="34"/>
  <c r="C32" i="12"/>
  <c r="C40" s="1"/>
  <c r="G35" s="1"/>
  <c r="L144" i="9"/>
  <c r="J141" i="16"/>
  <c r="H11" i="10"/>
  <c r="J66" i="16"/>
  <c r="F10" i="35"/>
  <c r="F9" s="1"/>
  <c r="G9" s="1"/>
  <c r="D9"/>
  <c r="D12"/>
  <c r="H38" i="10"/>
  <c r="E13" i="4"/>
  <c r="G13"/>
  <c r="B7" i="2"/>
  <c r="M16" i="5"/>
  <c r="B5" i="2"/>
  <c r="F141" i="16"/>
  <c r="F44"/>
  <c r="B19" i="44"/>
  <c r="D26" i="34"/>
  <c r="J44" i="16"/>
  <c r="N58" i="33"/>
  <c r="B26" i="34"/>
  <c r="B3" i="2"/>
  <c r="E37" i="10"/>
  <c r="F30" i="33"/>
  <c r="F14"/>
  <c r="F63"/>
  <c r="F20"/>
  <c r="D13"/>
  <c r="F13"/>
  <c r="E811" i="59"/>
  <c r="E813" s="1"/>
  <c r="N21" i="33"/>
  <c r="N20" s="1"/>
  <c r="B24" i="2"/>
  <c r="B9"/>
  <c r="B22" i="44"/>
  <c r="N32" i="33"/>
  <c r="N30" s="1"/>
  <c r="L13"/>
  <c r="L76" s="1"/>
  <c r="L78" s="1"/>
  <c r="B12" i="2"/>
  <c r="N11" i="33"/>
  <c r="N10" s="1"/>
  <c r="N14"/>
  <c r="B10" i="44"/>
  <c r="C10" s="1"/>
  <c r="E10" s="1"/>
  <c r="F66" i="16"/>
  <c r="N63" i="33"/>
  <c r="F92" i="16"/>
  <c r="D89" s="1"/>
  <c r="D92" s="1"/>
  <c r="F56" i="33"/>
  <c r="F55" s="1"/>
  <c r="B55"/>
  <c r="B27" i="2"/>
  <c r="H20" i="9"/>
  <c r="H19" s="1"/>
  <c r="D20" s="1"/>
  <c r="D19" s="1"/>
  <c r="H135"/>
  <c r="H157"/>
  <c r="J21" i="14"/>
  <c r="G43" i="4" s="1"/>
  <c r="L168" i="9"/>
  <c r="L11"/>
  <c r="H12" s="1"/>
  <c r="H11" s="1"/>
  <c r="H159"/>
  <c r="I41" i="4"/>
  <c r="L162" i="9"/>
  <c r="G25" i="4" s="1"/>
  <c r="F9" i="14"/>
  <c r="N9" s="1"/>
  <c r="N21" s="1"/>
  <c r="D371" i="16" s="1"/>
  <c r="L17" i="9"/>
  <c r="K30" i="30"/>
  <c r="D62" i="9" s="1"/>
  <c r="G30" i="30"/>
  <c r="G35" s="1"/>
  <c r="H28" i="9"/>
  <c r="H27" s="1"/>
  <c r="D28" s="1"/>
  <c r="D27" s="1"/>
  <c r="I45" i="4"/>
  <c r="H54" i="7" s="1"/>
  <c r="B52" i="34"/>
  <c r="J26" i="5" l="1"/>
  <c r="J32" s="1"/>
  <c r="J58" s="1"/>
  <c r="J61" s="1"/>
  <c r="H26"/>
  <c r="H32" s="1"/>
  <c r="H58" s="1"/>
  <c r="H61" s="1"/>
  <c r="N148" i="9"/>
  <c r="D40" i="7" s="1"/>
  <c r="P148" i="9"/>
  <c r="D372" i="16" s="1"/>
  <c r="L82" i="11"/>
  <c r="D38" i="7" s="1"/>
  <c r="N82" i="11"/>
  <c r="J351" i="16"/>
  <c r="J368" s="1"/>
  <c r="D112" i="9"/>
  <c r="C22" i="4" s="1"/>
  <c r="L22" s="1"/>
  <c r="N114" i="9"/>
  <c r="F22" i="81"/>
  <c r="C39" i="4"/>
  <c r="L39" s="1"/>
  <c r="J42"/>
  <c r="F27" i="10"/>
  <c r="H27" s="1"/>
  <c r="H28"/>
  <c r="N105" i="9"/>
  <c r="C21" i="4"/>
  <c r="F8" i="81"/>
  <c r="H41"/>
  <c r="B26" i="44"/>
  <c r="C26" s="1"/>
  <c r="E26" s="1"/>
  <c r="H37" i="10"/>
  <c r="E36" i="4"/>
  <c r="D45" i="11"/>
  <c r="D44" s="1"/>
  <c r="D49" s="1"/>
  <c r="L49" s="1"/>
  <c r="E50" i="79"/>
  <c r="I50" s="1"/>
  <c r="I26"/>
  <c r="G23" i="4"/>
  <c r="G20" s="1"/>
  <c r="L148" i="9"/>
  <c r="L167"/>
  <c r="L169" s="1"/>
  <c r="H11" i="7"/>
  <c r="H14" s="1"/>
  <c r="H19" s="1"/>
  <c r="H48" s="1"/>
  <c r="H56" s="1"/>
  <c r="C13" i="44"/>
  <c r="E13" s="1"/>
  <c r="B29"/>
  <c r="C29" s="1"/>
  <c r="E29" s="1"/>
  <c r="N62" i="9"/>
  <c r="O36" i="31"/>
  <c r="O40" s="1"/>
  <c r="D17" i="9"/>
  <c r="B21" i="2"/>
  <c r="I21" i="4"/>
  <c r="G36"/>
  <c r="G31" s="1"/>
  <c r="N13" i="33"/>
  <c r="N76" s="1"/>
  <c r="N78" s="1"/>
  <c r="H46" i="9" s="1"/>
  <c r="D76" i="33"/>
  <c r="D78" s="1"/>
  <c r="J10" i="4"/>
  <c r="F21" i="14"/>
  <c r="H144" i="9"/>
  <c r="F84" i="11"/>
  <c r="E40" i="4" s="1"/>
  <c r="K35" i="30"/>
  <c r="F29" i="35"/>
  <c r="G29" s="1"/>
  <c r="B8" i="2"/>
  <c r="B13" s="1"/>
  <c r="H112" i="9"/>
  <c r="J12" i="4"/>
  <c r="J13"/>
  <c r="F50" i="7"/>
  <c r="F54" s="1"/>
  <c r="B53" i="34"/>
  <c r="E26"/>
  <c r="D29" i="35"/>
  <c r="F11" i="7"/>
  <c r="G39" i="4"/>
  <c r="B7" i="44"/>
  <c r="C7" s="1"/>
  <c r="E7" s="1"/>
  <c r="H162" i="9"/>
  <c r="L8"/>
  <c r="H9" s="1"/>
  <c r="H8" s="1"/>
  <c r="H7" s="1"/>
  <c r="E11" i="4" s="1"/>
  <c r="L64" i="9"/>
  <c r="L67" s="1"/>
  <c r="G17" i="4" s="1"/>
  <c r="G16" s="1"/>
  <c r="H17" i="9"/>
  <c r="E36" i="34"/>
  <c r="D52"/>
  <c r="D53" s="1"/>
  <c r="J36" i="4" l="1"/>
  <c r="E31"/>
  <c r="F41" i="81"/>
  <c r="J21" i="4"/>
  <c r="D36" i="7" s="1"/>
  <c r="L21" i="4"/>
  <c r="D369" i="16"/>
  <c r="D370"/>
  <c r="D41" i="7"/>
  <c r="D37"/>
  <c r="D377" i="16"/>
  <c r="N112" i="9"/>
  <c r="G162" i="40"/>
  <c r="N162" i="9"/>
  <c r="J40" i="4"/>
  <c r="H167" i="9"/>
  <c r="H169" s="1"/>
  <c r="E23" i="4"/>
  <c r="J23" s="1"/>
  <c r="H148" i="9"/>
  <c r="E43" i="4"/>
  <c r="I40"/>
  <c r="C20"/>
  <c r="L20" s="1"/>
  <c r="D64" i="9"/>
  <c r="I36" i="4"/>
  <c r="G47"/>
  <c r="E22"/>
  <c r="J22" s="1"/>
  <c r="H64" i="9"/>
  <c r="H67" s="1"/>
  <c r="E17" i="4" s="1"/>
  <c r="E16" s="1"/>
  <c r="J380" i="16"/>
  <c r="B6" i="44"/>
  <c r="B8" s="1"/>
  <c r="C8" s="1"/>
  <c r="F388" i="16"/>
  <c r="F391" s="1"/>
  <c r="E25" i="4"/>
  <c r="J25" s="1"/>
  <c r="B15" i="2"/>
  <c r="B14" s="1"/>
  <c r="L7" i="9"/>
  <c r="G11" i="4" s="1"/>
  <c r="J11" s="1"/>
  <c r="E53" i="34"/>
  <c r="E52"/>
  <c r="D161" i="40" l="1"/>
  <c r="D166" s="1"/>
  <c r="D194" s="1"/>
  <c r="G166"/>
  <c r="D42" i="7"/>
  <c r="D376" i="16"/>
  <c r="J43" i="4"/>
  <c r="I23"/>
  <c r="E39"/>
  <c r="I43"/>
  <c r="D67" i="9"/>
  <c r="I22" i="4"/>
  <c r="I16"/>
  <c r="I25"/>
  <c r="C6" i="44"/>
  <c r="E6" s="1"/>
  <c r="E20" i="4"/>
  <c r="I20" s="1"/>
  <c r="B23" i="44"/>
  <c r="C22" s="1"/>
  <c r="B20"/>
  <c r="C19" s="1"/>
  <c r="I17" i="4"/>
  <c r="F44" i="7"/>
  <c r="D31" i="6"/>
  <c r="C17" i="4" l="1"/>
  <c r="N67" i="9"/>
  <c r="I39" i="4"/>
  <c r="J39"/>
  <c r="C16"/>
  <c r="L16" s="1"/>
  <c r="C23" i="6"/>
  <c r="C28" s="1"/>
  <c r="D23"/>
  <c r="D28" s="1"/>
  <c r="B76" i="33"/>
  <c r="B78" s="1"/>
  <c r="F11"/>
  <c r="F10" s="1"/>
  <c r="F76" s="1"/>
  <c r="F78" s="1"/>
  <c r="J17" i="4" l="1"/>
  <c r="D374" i="16" s="1"/>
  <c r="L17" i="4"/>
  <c r="D35" i="7"/>
  <c r="L46" i="9"/>
  <c r="L53" s="1"/>
  <c r="H45" s="1"/>
  <c r="G14" i="4" l="1"/>
  <c r="D44" i="7"/>
  <c r="D48" s="1"/>
  <c r="D56" s="1"/>
  <c r="D380" i="16"/>
  <c r="K14" i="7" s="1"/>
  <c r="L14" s="1"/>
  <c r="L57" i="9"/>
  <c r="H53"/>
  <c r="G9" i="4"/>
  <c r="M380" i="16" l="1"/>
  <c r="H57" i="9"/>
  <c r="E14" i="4"/>
  <c r="E9" s="1"/>
  <c r="E28" s="1"/>
  <c r="D45" i="9"/>
  <c r="D53" s="1"/>
  <c r="D57" s="1"/>
  <c r="G28" i="4"/>
  <c r="G51" s="1"/>
  <c r="C14" l="1"/>
  <c r="I28"/>
  <c r="H23" i="10"/>
  <c r="H22"/>
  <c r="C32" i="4" s="1"/>
  <c r="J32" l="1"/>
  <c r="L32"/>
  <c r="C55" i="6"/>
  <c r="L14" i="4"/>
  <c r="C9"/>
  <c r="J14"/>
  <c r="C31"/>
  <c r="E47"/>
  <c r="F30" i="7"/>
  <c r="I32" i="4"/>
  <c r="C47" l="1"/>
  <c r="L47" s="1"/>
  <c r="L31"/>
  <c r="C28"/>
  <c r="I31"/>
  <c r="I47"/>
  <c r="E51"/>
  <c r="C51" l="1"/>
  <c r="L28"/>
  <c r="F12" i="7"/>
  <c r="B22" i="2"/>
  <c r="B29" s="1"/>
  <c r="D31" l="1"/>
  <c r="B31"/>
  <c r="B30" s="1"/>
  <c r="B25" i="44"/>
  <c r="F14" i="7" l="1"/>
  <c r="B27" i="44"/>
  <c r="C27" s="1"/>
  <c r="B30"/>
  <c r="B38"/>
  <c r="C25"/>
  <c r="E25" s="1"/>
  <c r="B34"/>
  <c r="F351" i="16" l="1"/>
  <c r="F368" s="1"/>
  <c r="F380" s="1"/>
  <c r="E31" i="2"/>
  <c r="E32" s="1"/>
  <c r="C29" i="6"/>
  <c r="C38" s="1"/>
  <c r="B3" i="44"/>
  <c r="C3" s="1"/>
  <c r="E3" s="1"/>
  <c r="F19" i="7"/>
  <c r="F48" s="1"/>
  <c r="F56" s="1"/>
  <c r="B35" i="44"/>
  <c r="C34"/>
  <c r="E34" s="1"/>
  <c r="C38"/>
  <c r="E38" s="1"/>
  <c r="B39"/>
  <c r="B31"/>
  <c r="C30"/>
  <c r="E30" s="1"/>
  <c r="D29" i="6" l="1"/>
  <c r="D38" s="1"/>
  <c r="D44" s="1"/>
  <c r="D54" s="1"/>
  <c r="C44"/>
  <c r="C54" s="1"/>
  <c r="C56" s="1"/>
</calcChain>
</file>

<file path=xl/comments1.xml><?xml version="1.0" encoding="utf-8"?>
<comments xmlns="http://schemas.openxmlformats.org/spreadsheetml/2006/main">
  <authors>
    <author>nakkiet</author>
  </authors>
  <commentList>
    <comment ref="L13" authorId="0">
      <text>
        <r>
          <rPr>
            <b/>
            <sz val="9"/>
            <color indexed="81"/>
            <rFont val="Tahoma"/>
            <family val="2"/>
          </rPr>
          <t>nakkiet:</t>
        </r>
        <r>
          <rPr>
            <sz val="9"/>
            <color indexed="81"/>
            <rFont val="Tahoma"/>
            <family val="2"/>
          </rPr>
          <t xml:space="preserve">
audit 1 no 26  R14042850.00 and R4626370 jnl 204536 Disposal on invest prop
</t>
        </r>
      </text>
    </comment>
    <comment ref="L17" authorId="0">
      <text>
        <r>
          <rPr>
            <b/>
            <sz val="9"/>
            <color indexed="81"/>
            <rFont val="Tahoma"/>
            <family val="2"/>
          </rPr>
          <t>nakkiet:</t>
        </r>
        <r>
          <rPr>
            <sz val="9"/>
            <color indexed="81"/>
            <rFont val="Tahoma"/>
            <family val="2"/>
          </rPr>
          <t xml:space="preserve">
audit 1 no 27
R97472.43 jnl 204539 Lease Liability
</t>
        </r>
      </text>
    </comment>
    <comment ref="L40" authorId="0">
      <text>
        <r>
          <rPr>
            <b/>
            <sz val="9"/>
            <color indexed="81"/>
            <rFont val="Tahoma"/>
            <family val="2"/>
          </rPr>
          <t>nakkiet:</t>
        </r>
        <r>
          <rPr>
            <sz val="9"/>
            <color indexed="81"/>
            <rFont val="Tahoma"/>
            <family val="2"/>
          </rPr>
          <t xml:space="preserve">
audit 2 no 6 nanc ext stands register new owners R3880000 jnl 204539 audit 1 no 5 correction mun stock 08/09 R43462 jnl 204536 audit 1 no 9 vat R299305 jnl 204540, 204544
</t>
        </r>
      </text>
    </comment>
  </commentList>
</comments>
</file>

<file path=xl/comments2.xml><?xml version="1.0" encoding="utf-8"?>
<comments xmlns="http://schemas.openxmlformats.org/spreadsheetml/2006/main">
  <authors>
    <author>Fanie</author>
    <author>Heila</author>
  </authors>
  <commentList>
    <comment ref="L47" authorId="0">
      <text>
        <r>
          <rPr>
            <b/>
            <sz val="9"/>
            <color indexed="81"/>
            <rFont val="Tahoma"/>
            <family val="2"/>
          </rPr>
          <t>R10,889,273 were inclusive of contributions on line D48 - taken out to show seperately on line d47</t>
        </r>
      </text>
    </comment>
    <comment ref="B112" authorId="1">
      <text>
        <r>
          <rPr>
            <b/>
            <sz val="9"/>
            <color indexed="81"/>
            <rFont val="Tahoma"/>
            <family val="2"/>
          </rPr>
          <t>Heila:</t>
        </r>
        <r>
          <rPr>
            <sz val="9"/>
            <color indexed="81"/>
            <rFont val="Tahoma"/>
            <family val="2"/>
          </rPr>
          <t xml:space="preserve">
Include landfill and leave provision
</t>
        </r>
      </text>
    </comment>
  </commentList>
</comments>
</file>

<file path=xl/comments3.xml><?xml version="1.0" encoding="utf-8"?>
<comments xmlns="http://schemas.openxmlformats.org/spreadsheetml/2006/main">
  <authors>
    <author>Heila</author>
  </authors>
  <commentList>
    <comment ref="B75" authorId="0">
      <text>
        <r>
          <rPr>
            <b/>
            <sz val="9"/>
            <color indexed="81"/>
            <rFont val="Tahoma"/>
            <family val="2"/>
          </rPr>
          <t>Heila:</t>
        </r>
        <r>
          <rPr>
            <sz val="9"/>
            <color indexed="81"/>
            <rFont val="Tahoma"/>
            <family val="2"/>
          </rPr>
          <t xml:space="preserve">
Insert a note when the loans will be fully redeemed</t>
        </r>
      </text>
    </comment>
  </commentList>
</comments>
</file>

<file path=xl/comments4.xml><?xml version="1.0" encoding="utf-8"?>
<comments xmlns="http://schemas.openxmlformats.org/spreadsheetml/2006/main">
  <authors>
    <author>Fanie</author>
    <author>Heila</author>
  </authors>
  <commentList>
    <comment ref="J90" authorId="0">
      <text>
        <r>
          <rPr>
            <sz val="9"/>
            <color indexed="81"/>
            <rFont val="Tahoma"/>
            <family val="2"/>
          </rPr>
          <t>MIG Grant for Cemetery Vhembe R1,000,000</t>
        </r>
      </text>
    </comment>
    <comment ref="B228" authorId="1">
      <text>
        <r>
          <rPr>
            <b/>
            <sz val="9"/>
            <color indexed="81"/>
            <rFont val="Tahoma"/>
            <family val="2"/>
          </rPr>
          <t>Heila:</t>
        </r>
        <r>
          <rPr>
            <sz val="9"/>
            <color indexed="81"/>
            <rFont val="Tahoma"/>
            <family val="2"/>
          </rPr>
          <t xml:space="preserve">
Separate different classes. i.e. leases, etc</t>
        </r>
      </text>
    </comment>
    <comment ref="R356" authorId="0">
      <text>
        <r>
          <rPr>
            <b/>
            <sz val="9"/>
            <color indexed="81"/>
            <rFont val="Tahoma"/>
            <family val="2"/>
          </rPr>
          <t xml:space="preserve">See TB 0607
</t>
        </r>
      </text>
    </comment>
  </commentList>
</comments>
</file>

<file path=xl/comments5.xml><?xml version="1.0" encoding="utf-8"?>
<comments xmlns="http://schemas.openxmlformats.org/spreadsheetml/2006/main">
  <authors>
    <author>Fanie</author>
  </authors>
  <commentList>
    <comment ref="E23" authorId="0">
      <text>
        <r>
          <rPr>
            <sz val="9"/>
            <color indexed="81"/>
            <rFont val="Tahoma"/>
            <family val="2"/>
          </rPr>
          <t>R6,237,984.06 is Loans Redeemed &amp; other capital receipts 0607</t>
        </r>
      </text>
    </comment>
    <comment ref="G23" authorId="0">
      <text>
        <r>
          <rPr>
            <sz val="9"/>
            <color indexed="81"/>
            <rFont val="Tahoma"/>
            <family val="2"/>
          </rPr>
          <t>R6,237,984.06 is Loans Redeemed &amp; other capital receipts 0607</t>
        </r>
      </text>
    </comment>
    <comment ref="I23" authorId="0">
      <text>
        <r>
          <rPr>
            <sz val="9"/>
            <color indexed="81"/>
            <rFont val="Tahoma"/>
            <family val="2"/>
          </rPr>
          <t>R6,237,984.06 is Loans Redeemed &amp; other capital receipts 0607</t>
        </r>
      </text>
    </comment>
  </commentList>
</comments>
</file>

<file path=xl/comments6.xml><?xml version="1.0" encoding="utf-8"?>
<comments xmlns="http://schemas.openxmlformats.org/spreadsheetml/2006/main">
  <authors>
    <author>Heila Welgemoed</author>
  </authors>
  <commentList>
    <comment ref="B11" authorId="0">
      <text>
        <r>
          <rPr>
            <b/>
            <sz val="8"/>
            <color indexed="81"/>
            <rFont val="Tahoma"/>
            <family val="2"/>
          </rPr>
          <t>Heila Welgemoed:</t>
        </r>
        <r>
          <rPr>
            <sz val="8"/>
            <color indexed="81"/>
            <rFont val="Tahoma"/>
            <family val="2"/>
          </rPr>
          <t xml:space="preserve">
Please check formula</t>
        </r>
      </text>
    </comment>
    <comment ref="B12" authorId="0">
      <text>
        <r>
          <rPr>
            <b/>
            <sz val="8"/>
            <color indexed="81"/>
            <rFont val="Tahoma"/>
            <family val="2"/>
          </rPr>
          <t>Heila Welgemoed:</t>
        </r>
        <r>
          <rPr>
            <sz val="8"/>
            <color indexed="81"/>
            <rFont val="Tahoma"/>
            <family val="2"/>
          </rPr>
          <t xml:space="preserve">
Please check formula</t>
        </r>
      </text>
    </comment>
  </commentList>
</comments>
</file>

<file path=xl/connections.xml><?xml version="1.0" encoding="utf-8"?>
<connections xmlns="http://schemas.openxmlformats.org/spreadsheetml/2006/main">
  <connection id="1" name="Connection" type="1" refreshedVersion="2" background="1" saveData="1">
    <dbPr connection="DSN=ProMIS;UID=;;SVOPT=-d dmy;DATABASE=" command="SELECT MEESTER_0.boekjaar, MEESTER_0.groep, MEESTER_0.seksie, MEESTER_0.acc-no, MEESTER_0.beginsaldo, MEESTER_0.eindsaldo, MEESTER_0.dt-kt-ind, MEESTER_0.l1-no_x000d_&#10;FROM pro1.MEESTER MEESTER_0_x000d_&#10;WHERE (MEESTER_0.boekjaar=05) AND (MEESTER_0.acc-no&gt;'0')_x000d_&#10;ORDER BY MEESTER_0.groep, MEESTER_0.seksie, MEESTER_0.acc-no"/>
  </connection>
  <connection id="2" name="Connection1" type="1" refreshedVersion="2" background="1" saveData="1">
    <dbPr connection="DSN=ProMIS;UID=;;SVOPT=-d dmy;DATABASE=" command="SELECT POSTE_0.boekjaar, POSTE_0.dep-no, POSTE_0.ite-no, POSTE_0.pos-no, POSTE_0.per13-tot, BUDPOS_0.original, DEPDESC_0.dep-desc, ITEMDESC_0.ite-desc, POSDESC_0.pos-desc_x000d_&#10;FROM pro1.BUDPOS BUDPOS_0, pro1.DEPDESC DEPDESC_0, pro1.ITEMDESC ITEMDESC_0, pro1.POSDESC POSDESC_0, pro1.POSTE POSTE_0_x000d_&#10;WHERE BUDPOS_0.boekjaar = POSTE_0.boekjaar AND BUDPOS_0.bookyear = POSTE_0.bookyear AND BUDPOS_0.metro = POSTE_0.metro AND BUDPOS_0.dep-no = POSTE_0.dep-no AND BUDPOS_0.ite-no = POSTE_0.ite-no AND BUDPOS_0.pos-no = POSTE_0.pos-no AND DEPDESC_0.dep-no = BUDPOS_0.dep-no AND DEPDESC_0.dep-no = POSTE_0.dep-no AND ITEMDESC_0.ite-no = BUDPOS_0.ite-no AND ITEMDESC_0.ite-no = POSTE_0.ite-no AND POSDESC_0.dep-no = BUDPOS_0.dep-no AND POSDESC_0.dep-no = DEPDESC_0.dep-no AND POSDESC_0.dep-no = POSTE_0.dep-no AND POSDESC_0.ite-no = BUDPOS_0.ite-no AND POSDESC_0.ite-no = ITEMDESC_0.ite-no AND POSDESC_0.ite-no = POSTE_0.ite-no AND POSDESC_0.metro = BUDPOS_0.metro AND POSDESC_0.metro = POSTE_0.metro AND POSDESC_0.pos-no = BUDPOS_0.pos-no AND POSDESC_0.pos-no = POSTE_0.pos-no AND ((POSTE_0.boekjaar=05))_x000d_&#10;ORDER BY POSTE_0.dep-no, POSTE_0.ite-no, POSTE_0.pos-no"/>
  </connection>
  <connection id="3" name="Connection11" type="1" refreshedVersion="2" background="1" saveData="1">
    <dbPr connection="DSN=ProMIS;UID=;;SVOPT=-d dmy;DATABASE=" command="SELECT POSTE_0.boekjaar, POSTE_0.dep-no, POSTE_0.ite-no, POSTE_0.pos-no, POSTE_0.per13-tot, BUDPOS_0.original, DEPDESC_0.dep-desc, ITEMDESC_0.ite-desc, POSDESC_0.pos-desc_x000d_&#10;FROM pro1.BUDPOS BUDPOS_0, pro1.DEPDESC DEPDESC_0, pro1.ITEMDESC ITEMDESC_0, pro1.POSDESC POSDESC_0, pro1.POSTE POSTE_0_x000d_&#10;WHERE BUDPOS_0.boekjaar = POSTE_0.boekjaar AND BUDPOS_0.bookyear = POSTE_0.bookyear AND BUDPOS_0.metro = POSTE_0.metro AND BUDPOS_0.dep-no = POSTE_0.dep-no AND BUDPOS_0.ite-no = POSTE_0.ite-no AND BUDPOS_0.pos-no = POSTE_0.pos-no AND DEPDESC_0.dep-no = BUDPOS_0.dep-no AND DEPDESC_0.dep-no = POSTE_0.dep-no AND ITEMDESC_0.ite-no = BUDPOS_0.ite-no AND ITEMDESC_0.ite-no = POSTE_0.ite-no AND POSDESC_0.dep-no = BUDPOS_0.dep-no AND POSDESC_0.dep-no = DEPDESC_0.dep-no AND POSDESC_0.dep-no = POSTE_0.dep-no AND POSDESC_0.ite-no = BUDPOS_0.ite-no AND POSDESC_0.ite-no = ITEMDESC_0.ite-no AND POSDESC_0.ite-no = POSTE_0.ite-no AND POSDESC_0.metro = BUDPOS_0.metro AND POSDESC_0.metro = POSTE_0.metro AND POSDESC_0.pos-no = BUDPOS_0.pos-no AND POSDESC_0.pos-no = POSTE_0.pos-no AND ((POSTE_0.boekjaar=05))_x000d_&#10;ORDER BY POSTE_0.dep-no, POSTE_0.ite-no, POSTE_0.pos-no"/>
  </connection>
  <connection id="4" name="Connection111" type="1" refreshedVersion="2" background="1" saveData="1">
    <dbPr connection="DSN=ProMIS;UID=;;SVOPT=-d dmy;DATABASE=" command="SELECT POSTE_0.boekjaar, POSTE_0.dep-no, POSTE_0.ite-no, POSTE_0.pos-no, POSTE_0.per13-tot, BUDPOS_0.original, DEPDESC_0.dep-desc, ITEMDESC_0.ite-desc, POSDESC_0.pos-desc_x000d_&#10;FROM pro1.BUDPOS BUDPOS_0, pro1.DEPDESC DEPDESC_0, pro1.ITEMDESC ITEMDESC_0, pro1.POSDESC POSDESC_0, pro1.POSTE POSTE_0_x000d_&#10;WHERE BUDPOS_0.boekjaar = POSTE_0.boekjaar AND BUDPOS_0.bookyear = POSTE_0.bookyear AND BUDPOS_0.metro = POSTE_0.metro AND BUDPOS_0.dep-no = POSTE_0.dep-no AND BUDPOS_0.ite-no = POSTE_0.ite-no AND BUDPOS_0.pos-no = POSTE_0.pos-no AND DEPDESC_0.dep-no = BUDPOS_0.dep-no AND DEPDESC_0.dep-no = POSTE_0.dep-no AND ITEMDESC_0.ite-no = BUDPOS_0.ite-no AND ITEMDESC_0.ite-no = POSTE_0.ite-no AND POSDESC_0.dep-no = BUDPOS_0.dep-no AND POSDESC_0.dep-no = DEPDESC_0.dep-no AND POSDESC_0.dep-no = POSTE_0.dep-no AND POSDESC_0.ite-no = BUDPOS_0.ite-no AND POSDESC_0.ite-no = ITEMDESC_0.ite-no AND POSDESC_0.ite-no = POSTE_0.ite-no AND POSDESC_0.metro = BUDPOS_0.metro AND POSDESC_0.metro = POSTE_0.metro AND POSDESC_0.pos-no = BUDPOS_0.pos-no AND POSDESC_0.pos-no = POSTE_0.pos-no AND ((POSTE_0.boekjaar=05))_x000d_&#10;ORDER BY POSTE_0.dep-no, POSTE_0.ite-no, POSTE_0.pos-no"/>
  </connection>
  <connection id="5" name="Connection12" type="1" refreshedVersion="2" background="1" saveData="1">
    <dbPr connection="DSN=ProMIS;UID=;;SVOPT=-d dmy;DATABASE=" command="SELECT POSTE_0.boekjaar, POSTE_0.dep-no, POSTE_0.ite-no, POSTE_0.pos-no, POSTE_0.per13-tot, BUDPOS_0.original, DEPDESC_0.dep-desc, ITEMDESC_0.ite-desc, POSDESC_0.pos-desc_x000d_&#10;FROM pro1.BUDPOS BUDPOS_0, pro1.DEPDESC DEPDESC_0, pro1.ITEMDESC ITEMDESC_0, pro1.POSDESC POSDESC_0, pro1.POSTE POSTE_0_x000d_&#10;WHERE BUDPOS_0.boekjaar = POSTE_0.boekjaar AND BUDPOS_0.bookyear = POSTE_0.bookyear AND BUDPOS_0.metro = POSTE_0.metro AND BUDPOS_0.dep-no = POSTE_0.dep-no AND BUDPOS_0.ite-no = POSTE_0.ite-no AND BUDPOS_0.pos-no = POSTE_0.pos-no AND DEPDESC_0.dep-no = BUDPOS_0.dep-no AND DEPDESC_0.dep-no = POSTE_0.dep-no AND ITEMDESC_0.ite-no = BUDPOS_0.ite-no AND ITEMDESC_0.ite-no = POSTE_0.ite-no AND POSDESC_0.dep-no = BUDPOS_0.dep-no AND POSDESC_0.dep-no = DEPDESC_0.dep-no AND POSDESC_0.dep-no = POSTE_0.dep-no AND POSDESC_0.ite-no = BUDPOS_0.ite-no AND POSDESC_0.ite-no = ITEMDESC_0.ite-no AND POSDESC_0.ite-no = POSTE_0.ite-no AND POSDESC_0.metro = BUDPOS_0.metro AND POSDESC_0.metro = POSTE_0.metro AND POSDESC_0.pos-no = BUDPOS_0.pos-no AND POSDESC_0.pos-no = POSTE_0.pos-no AND ((POSTE_0.boekjaar=05))_x000d_&#10;ORDER BY POSTE_0.dep-no, POSTE_0.ite-no, POSTE_0.pos-no"/>
  </connection>
  <connection id="6" name="Connection13" type="1" refreshedVersion="2" background="1" saveData="1">
    <dbPr connection="DSN=ProMIS;UID=;;SVOPT=-d dmy;DATABASE=" command="SELECT POSTE_0.boekjaar, POSTE_0.dep-no, POSTE_0.ite-no, POSTE_0.pos-no, POSTE_0.per13-tot, BUDPOS_0.original, DEPDESC_0.dep-desc, ITEMDESC_0.ite-desc, POSDESC_0.pos-desc_x000d_&#10;FROM pro1.BUDPOS BUDPOS_0, pro1.DEPDESC DEPDESC_0, pro1.ITEMDESC ITEMDESC_0, pro1.POSDESC POSDESC_0, pro1.POSTE POSTE_0_x000d_&#10;WHERE BUDPOS_0.boekjaar = POSTE_0.boekjaar AND BUDPOS_0.bookyear = POSTE_0.bookyear AND BUDPOS_0.metro = POSTE_0.metro AND BUDPOS_0.dep-no = POSTE_0.dep-no AND BUDPOS_0.ite-no = POSTE_0.ite-no AND BUDPOS_0.pos-no = POSTE_0.pos-no AND DEPDESC_0.dep-no = BUDPOS_0.dep-no AND DEPDESC_0.dep-no = POSTE_0.dep-no AND ITEMDESC_0.ite-no = BUDPOS_0.ite-no AND ITEMDESC_0.ite-no = POSTE_0.ite-no AND POSDESC_0.dep-no = BUDPOS_0.dep-no AND POSDESC_0.dep-no = DEPDESC_0.dep-no AND POSDESC_0.dep-no = POSTE_0.dep-no AND POSDESC_0.ite-no = BUDPOS_0.ite-no AND POSDESC_0.ite-no = ITEMDESC_0.ite-no AND POSDESC_0.ite-no = POSTE_0.ite-no AND POSDESC_0.metro = BUDPOS_0.metro AND POSDESC_0.metro = POSTE_0.metro AND POSDESC_0.pos-no = BUDPOS_0.pos-no AND POSDESC_0.pos-no = POSTE_0.pos-no AND ((POSTE_0.boekjaar=05))_x000d_&#10;ORDER BY POSTE_0.dep-no, POSTE_0.ite-no, POSTE_0.pos-no"/>
  </connection>
  <connection id="7" name="Connection14" type="1" refreshedVersion="2" background="1" saveData="1">
    <dbPr connection="DSN=ProMIS;UID=;;SVOPT=-d dmy;DATABASE=" command="SELECT POSTE_0.boekjaar, POSTE_0.dep-no, POSTE_0.ite-no, POSTE_0.pos-no, POSTE_0.per13-tot, BUDPOS_0.original, DEPDESC_0.dep-desc, ITEMDESC_0.ite-desc, POSDESC_0.pos-desc_x000d_&#10;FROM pro1.BUDPOS BUDPOS_0, pro1.DEPDESC DEPDESC_0, pro1.ITEMDESC ITEMDESC_0, pro1.POSDESC POSDESC_0, pro1.POSTE POSTE_0_x000d_&#10;WHERE BUDPOS_0.boekjaar = POSTE_0.boekjaar AND BUDPOS_0.bookyear = POSTE_0.bookyear AND BUDPOS_0.metro = POSTE_0.metro AND BUDPOS_0.dep-no = POSTE_0.dep-no AND BUDPOS_0.ite-no = POSTE_0.ite-no AND BUDPOS_0.pos-no = POSTE_0.pos-no AND DEPDESC_0.dep-no = BUDPOS_0.dep-no AND DEPDESC_0.dep-no = POSTE_0.dep-no AND ITEMDESC_0.ite-no = BUDPOS_0.ite-no AND ITEMDESC_0.ite-no = POSTE_0.ite-no AND POSDESC_0.dep-no = BUDPOS_0.dep-no AND POSDESC_0.dep-no = DEPDESC_0.dep-no AND POSDESC_0.dep-no = POSTE_0.dep-no AND POSDESC_0.ite-no = BUDPOS_0.ite-no AND POSDESC_0.ite-no = ITEMDESC_0.ite-no AND POSDESC_0.ite-no = POSTE_0.ite-no AND POSDESC_0.metro = BUDPOS_0.metro AND POSDESC_0.metro = POSTE_0.metro AND POSDESC_0.pos-no = BUDPOS_0.pos-no AND POSDESC_0.pos-no = POSTE_0.pos-no AND ((POSTE_0.boekjaar=05))_x000d_&#10;ORDER BY POSTE_0.dep-no, POSTE_0.ite-no, POSTE_0.pos-no"/>
  </connection>
  <connection id="8" name="Connection141" type="1" refreshedVersion="2" background="1" saveData="1">
    <dbPr connection="DSN=ProMIS;UID=;;SVOPT=-d dmy;DATABASE=" command="SELECT POSTE_0.boekjaar, POSTE_0.dep-no, POSTE_0.ite-no, POSTE_0.pos-no, POSTE_0.per13-tot, BUDPOS_0.original, DEPDESC_0.dep-desc, ITEMDESC_0.ite-desc, POSDESC_0.pos-desc_x000d_&#10;FROM pro1.BUDPOS BUDPOS_0, pro1.DEPDESC DEPDESC_0, pro1.ITEMDESC ITEMDESC_0, pro1.POSDESC POSDESC_0, pro1.POSTE POSTE_0_x000d_&#10;WHERE BUDPOS_0.boekjaar = POSTE_0.boekjaar AND BUDPOS_0.bookyear = POSTE_0.bookyear AND BUDPOS_0.metro = POSTE_0.metro AND BUDPOS_0.dep-no = POSTE_0.dep-no AND BUDPOS_0.ite-no = POSTE_0.ite-no AND BUDPOS_0.pos-no = POSTE_0.pos-no AND DEPDESC_0.dep-no = BUDPOS_0.dep-no AND DEPDESC_0.dep-no = POSTE_0.dep-no AND ITEMDESC_0.ite-no = BUDPOS_0.ite-no AND ITEMDESC_0.ite-no = POSTE_0.ite-no AND POSDESC_0.dep-no = BUDPOS_0.dep-no AND POSDESC_0.dep-no = DEPDESC_0.dep-no AND POSDESC_0.dep-no = POSTE_0.dep-no AND POSDESC_0.ite-no = BUDPOS_0.ite-no AND POSDESC_0.ite-no = ITEMDESC_0.ite-no AND POSDESC_0.ite-no = POSTE_0.ite-no AND POSDESC_0.metro = BUDPOS_0.metro AND POSDESC_0.metro = POSTE_0.metro AND POSDESC_0.pos-no = BUDPOS_0.pos-no AND POSDESC_0.pos-no = POSTE_0.pos-no AND ((POSTE_0.boekjaar=05))_x000d_&#10;ORDER BY POSTE_0.dep-no, POSTE_0.ite-no, POSTE_0.pos-no"/>
  </connection>
  <connection id="9" name="Connection15" type="1" refreshedVersion="2" background="1" saveData="1">
    <dbPr connection="DSN=ProMIS;UID=;;SVOPT=-d dmy;DATABASE=" command="SELECT POSTE_0.boekjaar, POSTE_0.dep-no, POSTE_0.ite-no, POSTE_0.pos-no, POSTE_0.per13-tot, BUDPOS_0.original, DEPDESC_0.dep-desc, ITEMDESC_0.ite-desc, POSDESC_0.pos-desc_x000d_&#10;FROM pro1.BUDPOS BUDPOS_0, pro1.DEPDESC DEPDESC_0, pro1.ITEMDESC ITEMDESC_0, pro1.POSDESC POSDESC_0, pro1.POSTE POSTE_0_x000d_&#10;WHERE BUDPOS_0.boekjaar = POSTE_0.boekjaar AND BUDPOS_0.bookyear = POSTE_0.bookyear AND BUDPOS_0.metro = POSTE_0.metro AND BUDPOS_0.dep-no = POSTE_0.dep-no AND BUDPOS_0.ite-no = POSTE_0.ite-no AND BUDPOS_0.pos-no = POSTE_0.pos-no AND DEPDESC_0.dep-no = BUDPOS_0.dep-no AND DEPDESC_0.dep-no = POSTE_0.dep-no AND ITEMDESC_0.ite-no = BUDPOS_0.ite-no AND ITEMDESC_0.ite-no = POSTE_0.ite-no AND POSDESC_0.dep-no = BUDPOS_0.dep-no AND POSDESC_0.dep-no = DEPDESC_0.dep-no AND POSDESC_0.dep-no = POSTE_0.dep-no AND POSDESC_0.ite-no = BUDPOS_0.ite-no AND POSDESC_0.ite-no = ITEMDESC_0.ite-no AND POSDESC_0.ite-no = POSTE_0.ite-no AND POSDESC_0.metro = BUDPOS_0.metro AND POSDESC_0.metro = POSTE_0.metro AND POSDESC_0.pos-no = BUDPOS_0.pos-no AND POSDESC_0.pos-no = POSTE_0.pos-no AND ((POSTE_0.boekjaar=05))_x000d_&#10;ORDER BY POSTE_0.dep-no, POSTE_0.ite-no, POSTE_0.pos-no"/>
  </connection>
  <connection id="10" name="Connection2" type="1" refreshedVersion="2" background="1" saveData="1">
    <dbPr connection="DSN=ProMIS;UID=;;SVOPT=-d dmy;DATABASE=" command="SELECT POSTE_0.boekjaar, POSTE_0.dep-no, POSTE_0.ite-no, POSTE_0.pos-no, POSTE_0.per13-tot, BUDPOS_0.original, DEPDESC_0.dep-desc, ITEMDESC_0.ite-desc, POSDESC_0.pos-desc_x000d_&#10;FROM pro1.BUDPOS BUDPOS_0, pro1.DEPDESC DEPDESC_0, pro1.ITEMDESC ITEMDESC_0, pro1.POSDESC POSDESC_0, pro1.POSTE POSTE_0_x000d_&#10;WHERE BUDPOS_0.boekjaar = POSTE_0.boekjaar AND BUDPOS_0.bookyear = POSTE_0.bookyear AND BUDPOS_0.metro = POSTE_0.metro AND BUDPOS_0.dep-no = POSTE_0.dep-no AND BUDPOS_0.ite-no = POSTE_0.ite-no AND BUDPOS_0.pos-no = POSTE_0.pos-no AND DEPDESC_0.dep-no = BUDPOS_0.dep-no AND DEPDESC_0.dep-no = POSTE_0.dep-no AND ITEMDESC_0.ite-no = BUDPOS_0.ite-no AND ITEMDESC_0.ite-no = POSTE_0.ite-no AND POSDESC_0.dep-no = BUDPOS_0.dep-no AND POSDESC_0.dep-no = DEPDESC_0.dep-no AND POSDESC_0.dep-no = POSTE_0.dep-no AND POSDESC_0.ite-no = BUDPOS_0.ite-no AND POSDESC_0.ite-no = ITEMDESC_0.ite-no AND POSDESC_0.ite-no = POSTE_0.ite-no AND POSDESC_0.metro = BUDPOS_0.metro AND POSDESC_0.metro = POSTE_0.metro AND POSDESC_0.pos-no = BUDPOS_0.pos-no AND POSDESC_0.pos-no = POSTE_0.pos-no AND ((POSTE_0.boekjaar=05))_x000d_&#10;ORDER BY POSTE_0.dep-no, POSTE_0.ite-no, POSTE_0.pos-no"/>
  </connection>
  <connection id="11" name="Connection21" type="1" refreshedVersion="2" background="1" saveData="1">
    <dbPr connection="DSN=ProMIS;UID=;;SVOPT=-d dmy;DATABASE=" command="SELECT POSTE_0.boekjaar, POSTE_0.dep-no, POSTE_0.ite-no, POSTE_0.pos-no, POSTE_0.per13-tot, BUDPOS_0.original, DEPDESC_0.dep-desc, ITEMDESC_0.ite-desc, POSDESC_0.pos-desc_x000d_&#10;FROM pro1.BUDPOS BUDPOS_0, pro1.DEPDESC DEPDESC_0, pro1.ITEMDESC ITEMDESC_0, pro1.POSDESC POSDESC_0, pro1.POSTE POSTE_0_x000d_&#10;WHERE BUDPOS_0.boekjaar = POSTE_0.boekjaar AND BUDPOS_0.bookyear = POSTE_0.bookyear AND BUDPOS_0.metro = POSTE_0.metro AND BUDPOS_0.dep-no = POSTE_0.dep-no AND BUDPOS_0.ite-no = POSTE_0.ite-no AND BUDPOS_0.pos-no = POSTE_0.pos-no AND DEPDESC_0.dep-no = BUDPOS_0.dep-no AND DEPDESC_0.dep-no = POSTE_0.dep-no AND ITEMDESC_0.ite-no = BUDPOS_0.ite-no AND ITEMDESC_0.ite-no = POSTE_0.ite-no AND POSDESC_0.dep-no = BUDPOS_0.dep-no AND POSDESC_0.dep-no = DEPDESC_0.dep-no AND POSDESC_0.dep-no = POSTE_0.dep-no AND POSDESC_0.ite-no = BUDPOS_0.ite-no AND POSDESC_0.ite-no = ITEMDESC_0.ite-no AND POSDESC_0.ite-no = POSTE_0.ite-no AND POSDESC_0.metro = BUDPOS_0.metro AND POSDESC_0.metro = POSTE_0.metro AND POSDESC_0.pos-no = BUDPOS_0.pos-no AND POSDESC_0.pos-no = POSTE_0.pos-no AND ((POSTE_0.boekjaar=05))_x000d_&#10;ORDER BY POSTE_0.dep-no, POSTE_0.ite-no, POSTE_0.pos-no"/>
  </connection>
  <connection id="12" name="Connection211" type="1" refreshedVersion="2" background="1" saveData="1">
    <dbPr connection="DSN=ProMIS;UID=;;SVOPT=-d dmy;DATABASE=" command="SELECT POSTE_0.boekjaar, POSTE_0.dep-no, POSTE_0.ite-no, POSTE_0.pos-no, POSTE_0.per13-tot, BUDPOS_0.original, DEPDESC_0.dep-desc, ITEMDESC_0.ite-desc, POSDESC_0.pos-desc_x000d_&#10;FROM pro1.BUDPOS BUDPOS_0, pro1.DEPDESC DEPDESC_0, pro1.ITEMDESC ITEMDESC_0, pro1.POSDESC POSDESC_0, pro1.POSTE POSTE_0_x000d_&#10;WHERE BUDPOS_0.boekjaar = POSTE_0.boekjaar AND BUDPOS_0.bookyear = POSTE_0.bookyear AND BUDPOS_0.metro = POSTE_0.metro AND BUDPOS_0.dep-no = POSTE_0.dep-no AND BUDPOS_0.ite-no = POSTE_0.ite-no AND BUDPOS_0.pos-no = POSTE_0.pos-no AND DEPDESC_0.dep-no = BUDPOS_0.dep-no AND DEPDESC_0.dep-no = POSTE_0.dep-no AND ITEMDESC_0.ite-no = BUDPOS_0.ite-no AND ITEMDESC_0.ite-no = POSTE_0.ite-no AND POSDESC_0.dep-no = BUDPOS_0.dep-no AND POSDESC_0.dep-no = DEPDESC_0.dep-no AND POSDESC_0.dep-no = POSTE_0.dep-no AND POSDESC_0.ite-no = BUDPOS_0.ite-no AND POSDESC_0.ite-no = ITEMDESC_0.ite-no AND POSDESC_0.ite-no = POSTE_0.ite-no AND POSDESC_0.metro = BUDPOS_0.metro AND POSDESC_0.metro = POSTE_0.metro AND POSDESC_0.pos-no = BUDPOS_0.pos-no AND POSDESC_0.pos-no = POSTE_0.pos-no AND ((POSTE_0.boekjaar=05))_x000d_&#10;ORDER BY POSTE_0.dep-no, POSTE_0.ite-no, POSTE_0.pos-no"/>
  </connection>
  <connection id="13" name="Connection22" type="1" refreshedVersion="2" background="1" saveData="1">
    <dbPr connection="DSN=ProMIS;UID=;;SVOPT=-d dmy;DATABASE=" command="SELECT POSTE_0.boekjaar, POSTE_0.dep-no, POSTE_0.ite-no, POSTE_0.pos-no, POSTE_0.per13-tot, BUDPOS_0.original, DEPDESC_0.dep-desc, ITEMDESC_0.ite-desc, POSDESC_0.pos-desc_x000d_&#10;FROM pro1.BUDPOS BUDPOS_0, pro1.DEPDESC DEPDESC_0, pro1.ITEMDESC ITEMDESC_0, pro1.POSDESC POSDESC_0, pro1.POSTE POSTE_0_x000d_&#10;WHERE BUDPOS_0.boekjaar = POSTE_0.boekjaar AND BUDPOS_0.bookyear = POSTE_0.bookyear AND BUDPOS_0.metro = POSTE_0.metro AND BUDPOS_0.dep-no = POSTE_0.dep-no AND BUDPOS_0.ite-no = POSTE_0.ite-no AND BUDPOS_0.pos-no = POSTE_0.pos-no AND DEPDESC_0.dep-no = BUDPOS_0.dep-no AND DEPDESC_0.dep-no = POSTE_0.dep-no AND ITEMDESC_0.ite-no = BUDPOS_0.ite-no AND ITEMDESC_0.ite-no = POSTE_0.ite-no AND POSDESC_0.dep-no = BUDPOS_0.dep-no AND POSDESC_0.dep-no = DEPDESC_0.dep-no AND POSDESC_0.dep-no = POSTE_0.dep-no AND POSDESC_0.ite-no = BUDPOS_0.ite-no AND POSDESC_0.ite-no = ITEMDESC_0.ite-no AND POSDESC_0.ite-no = POSTE_0.ite-no AND POSDESC_0.metro = BUDPOS_0.metro AND POSDESC_0.metro = POSTE_0.metro AND POSDESC_0.pos-no = BUDPOS_0.pos-no AND POSDESC_0.pos-no = POSTE_0.pos-no AND ((POSTE_0.boekjaar=05))_x000d_&#10;ORDER BY POSTE_0.dep-no, POSTE_0.ite-no, POSTE_0.pos-no"/>
  </connection>
  <connection id="14" name="Connection23" type="1" refreshedVersion="2" background="1" saveData="1">
    <dbPr connection="DSN=ProMIS;UID=;;SVOPT=-d dmy;DATABASE=" command="SELECT POSTE_0.boekjaar, POSTE_0.dep-no, POSTE_0.ite-no, POSTE_0.pos-no, POSTE_0.per13-tot, BUDPOS_0.original, DEPDESC_0.dep-desc, ITEMDESC_0.ite-desc, POSDESC_0.pos-desc_x000d_&#10;FROM pro1.BUDPOS BUDPOS_0, pro1.DEPDESC DEPDESC_0, pro1.ITEMDESC ITEMDESC_0, pro1.POSDESC POSDESC_0, pro1.POSTE POSTE_0_x000d_&#10;WHERE BUDPOS_0.boekjaar = POSTE_0.boekjaar AND BUDPOS_0.bookyear = POSTE_0.bookyear AND BUDPOS_0.metro = POSTE_0.metro AND BUDPOS_0.dep-no = POSTE_0.dep-no AND BUDPOS_0.ite-no = POSTE_0.ite-no AND BUDPOS_0.pos-no = POSTE_0.pos-no AND DEPDESC_0.dep-no = BUDPOS_0.dep-no AND DEPDESC_0.dep-no = POSTE_0.dep-no AND ITEMDESC_0.ite-no = BUDPOS_0.ite-no AND ITEMDESC_0.ite-no = POSTE_0.ite-no AND POSDESC_0.dep-no = BUDPOS_0.dep-no AND POSDESC_0.dep-no = DEPDESC_0.dep-no AND POSDESC_0.dep-no = POSTE_0.dep-no AND POSDESC_0.ite-no = BUDPOS_0.ite-no AND POSDESC_0.ite-no = ITEMDESC_0.ite-no AND POSDESC_0.ite-no = POSTE_0.ite-no AND POSDESC_0.metro = BUDPOS_0.metro AND POSDESC_0.metro = POSTE_0.metro AND POSDESC_0.pos-no = BUDPOS_0.pos-no AND POSDESC_0.pos-no = POSTE_0.pos-no AND ((POSTE_0.boekjaar=05))_x000d_&#10;ORDER BY POSTE_0.dep-no, POSTE_0.ite-no, POSTE_0.pos-no"/>
  </connection>
  <connection id="15" name="Connection24" type="1" refreshedVersion="2" background="1" saveData="1">
    <dbPr connection="DSN=ProMIS;UID=;;SVOPT=-d dmy;DATABASE=" command="SELECT POSTE_0.boekjaar, POSTE_0.dep-no, POSTE_0.ite-no, POSTE_0.pos-no, POSTE_0.per13-tot, BUDPOS_0.original, DEPDESC_0.dep-desc, ITEMDESC_0.ite-desc, POSDESC_0.pos-desc_x000d_&#10;FROM pro1.BUDPOS BUDPOS_0, pro1.DEPDESC DEPDESC_0, pro1.ITEMDESC ITEMDESC_0, pro1.POSDESC POSDESC_0, pro1.POSTE POSTE_0_x000d_&#10;WHERE BUDPOS_0.boekjaar = POSTE_0.boekjaar AND BUDPOS_0.bookyear = POSTE_0.bookyear AND BUDPOS_0.metro = POSTE_0.metro AND BUDPOS_0.dep-no = POSTE_0.dep-no AND BUDPOS_0.ite-no = POSTE_0.ite-no AND BUDPOS_0.pos-no = POSTE_0.pos-no AND DEPDESC_0.dep-no = BUDPOS_0.dep-no AND DEPDESC_0.dep-no = POSTE_0.dep-no AND ITEMDESC_0.ite-no = BUDPOS_0.ite-no AND ITEMDESC_0.ite-no = POSTE_0.ite-no AND POSDESC_0.dep-no = BUDPOS_0.dep-no AND POSDESC_0.dep-no = DEPDESC_0.dep-no AND POSDESC_0.dep-no = POSTE_0.dep-no AND POSDESC_0.ite-no = BUDPOS_0.ite-no AND POSDESC_0.ite-no = ITEMDESC_0.ite-no AND POSDESC_0.ite-no = POSTE_0.ite-no AND POSDESC_0.metro = BUDPOS_0.metro AND POSDESC_0.metro = POSTE_0.metro AND POSDESC_0.pos-no = BUDPOS_0.pos-no AND POSDESC_0.pos-no = POSTE_0.pos-no AND ((POSTE_0.boekjaar=05))_x000d_&#10;ORDER BY POSTE_0.dep-no, POSTE_0.ite-no, POSTE_0.pos-no"/>
  </connection>
  <connection id="16" name="Connection241" type="1" refreshedVersion="2" background="1" saveData="1">
    <dbPr connection="DSN=ProMIS;UID=;;SVOPT=-d dmy;DATABASE=" command="SELECT POSTE_0.boekjaar, POSTE_0.dep-no, POSTE_0.ite-no, POSTE_0.pos-no, POSTE_0.per13-tot, BUDPOS_0.original, DEPDESC_0.dep-desc, ITEMDESC_0.ite-desc, POSDESC_0.pos-desc_x000d_&#10;FROM pro1.BUDPOS BUDPOS_0, pro1.DEPDESC DEPDESC_0, pro1.ITEMDESC ITEMDESC_0, pro1.POSDESC POSDESC_0, pro1.POSTE POSTE_0_x000d_&#10;WHERE BUDPOS_0.boekjaar = POSTE_0.boekjaar AND BUDPOS_0.bookyear = POSTE_0.bookyear AND BUDPOS_0.metro = POSTE_0.metro AND BUDPOS_0.dep-no = POSTE_0.dep-no AND BUDPOS_0.ite-no = POSTE_0.ite-no AND BUDPOS_0.pos-no = POSTE_0.pos-no AND DEPDESC_0.dep-no = BUDPOS_0.dep-no AND DEPDESC_0.dep-no = POSTE_0.dep-no AND ITEMDESC_0.ite-no = BUDPOS_0.ite-no AND ITEMDESC_0.ite-no = POSTE_0.ite-no AND POSDESC_0.dep-no = BUDPOS_0.dep-no AND POSDESC_0.dep-no = DEPDESC_0.dep-no AND POSDESC_0.dep-no = POSTE_0.dep-no AND POSDESC_0.ite-no = BUDPOS_0.ite-no AND POSDESC_0.ite-no = ITEMDESC_0.ite-no AND POSDESC_0.ite-no = POSTE_0.ite-no AND POSDESC_0.metro = BUDPOS_0.metro AND POSDESC_0.metro = POSTE_0.metro AND POSDESC_0.pos-no = BUDPOS_0.pos-no AND POSDESC_0.pos-no = POSTE_0.pos-no AND ((POSTE_0.boekjaar=05))_x000d_&#10;ORDER BY POSTE_0.dep-no, POSTE_0.ite-no, POSTE_0.pos-no"/>
  </connection>
  <connection id="17" name="Connection25" type="1" refreshedVersion="2" background="1" saveData="1">
    <dbPr connection="DSN=ProMIS;UID=;;SVOPT=-d dmy;DATABASE=" command="SELECT POSTE_0.boekjaar, POSTE_0.dep-no, POSTE_0.ite-no, POSTE_0.pos-no, POSTE_0.per13-tot, BUDPOS_0.original, DEPDESC_0.dep-desc, ITEMDESC_0.ite-desc, POSDESC_0.pos-desc_x000d_&#10;FROM pro1.BUDPOS BUDPOS_0, pro1.DEPDESC DEPDESC_0, pro1.ITEMDESC ITEMDESC_0, pro1.POSDESC POSDESC_0, pro1.POSTE POSTE_0_x000d_&#10;WHERE BUDPOS_0.boekjaar = POSTE_0.boekjaar AND BUDPOS_0.bookyear = POSTE_0.bookyear AND BUDPOS_0.metro = POSTE_0.metro AND BUDPOS_0.dep-no = POSTE_0.dep-no AND BUDPOS_0.ite-no = POSTE_0.ite-no AND BUDPOS_0.pos-no = POSTE_0.pos-no AND DEPDESC_0.dep-no = BUDPOS_0.dep-no AND DEPDESC_0.dep-no = POSTE_0.dep-no AND ITEMDESC_0.ite-no = BUDPOS_0.ite-no AND ITEMDESC_0.ite-no = POSTE_0.ite-no AND POSDESC_0.dep-no = BUDPOS_0.dep-no AND POSDESC_0.dep-no = DEPDESC_0.dep-no AND POSDESC_0.dep-no = POSTE_0.dep-no AND POSDESC_0.ite-no = BUDPOS_0.ite-no AND POSDESC_0.ite-no = ITEMDESC_0.ite-no AND POSDESC_0.ite-no = POSTE_0.ite-no AND POSDESC_0.metro = BUDPOS_0.metro AND POSDESC_0.metro = POSTE_0.metro AND POSDESC_0.pos-no = BUDPOS_0.pos-no AND POSDESC_0.pos-no = POSTE_0.pos-no AND ((POSTE_0.boekjaar=05))_x000d_&#10;ORDER BY POSTE_0.dep-no, POSTE_0.ite-no, POSTE_0.pos-no"/>
  </connection>
</connections>
</file>

<file path=xl/sharedStrings.xml><?xml version="1.0" encoding="utf-8"?>
<sst xmlns="http://schemas.openxmlformats.org/spreadsheetml/2006/main" count="25237" uniqueCount="4005">
  <si>
    <t>21  Irwin  Street</t>
  </si>
  <si>
    <t>0900</t>
  </si>
  <si>
    <t>Private  Bag  X611</t>
  </si>
  <si>
    <t>Telephone number</t>
  </si>
  <si>
    <t>015  -  534 6100</t>
  </si>
  <si>
    <t>Fax number</t>
  </si>
  <si>
    <t>015  -  534 2513</t>
  </si>
  <si>
    <t>MUNICIPAL  MANAGER</t>
  </si>
  <si>
    <t>A.N. LURULI</t>
  </si>
  <si>
    <t>CHIEF FINANCIAL OFFICER</t>
  </si>
  <si>
    <t>IDQC (UNISA)</t>
  </si>
  <si>
    <t>NQF Level 6 (Wits)</t>
  </si>
  <si>
    <t>GENERAL INFORMATION</t>
  </si>
  <si>
    <t>Page</t>
  </si>
  <si>
    <t>*  Note 41</t>
  </si>
  <si>
    <t>*  Note 42</t>
  </si>
  <si>
    <t>* APPENDIX A</t>
  </si>
  <si>
    <t>* APPENDIX B</t>
  </si>
  <si>
    <t>BULK</t>
  </si>
  <si>
    <t>CONTRACTED</t>
  </si>
  <si>
    <t>COLLECTION COST</t>
  </si>
  <si>
    <t>RATES</t>
  </si>
  <si>
    <t>AGENCY FEE</t>
  </si>
  <si>
    <t>INTEREST EXTERNAL</t>
  </si>
  <si>
    <t>INTEREST DEBTORS</t>
  </si>
  <si>
    <t>PERMITS</t>
  </si>
  <si>
    <t>EQUITABLE SHARE</t>
  </si>
  <si>
    <t>FMG</t>
  </si>
  <si>
    <t>MSIG</t>
  </si>
  <si>
    <t>REFUSE</t>
  </si>
  <si>
    <t>LICENSES</t>
  </si>
  <si>
    <t>FINES</t>
  </si>
  <si>
    <t>DPLG</t>
  </si>
  <si>
    <t>VOTE NUMBER</t>
  </si>
  <si>
    <t>BALANCE SHEET VOTES</t>
  </si>
  <si>
    <t>Public Transport</t>
  </si>
  <si>
    <t>6446</t>
  </si>
  <si>
    <t>Insurance claim - Chisanga</t>
  </si>
  <si>
    <t>Cemetry Upgrade</t>
  </si>
  <si>
    <t>New Buidings Civic centre</t>
  </si>
  <si>
    <t>Construction of conrete road</t>
  </si>
  <si>
    <t>Art &amp; Culture (lotto)</t>
  </si>
  <si>
    <t>Office Building New</t>
  </si>
  <si>
    <t>The municipality accounts for Value Added Tax on the cash basis.</t>
  </si>
  <si>
    <t>Service charges : Electricity</t>
  </si>
  <si>
    <t xml:space="preserve"> </t>
  </si>
  <si>
    <t>Licensing &amp; permits</t>
  </si>
  <si>
    <t>Revenue for agency services</t>
  </si>
  <si>
    <t>Government grants &amp; subsidies – operating</t>
  </si>
  <si>
    <t>Government grants &amp; subsidies – capital</t>
  </si>
  <si>
    <t>Subsistence</t>
  </si>
  <si>
    <t>010/440/1366</t>
  </si>
  <si>
    <t>Telephone</t>
  </si>
  <si>
    <t>010/440/1367</t>
  </si>
  <si>
    <t>010/440/1368</t>
  </si>
  <si>
    <t>Donations</t>
  </si>
  <si>
    <t>010/440/1369</t>
  </si>
  <si>
    <t>Youth</t>
  </si>
  <si>
    <t>010/440/1391</t>
  </si>
  <si>
    <t>Musina</t>
  </si>
  <si>
    <t>Annual</t>
  </si>
  <si>
    <t>010/440/1395</t>
  </si>
  <si>
    <t>Campaign</t>
  </si>
  <si>
    <t>010/440/1396</t>
  </si>
  <si>
    <t>Batho</t>
  </si>
  <si>
    <t>010/440/1397</t>
  </si>
  <si>
    <t>010/440/1398</t>
  </si>
  <si>
    <t>010/440/1399</t>
  </si>
  <si>
    <t>Poverty</t>
  </si>
  <si>
    <t>010/710/2200</t>
  </si>
  <si>
    <t>Public</t>
  </si>
  <si>
    <t>in</t>
  </si>
  <si>
    <t>010/762/7601</t>
  </si>
  <si>
    <t>010/782/4500</t>
  </si>
  <si>
    <t>020/300/1001</t>
  </si>
  <si>
    <t>Basic</t>
  </si>
  <si>
    <t>020/300/1002</t>
  </si>
  <si>
    <t>Overtime</t>
  </si>
  <si>
    <t>020/300/1004</t>
  </si>
  <si>
    <t>020/300/1009</t>
  </si>
  <si>
    <t>020/300/1010</t>
  </si>
  <si>
    <t>S</t>
  </si>
  <si>
    <t>020/300/1012</t>
  </si>
  <si>
    <t>020/300/1013</t>
  </si>
  <si>
    <t>Travel</t>
  </si>
  <si>
    <t>020/300/1017</t>
  </si>
  <si>
    <t>Temporary</t>
  </si>
  <si>
    <t>020/310/1021</t>
  </si>
  <si>
    <t>020/310/1022</t>
  </si>
  <si>
    <t>020/310/1023</t>
  </si>
  <si>
    <t>020/310/1024</t>
  </si>
  <si>
    <t>020/310/1029</t>
  </si>
  <si>
    <t>020/370/1071</t>
  </si>
  <si>
    <t>020/380/1111</t>
  </si>
  <si>
    <t>020/380/1224</t>
  </si>
  <si>
    <t>Non-Council</t>
  </si>
  <si>
    <t>020/440/1263</t>
  </si>
  <si>
    <t>020/440/1308</t>
  </si>
  <si>
    <t>020/440/1310</t>
  </si>
  <si>
    <t>Consultants</t>
  </si>
  <si>
    <t>020/440/1311</t>
  </si>
  <si>
    <t>020/440/1321</t>
  </si>
  <si>
    <t>020/440/1327</t>
  </si>
  <si>
    <t>020/440/1347</t>
  </si>
  <si>
    <t>020/440/1348</t>
  </si>
  <si>
    <t>020/440/1364</t>
  </si>
  <si>
    <t>020/440/1366</t>
  </si>
  <si>
    <t>020/440/1367</t>
  </si>
  <si>
    <t>020/762/7602</t>
  </si>
  <si>
    <t>020/762/7609</t>
  </si>
  <si>
    <t>Tape</t>
  </si>
  <si>
    <t>Audit</t>
  </si>
  <si>
    <t>021/300/1001</t>
  </si>
  <si>
    <t>021/300/1004</t>
  </si>
  <si>
    <t>021/300/1012</t>
  </si>
  <si>
    <t>021/300/1013</t>
  </si>
  <si>
    <t>021/310/1022</t>
  </si>
  <si>
    <t>021/310/1023</t>
  </si>
  <si>
    <t>021/310/1029</t>
  </si>
  <si>
    <t>021/440/1308</t>
  </si>
  <si>
    <t>021/440/1310</t>
  </si>
  <si>
    <t>021/440/1340</t>
  </si>
  <si>
    <t>021/440/1347</t>
  </si>
  <si>
    <t>021/440/1348</t>
  </si>
  <si>
    <t>021/440/1364</t>
  </si>
  <si>
    <t>021/440/1366</t>
  </si>
  <si>
    <t>021/440/1367</t>
  </si>
  <si>
    <t>Town</t>
  </si>
  <si>
    <t>022/300/1001</t>
  </si>
  <si>
    <t>022/300/1004</t>
  </si>
  <si>
    <t>022/300/1013</t>
  </si>
  <si>
    <t>022/440/1308</t>
  </si>
  <si>
    <t>Increase/ (decrease) in shortterm portion of long term loan</t>
  </si>
  <si>
    <t>027/300/1001</t>
  </si>
  <si>
    <t>027/300/1002</t>
  </si>
  <si>
    <t>027/300/1004</t>
  </si>
  <si>
    <t>027/300/1009</t>
  </si>
  <si>
    <t>027/300/1010</t>
  </si>
  <si>
    <t>027/300/1012</t>
  </si>
  <si>
    <t>027/300/1013</t>
  </si>
  <si>
    <t>027/300/1017</t>
  </si>
  <si>
    <t>Tempory</t>
  </si>
  <si>
    <t>027/310/1021</t>
  </si>
  <si>
    <t>027/310/1022</t>
  </si>
  <si>
    <t>027/310/1023</t>
  </si>
  <si>
    <t>027/310/1024</t>
  </si>
  <si>
    <t>027/310/1029</t>
  </si>
  <si>
    <t>027/370/1071</t>
  </si>
  <si>
    <t>027/380/1111</t>
  </si>
  <si>
    <t>027/440/1301</t>
  </si>
  <si>
    <t>027/440/1308</t>
  </si>
  <si>
    <t>027/440/1310</t>
  </si>
  <si>
    <t>027/440/1311</t>
  </si>
  <si>
    <t>027/440/1327</t>
  </si>
  <si>
    <t>027/440/1347</t>
  </si>
  <si>
    <t>027/440/1348</t>
  </si>
  <si>
    <t>027/440/1364</t>
  </si>
  <si>
    <t>027/440/1366</t>
  </si>
  <si>
    <t>027/440/1367</t>
  </si>
  <si>
    <t>027/440/1368</t>
  </si>
  <si>
    <t>Training</t>
  </si>
  <si>
    <t>027/762/7603</t>
  </si>
  <si>
    <t>Aircon</t>
  </si>
  <si>
    <t>030/440/1308</t>
  </si>
  <si>
    <t>030/440/1310</t>
  </si>
  <si>
    <t>030/440/1347</t>
  </si>
  <si>
    <t>030/440/1348</t>
  </si>
  <si>
    <t>030/440/1364</t>
  </si>
  <si>
    <t>030/440/1366</t>
  </si>
  <si>
    <t>030/440/1368</t>
  </si>
  <si>
    <t>030/440/1400</t>
  </si>
  <si>
    <t>Job</t>
  </si>
  <si>
    <t>031/040/0081</t>
  </si>
  <si>
    <t>031/300/1001</t>
  </si>
  <si>
    <t>031/300/1004</t>
  </si>
  <si>
    <t>031/300/1010</t>
  </si>
  <si>
    <t>031/300/1012</t>
  </si>
  <si>
    <t>031/310/1021</t>
  </si>
  <si>
    <t>031/310/1022</t>
  </si>
  <si>
    <t>031/310/1023</t>
  </si>
  <si>
    <t>031/310/1024</t>
  </si>
  <si>
    <t>031/310/1029</t>
  </si>
  <si>
    <t>031/370/1071</t>
  </si>
  <si>
    <t>031/380/1111</t>
  </si>
  <si>
    <t>031/440/1308</t>
  </si>
  <si>
    <t>031/440/1311</t>
  </si>
  <si>
    <t>031/440/1327</t>
  </si>
  <si>
    <t>031/440/1334</t>
  </si>
  <si>
    <t>Special</t>
  </si>
  <si>
    <t>031/440/1336</t>
  </si>
  <si>
    <t>Licenses</t>
  </si>
  <si>
    <t>Permits</t>
  </si>
  <si>
    <t>031/440/1347</t>
  </si>
  <si>
    <t>031/440/1348</t>
  </si>
  <si>
    <t>031/440/1364</t>
  </si>
  <si>
    <t>031/440/1366</t>
  </si>
  <si>
    <t>031/440/1367</t>
  </si>
  <si>
    <t>031/762/7610</t>
  </si>
  <si>
    <t>Tables</t>
  </si>
  <si>
    <t>031/767/7611</t>
  </si>
  <si>
    <t>032/300/1001</t>
  </si>
  <si>
    <t>032/300/1004</t>
  </si>
  <si>
    <t>032/300/1009</t>
  </si>
  <si>
    <t>032/300/1012</t>
  </si>
  <si>
    <t>032/310/1021</t>
  </si>
  <si>
    <t>032/310/1022</t>
  </si>
  <si>
    <t>032/310/1023</t>
  </si>
  <si>
    <t>032/310/1024</t>
  </si>
  <si>
    <t>032/310/1029</t>
  </si>
  <si>
    <t>032/370/1071</t>
  </si>
  <si>
    <t>032/380/1101</t>
  </si>
  <si>
    <t>032/380/1215</t>
  </si>
  <si>
    <t>032/440/1308</t>
  </si>
  <si>
    <t>032/440/1311</t>
  </si>
  <si>
    <t>032/440/1347</t>
  </si>
  <si>
    <t>032/440/1348</t>
  </si>
  <si>
    <t>032/440/1353</t>
  </si>
  <si>
    <t>032/440/1364</t>
  </si>
  <si>
    <t>032/440/1366</t>
  </si>
  <si>
    <t>032/440/1367</t>
  </si>
  <si>
    <t>050/080/0141</t>
  </si>
  <si>
    <t>Int</t>
  </si>
  <si>
    <t>050/100/0151</t>
  </si>
  <si>
    <t>050/161/1299</t>
  </si>
  <si>
    <t>National</t>
  </si>
  <si>
    <t>050/300/1001</t>
  </si>
  <si>
    <t>050/300/1002</t>
  </si>
  <si>
    <t>050/300/1004</t>
  </si>
  <si>
    <t>050/300/1009</t>
  </si>
  <si>
    <t>050/300/1010</t>
  </si>
  <si>
    <t>050/300/1012</t>
  </si>
  <si>
    <t>050/300/1013</t>
  </si>
  <si>
    <t>050/300/1017</t>
  </si>
  <si>
    <t>050/310/1021</t>
  </si>
  <si>
    <t>050/310/1022</t>
  </si>
  <si>
    <t>050/310/1023</t>
  </si>
  <si>
    <t>050/310/1024</t>
  </si>
  <si>
    <t>050/310/1029</t>
  </si>
  <si>
    <t>050/350/1071</t>
  </si>
  <si>
    <t>050/370/1071</t>
  </si>
  <si>
    <t>050/380/1111</t>
  </si>
  <si>
    <t>050/440/1303</t>
  </si>
  <si>
    <t>Auditors</t>
  </si>
  <si>
    <t>050/440/1304</t>
  </si>
  <si>
    <t>050/440/1306</t>
  </si>
  <si>
    <t>050/440/1308</t>
  </si>
  <si>
    <t>050/440/1310</t>
  </si>
  <si>
    <t>050/440/1327</t>
  </si>
  <si>
    <t>050/440/1334</t>
  </si>
  <si>
    <t>050/440/1335</t>
  </si>
  <si>
    <t>050/440/1347</t>
  </si>
  <si>
    <t>050/440/1348</t>
  </si>
  <si>
    <t>050/440/1350</t>
  </si>
  <si>
    <t>Protective</t>
  </si>
  <si>
    <t>050/440/1356</t>
  </si>
  <si>
    <t>Regional</t>
  </si>
  <si>
    <t>050/440/1360</t>
  </si>
  <si>
    <t>050/440/1364</t>
  </si>
  <si>
    <t>050/440/1366</t>
  </si>
  <si>
    <t>050/440/1367</t>
  </si>
  <si>
    <t>050/440/1368</t>
  </si>
  <si>
    <t>Indigent</t>
  </si>
  <si>
    <t>050/440/1369</t>
  </si>
  <si>
    <t>Free</t>
  </si>
  <si>
    <t>050/440/1370</t>
  </si>
  <si>
    <t>basic</t>
  </si>
  <si>
    <t>050/440/1380</t>
  </si>
  <si>
    <t>050/455/4130</t>
  </si>
  <si>
    <t>050/455/4131</t>
  </si>
  <si>
    <t>050/455/4132</t>
  </si>
  <si>
    <t>050/455/4133</t>
  </si>
  <si>
    <t>050/761/7604</t>
  </si>
  <si>
    <t>050/762/7605</t>
  </si>
  <si>
    <t>New</t>
  </si>
  <si>
    <t>051/300/1001</t>
  </si>
  <si>
    <t>051/300/1002</t>
  </si>
  <si>
    <t>051/300/1004</t>
  </si>
  <si>
    <t>051/310/1021</t>
  </si>
  <si>
    <t>051/310/1022</t>
  </si>
  <si>
    <t>051/310/1023</t>
  </si>
  <si>
    <t>051/310/1024</t>
  </si>
  <si>
    <t>051/310/1029</t>
  </si>
  <si>
    <t>051/370/1071</t>
  </si>
  <si>
    <t>051/440/1327</t>
  </si>
  <si>
    <t>Information</t>
  </si>
  <si>
    <t>052/161/1300</t>
  </si>
  <si>
    <t>052/300/1001</t>
  </si>
  <si>
    <t>052/300/1002</t>
  </si>
  <si>
    <t>052/300/1004</t>
  </si>
  <si>
    <t>052/300/1012</t>
  </si>
  <si>
    <t>052/300/1013</t>
  </si>
  <si>
    <t>052/310/1021</t>
  </si>
  <si>
    <t>052/310/1022</t>
  </si>
  <si>
    <t>052/310/1023</t>
  </si>
  <si>
    <t>052/310/1024</t>
  </si>
  <si>
    <t>082/440/1111</t>
  </si>
  <si>
    <t>082/440/1215</t>
  </si>
  <si>
    <t>082/440/1311</t>
  </si>
  <si>
    <t>082/440/1327</t>
  </si>
  <si>
    <t>082/700/0200</t>
  </si>
  <si>
    <t>082/700/7620</t>
  </si>
  <si>
    <t>082/700/7621</t>
  </si>
  <si>
    <t>Daycare</t>
  </si>
  <si>
    <t>082/700/7622</t>
  </si>
  <si>
    <t>Reception</t>
  </si>
  <si>
    <t>082/701/7623</t>
  </si>
  <si>
    <t>082/703/7624</t>
  </si>
  <si>
    <t>Bus</t>
  </si>
  <si>
    <t>082/710/7625</t>
  </si>
  <si>
    <t>Madimbo</t>
  </si>
  <si>
    <t>082/710/7626</t>
  </si>
  <si>
    <t>Toilet</t>
  </si>
  <si>
    <t>082/722/1700</t>
  </si>
  <si>
    <t>Renovation</t>
  </si>
  <si>
    <t>082/762/1101</t>
  </si>
  <si>
    <t>Extension</t>
  </si>
  <si>
    <t>082/780/4300</t>
  </si>
  <si>
    <t>082/780/7627</t>
  </si>
  <si>
    <t>084/040/0041</t>
  </si>
  <si>
    <t>084/040/0042</t>
  </si>
  <si>
    <t>084/040/0043</t>
  </si>
  <si>
    <t>084/040/0044</t>
  </si>
  <si>
    <t>Electrification</t>
  </si>
  <si>
    <t>084/300/1001</t>
  </si>
  <si>
    <t>084/300/1002</t>
  </si>
  <si>
    <t>084/300/1004</t>
  </si>
  <si>
    <t>084/300/1005</t>
  </si>
  <si>
    <t>084/300/1009</t>
  </si>
  <si>
    <t>084/300/1010</t>
  </si>
  <si>
    <t>084/300/1012</t>
  </si>
  <si>
    <t>084/310/1021</t>
  </si>
  <si>
    <t>084/310/1022</t>
  </si>
  <si>
    <t>084/310/1023</t>
  </si>
  <si>
    <t>084/310/1024</t>
  </si>
  <si>
    <t>084/310/1029</t>
  </si>
  <si>
    <t>084/370/1071</t>
  </si>
  <si>
    <t>084/380/1111</t>
  </si>
  <si>
    <t>084/380/1130</t>
  </si>
  <si>
    <t>Distribution</t>
  </si>
  <si>
    <t>084/380/1215</t>
  </si>
  <si>
    <t>084/380/1220</t>
  </si>
  <si>
    <t>084/390/1231</t>
  </si>
  <si>
    <t>084/400/1241</t>
  </si>
  <si>
    <t>084/440/1251</t>
  </si>
  <si>
    <t>Bulk</t>
  </si>
  <si>
    <t>084/440/1308</t>
  </si>
  <si>
    <t>084/440/1311</t>
  </si>
  <si>
    <t>084/440/1325</t>
  </si>
  <si>
    <t>084/440/1327</t>
  </si>
  <si>
    <t>084/440/1335</t>
  </si>
  <si>
    <t>084/440/1348</t>
  </si>
  <si>
    <t>084/440/1350</t>
  </si>
  <si>
    <t>084/440/1364</t>
  </si>
  <si>
    <t>084/440/1366</t>
  </si>
  <si>
    <t>084/440/1367</t>
  </si>
  <si>
    <t>084/704/7629</t>
  </si>
  <si>
    <t>084/704/7630</t>
  </si>
  <si>
    <t>084/704/7631</t>
  </si>
  <si>
    <t>084/704/7632</t>
  </si>
  <si>
    <t>Installation</t>
  </si>
  <si>
    <t>084/784/7633</t>
  </si>
  <si>
    <t>085/380/1111</t>
  </si>
  <si>
    <t>085/380/1158</t>
  </si>
  <si>
    <t>085/440/1251</t>
  </si>
  <si>
    <t>085/440/1325</t>
  </si>
  <si>
    <t>085/440/1327</t>
  </si>
  <si>
    <t>085/440/1348</t>
  </si>
  <si>
    <t>085/440/1350</t>
  </si>
  <si>
    <t>086/370/1071</t>
  </si>
  <si>
    <t>086/380/1215</t>
  </si>
  <si>
    <t>086/440/1311</t>
  </si>
  <si>
    <t>086/440/1327</t>
  </si>
  <si>
    <t>086/440/1348</t>
  </si>
  <si>
    <t>086/440/1350</t>
  </si>
  <si>
    <t>087/300/1001</t>
  </si>
  <si>
    <t>087/300/1004</t>
  </si>
  <si>
    <t>087/310/1021</t>
  </si>
  <si>
    <t>087/310/1022</t>
  </si>
  <si>
    <t>087/310/1023</t>
  </si>
  <si>
    <t>087/310/1024</t>
  </si>
  <si>
    <t>087/310/1029</t>
  </si>
  <si>
    <t>087/440/1301</t>
  </si>
  <si>
    <t>087/440/1364</t>
  </si>
  <si>
    <t>087/440/1366</t>
  </si>
  <si>
    <t>087/440/1371</t>
  </si>
  <si>
    <t>087/440/1372</t>
  </si>
  <si>
    <t>18.</t>
  </si>
  <si>
    <t>19.</t>
  </si>
  <si>
    <t>36.</t>
  </si>
  <si>
    <t>37.</t>
  </si>
  <si>
    <t>CHANGE IN ACCOUNTING POLICY - IMPLEMENTATION OF GAMAP</t>
  </si>
  <si>
    <t>The following adjustments were made to amounts previously reported in the annual financial statements of the Municipality arising from the implementation of GAMAP:-</t>
  </si>
  <si>
    <t>Statutory Funds</t>
  </si>
  <si>
    <t>Balance previously reported:-</t>
  </si>
  <si>
    <t>Implementation of GAMAP</t>
  </si>
  <si>
    <t>Provisions and Reserves</t>
  </si>
  <si>
    <t>Property, plant and equipment</t>
  </si>
  <si>
    <t>Accumulated Depreciation</t>
  </si>
  <si>
    <t>Current provisions</t>
  </si>
  <si>
    <t>Accumulated surplus</t>
  </si>
  <si>
    <t xml:space="preserve">                                  - Suspense accounts</t>
  </si>
  <si>
    <t xml:space="preserve">                                  - Provisions</t>
  </si>
  <si>
    <t>39.</t>
  </si>
  <si>
    <t>40.</t>
  </si>
  <si>
    <t>Capital Development Fund</t>
  </si>
  <si>
    <t>Township Development Suspense &amp; Land Trust</t>
  </si>
  <si>
    <t>Loans redeemed and other capital receipts</t>
  </si>
  <si>
    <t>Loan Redemption Fund</t>
  </si>
  <si>
    <t>Transferred to Government Grant Reserve</t>
  </si>
  <si>
    <t>Transferred to Donations and Public Contribution Reserve</t>
  </si>
  <si>
    <t>Transferred to Capitalisaton Reserve</t>
  </si>
  <si>
    <t>Transferred to Capital Replacement Reserve</t>
  </si>
  <si>
    <t>Backlog depreciation: Land and buildings</t>
  </si>
  <si>
    <t>Backlog depreciation: Infrastructure</t>
  </si>
  <si>
    <t>Backlog depreciation: Community</t>
  </si>
  <si>
    <t>Backlog depreciation: Other</t>
  </si>
  <si>
    <t>Transferred from Accumulated Surplus</t>
  </si>
  <si>
    <t>Other adjustments - Appropriations</t>
  </si>
  <si>
    <t>A list of possible liability claims where outcome was unknown at year end</t>
  </si>
  <si>
    <t>10.</t>
  </si>
  <si>
    <t>Department of Provincial and Local Government (DPLG)</t>
  </si>
  <si>
    <t>This grant was used to erect a mini water purification/package plant to provide water in the rural area.  The conditions of the grant were met and no funds have been withheld</t>
  </si>
  <si>
    <t>PUBLIC CONTRIBUTIONS, DONATED &amp; CONTRIBUTED PROPERTY,  PLANT &amp; EQUIPMENT</t>
  </si>
  <si>
    <t>National Lottery Distribution Fund</t>
  </si>
  <si>
    <t>Other grants</t>
  </si>
  <si>
    <t>Total donated property, plant &amp; equipment</t>
  </si>
  <si>
    <t>EXTERNAL INVESTMENTS</t>
  </si>
  <si>
    <t>Current account</t>
  </si>
  <si>
    <t>External investments</t>
  </si>
  <si>
    <t>Sundry loans</t>
  </si>
  <si>
    <t>Services:</t>
  </si>
  <si>
    <t>OTHER REVENUE</t>
  </si>
  <si>
    <t>EMPLOYEE RELATED COSTS</t>
  </si>
  <si>
    <t>Salaries and wages</t>
  </si>
  <si>
    <t>Social contributions:</t>
  </si>
  <si>
    <t>Pension deductions</t>
  </si>
  <si>
    <t>Medical aid funds</t>
  </si>
  <si>
    <t>Group insurance</t>
  </si>
  <si>
    <t>Housing subsidy</t>
  </si>
  <si>
    <t>Unemployment Insurance Fund</t>
  </si>
  <si>
    <t>Adjustment for</t>
  </si>
  <si>
    <t>Linked to Changes in assets</t>
  </si>
  <si>
    <t>The municipality does have municipal entities</t>
  </si>
  <si>
    <t>Will be Consolidated for 0809</t>
  </si>
  <si>
    <t>Increase/(decrease) in deposits</t>
  </si>
  <si>
    <t>Capital Charges</t>
  </si>
  <si>
    <t>11.</t>
  </si>
  <si>
    <t>INTANGIBLE ASSETS</t>
  </si>
  <si>
    <t>Gain on disposal of property, plant &amp; equipment</t>
  </si>
  <si>
    <t xml:space="preserve">Contributions to provisions </t>
  </si>
  <si>
    <t xml:space="preserve">The Musina Local Municipality uses a site and improvement value assessment rate system. According to this assessment rates are levied on the land and improvement value of properties and rebates are granted according to the usage of a particular property.  </t>
  </si>
  <si>
    <t>Old Age home</t>
  </si>
  <si>
    <t>Department of Public Works</t>
  </si>
  <si>
    <t>10068/1</t>
  </si>
  <si>
    <t>41.</t>
  </si>
  <si>
    <t>OPERATING LEASES</t>
  </si>
  <si>
    <t>Balance outstanding (to)/from SARS</t>
  </si>
  <si>
    <t>Tourism</t>
  </si>
  <si>
    <t>LED</t>
  </si>
  <si>
    <t>Stores</t>
  </si>
  <si>
    <t>Workshop</t>
  </si>
  <si>
    <t>IDP</t>
  </si>
  <si>
    <t>Absa Bank : Musina</t>
  </si>
  <si>
    <t>Account number : 2050550179</t>
  </si>
  <si>
    <t>Type : cheque account</t>
  </si>
  <si>
    <t>Account number : 4063288025</t>
  </si>
  <si>
    <t>IAS 39</t>
  </si>
  <si>
    <t>Financial instruments: recognition and measurement</t>
  </si>
  <si>
    <t>Initially measuring financial assets and liabilities at fair value(IAS 39.43, AG79, AG64 – AG65 and SAICA circular 9/06)</t>
  </si>
  <si>
    <t>The full initial measurement of financial assets and liabilities will have to be recalculated and corrected retrospectively, is practicable. The previous column gives an indication of the extent of adjustment for full compliance with IAS 39.43, AG79, AG64 - AG65 and SAICA circular 9/06.</t>
  </si>
  <si>
    <t>(AC 133)</t>
  </si>
  <si>
    <t>IAS 40</t>
  </si>
  <si>
    <t>Investment property</t>
  </si>
  <si>
    <t>The entire standard to the extent that the property is accounted for in terms of GAMAP 17</t>
  </si>
  <si>
    <t>The following adjustments will need to be made to the AFS if IAS 40 is implemented and if IP is measured at Fair Value.</t>
  </si>
  <si>
    <t>(AC 135)</t>
  </si>
  <si>
    <t xml:space="preserve">  121–150 days</t>
  </si>
  <si>
    <t>Total consumer debtors</t>
  </si>
  <si>
    <t xml:space="preserve">Total </t>
  </si>
  <si>
    <t>Total Other Debtors</t>
  </si>
  <si>
    <t>The municipality has the following bank accounts:</t>
  </si>
  <si>
    <t>The investment period should be such that it will not be necessary to borrow funds against the investments at a penalty interest rate to meet commitments.</t>
  </si>
  <si>
    <t>Leases</t>
  </si>
  <si>
    <t>Property, plant and equipment subjected to finance lease agreements are capitalised at their cost equivalent and the corresponding liabilities are raised.</t>
  </si>
  <si>
    <t xml:space="preserve">The cost of the item of property, plant and equipment is depreciated at appropriate rates on the straight-line basis over its estimated useful life.  </t>
  </si>
  <si>
    <t>Lease payments are allocated between the lease finance cost and the capital repayment using the effective interest rate method.  Lease finance costs are expensed when incurred.</t>
  </si>
  <si>
    <t>The cost of inventories comprises of all costs of purchase, costs of development, costs of conversion and other costs incurred in bringing the inventories to their present location and condition.</t>
  </si>
  <si>
    <t>Redundant and slow-moving stock are identified and written down with regard to their estimated economic or realisable values and sold by public auction.  Consumables are written down with regard to age, condition and utility.</t>
  </si>
  <si>
    <t>Trade creditors are recognised initially at fair value and subsequently measured at amortised cost using the effective interest method.</t>
  </si>
  <si>
    <t>Revenue shall be measured at the fair value of the consideration received or receivable.  No settlement discount is applicable.</t>
  </si>
  <si>
    <t>Rendering of service</t>
  </si>
  <si>
    <t>Net cash from investment activities</t>
  </si>
  <si>
    <t>CASH FLOW FROM FINANCING ACTIVITIES</t>
  </si>
  <si>
    <t>Increase/(decrease) in long term loans</t>
  </si>
  <si>
    <t>Net cash from financing activities</t>
  </si>
  <si>
    <t>Increase/(decrease) in cash and cash equivalents</t>
  </si>
  <si>
    <t>Cash and cash equivalents at beginning of the year</t>
  </si>
  <si>
    <t>Cash and cash equivalents at end of the year</t>
  </si>
  <si>
    <t>Balance at beginning of the year</t>
  </si>
  <si>
    <t>Income</t>
  </si>
  <si>
    <t>RESERVES</t>
  </si>
  <si>
    <t>Expenditure</t>
  </si>
  <si>
    <t>Disposal</t>
  </si>
  <si>
    <t>Correction of error</t>
  </si>
  <si>
    <t>Government Grants Reserve (utilized)</t>
  </si>
  <si>
    <t xml:space="preserve">Donations and Public Contribution Reserve (utilized)   </t>
  </si>
  <si>
    <t>Disposals</t>
  </si>
  <si>
    <t>Accumulated surplus:  end of year</t>
  </si>
  <si>
    <t>LONG TERM LIABILITIES</t>
  </si>
  <si>
    <t>Annuity loans</t>
  </si>
  <si>
    <t>Sub-Total</t>
  </si>
  <si>
    <t>Less: Current portion transferred to current liabilities</t>
  </si>
  <si>
    <t>Total External Loans</t>
  </si>
  <si>
    <t>Refer to Appendix A for more detail on long term liabilities.</t>
  </si>
  <si>
    <t>CONSUMER DEPOSITS</t>
  </si>
  <si>
    <t>Other</t>
  </si>
  <si>
    <t>Total consumer deposits</t>
  </si>
  <si>
    <t>Fruitless and wasteful expenditure is expenditure that was made in vain and would have been avoided had reasonable care been exercised.  Fruitless and wasteful expenditure is accounted for as expenditure in the Statement of Financial Performance and where recovered, it is subsequently accounted for as revenue in the Statement of Financial Performance.</t>
  </si>
  <si>
    <t>Budgeted amounts have been included in the annual financial statements for the current financial year only.  When the presentation or classification of items in the annual financial statements is amended, prior period comparative amounts are reclassified.  The nature and reason for the reclassification is disclosed.</t>
  </si>
  <si>
    <t>Service charges relating to refuse removal are recognised on a monthly basis by applying the approved tariff to each property that has improvements.  Tariffs are determined per category of property usage and are levied monthly based on the number of refuse containers on each property, regardless of whether or not containers are emptied during the month.</t>
  </si>
  <si>
    <t>Revenue from the issuing of fines is recognised when:</t>
  </si>
  <si>
    <t>Government Grants</t>
  </si>
  <si>
    <t xml:space="preserve">Government Grants can be in the form of grants to acquire or construct fixed assets (capital grants), grants for the furtherance of national and provincial government policy objectives and general grants to subsidise the cost incurred by municipalities rendering services.  </t>
  </si>
  <si>
    <t>Capital grants and general grants for the furtherance of government policy objectives are usually restricted revenue in that stipulations are imposed in their use.</t>
  </si>
  <si>
    <t>Government grants are recognised as revenue when:</t>
  </si>
  <si>
    <t>Other grants and donations received</t>
  </si>
  <si>
    <t>Other grants and donations shall be recognised as revenue when:</t>
  </si>
  <si>
    <t>825/825/8250</t>
  </si>
  <si>
    <t>Municip</t>
  </si>
  <si>
    <t>825/825/8255</t>
  </si>
  <si>
    <t>Sy</t>
  </si>
  <si>
    <t>825/825/8260</t>
  </si>
  <si>
    <t>825/825/8265</t>
  </si>
  <si>
    <t>sy</t>
  </si>
  <si>
    <t>825/825/8270</t>
  </si>
  <si>
    <t>Compac</t>
  </si>
  <si>
    <t>825/825/8275</t>
  </si>
  <si>
    <t>825/825/8280</t>
  </si>
  <si>
    <t>825/825/8285</t>
  </si>
  <si>
    <t>LOAN</t>
  </si>
  <si>
    <t>LESLEY</t>
  </si>
  <si>
    <t>825/825/8405</t>
  </si>
  <si>
    <t>up</t>
  </si>
  <si>
    <t>825/825/8408</t>
  </si>
  <si>
    <t>825/825/8409</t>
  </si>
  <si>
    <t>Council</t>
  </si>
  <si>
    <t>General</t>
  </si>
  <si>
    <t>010/020/0001</t>
  </si>
  <si>
    <t>Res</t>
  </si>
  <si>
    <t>010/020/0002</t>
  </si>
  <si>
    <t>Indus</t>
  </si>
  <si>
    <t>010/020/0003</t>
  </si>
  <si>
    <t>Com</t>
  </si>
  <si>
    <t>010/020/0004</t>
  </si>
  <si>
    <t>Farm</t>
  </si>
  <si>
    <t>010/020/0020</t>
  </si>
  <si>
    <t>Property</t>
  </si>
  <si>
    <t>010/020/0021</t>
  </si>
  <si>
    <t>010/020/0022</t>
  </si>
  <si>
    <t>010/041/0256</t>
  </si>
  <si>
    <t>Sundry</t>
  </si>
  <si>
    <t>010/041/0257</t>
  </si>
  <si>
    <t>010/110/9999</t>
  </si>
  <si>
    <t>AUCTION</t>
  </si>
  <si>
    <t>010/140/0202</t>
  </si>
  <si>
    <t>Vhembe</t>
  </si>
  <si>
    <t>fees</t>
  </si>
  <si>
    <t>010/161/1299</t>
  </si>
  <si>
    <t>Grants</t>
  </si>
  <si>
    <t>&amp;</t>
  </si>
  <si>
    <t>Transfer</t>
  </si>
  <si>
    <t>010/300/1017</t>
  </si>
  <si>
    <t>Contract</t>
  </si>
  <si>
    <t>010/300/1018</t>
  </si>
  <si>
    <t>010/310/1023</t>
  </si>
  <si>
    <t>Contribution</t>
  </si>
  <si>
    <t>010/310/1025</t>
  </si>
  <si>
    <t>Con</t>
  </si>
  <si>
    <t>Medical</t>
  </si>
  <si>
    <t>010/310/1027</t>
  </si>
  <si>
    <t>010/310/1029</t>
  </si>
  <si>
    <t>010/310/8220</t>
  </si>
  <si>
    <t>010/340/1051</t>
  </si>
  <si>
    <t>Allowance</t>
  </si>
  <si>
    <t>Mayor</t>
  </si>
  <si>
    <t>010/340/1054</t>
  </si>
  <si>
    <t>010/340/1057</t>
  </si>
  <si>
    <t>010/340/1058</t>
  </si>
  <si>
    <t>010/340/1062</t>
  </si>
  <si>
    <t>010/340/1064</t>
  </si>
  <si>
    <t>Cont</t>
  </si>
  <si>
    <t>010/370/1071</t>
  </si>
  <si>
    <t>Provision</t>
  </si>
  <si>
    <t>010/380/1102</t>
  </si>
  <si>
    <t>010/380/1111</t>
  </si>
  <si>
    <t>Machinery</t>
  </si>
  <si>
    <t>010/390/1231</t>
  </si>
  <si>
    <t>External</t>
  </si>
  <si>
    <t>010/400/1241</t>
  </si>
  <si>
    <t>010/440/1263</t>
  </si>
  <si>
    <t>Contracted</t>
  </si>
  <si>
    <t>010/440/1284</t>
  </si>
  <si>
    <t>Internal</t>
  </si>
  <si>
    <t>Study</t>
  </si>
  <si>
    <t>010/440/1285</t>
  </si>
  <si>
    <t>Grant</t>
  </si>
  <si>
    <t>010/440/1286</t>
  </si>
  <si>
    <t>010/440/1287</t>
  </si>
  <si>
    <t>Mayoral</t>
  </si>
  <si>
    <t>010/440/1301</t>
  </si>
  <si>
    <t>Advertising</t>
  </si>
  <si>
    <t>010/440/1308</t>
  </si>
  <si>
    <t>Conference</t>
  </si>
  <si>
    <t>010/440/1310</t>
  </si>
  <si>
    <t>Community</t>
  </si>
  <si>
    <t>010/440/1311</t>
  </si>
  <si>
    <t>Consumable</t>
  </si>
  <si>
    <t>010/440/1320</t>
  </si>
  <si>
    <t>Entertain</t>
  </si>
  <si>
    <t>010/440/1322</t>
  </si>
  <si>
    <t>Entertainment</t>
  </si>
  <si>
    <t>010/440/1325</t>
  </si>
  <si>
    <t>Fuel</t>
  </si>
  <si>
    <t>010/440/1335</t>
  </si>
  <si>
    <t>License</t>
  </si>
  <si>
    <t>010/440/1340</t>
  </si>
  <si>
    <t>Member</t>
  </si>
  <si>
    <t>010/440/1341</t>
  </si>
  <si>
    <t>Membership</t>
  </si>
  <si>
    <t>010/440/1345</t>
  </si>
  <si>
    <t>010/440/1347</t>
  </si>
  <si>
    <t>Postage</t>
  </si>
  <si>
    <t>010/440/1348</t>
  </si>
  <si>
    <t>Printing</t>
  </si>
  <si>
    <t>010/440/1364</t>
  </si>
  <si>
    <t>Limpopo valley tourism</t>
  </si>
  <si>
    <t>9515</t>
  </si>
  <si>
    <t>9516</t>
  </si>
  <si>
    <t>9517</t>
  </si>
  <si>
    <t>9603</t>
  </si>
  <si>
    <t>BANK</t>
  </si>
  <si>
    <t>999</t>
  </si>
  <si>
    <t>9999</t>
  </si>
  <si>
    <t>Control account</t>
  </si>
  <si>
    <t>CONTROL ACCOUNT</t>
  </si>
  <si>
    <t>Musina Ext 12</t>
  </si>
  <si>
    <t>DBSA - Civic centre phase 1(a)</t>
  </si>
  <si>
    <t>DBSA - Civic centre phase 2</t>
  </si>
  <si>
    <t>Auction income sale of stands</t>
  </si>
  <si>
    <t>Lotto Lesley Manyatela</t>
  </si>
  <si>
    <t>Poster and Hall</t>
  </si>
  <si>
    <t>Lotto Sport equipment</t>
  </si>
  <si>
    <t>Pro rata bonusses</t>
  </si>
  <si>
    <t>Retention Solid Waste</t>
  </si>
  <si>
    <t>Renevation of Community Hall</t>
  </si>
  <si>
    <t>Stormwater Madimbo</t>
  </si>
  <si>
    <t>Dormant account FNB / Standard Bank</t>
  </si>
  <si>
    <t>Accumulated Depretiation Infrastructure Assets</t>
  </si>
  <si>
    <t>Accumulated Depretiation Community Assets</t>
  </si>
  <si>
    <t>Accumulated Depretiation Other Assets</t>
  </si>
  <si>
    <t>Leave</t>
  </si>
  <si>
    <t>Bulk purchases</t>
  </si>
  <si>
    <t>Contributions to provisions</t>
  </si>
  <si>
    <t>Subtotal</t>
  </si>
  <si>
    <t>2006/2007</t>
  </si>
  <si>
    <t>2005/2006</t>
  </si>
  <si>
    <t>Current assets</t>
  </si>
  <si>
    <t>Current liabilities</t>
  </si>
  <si>
    <t>Net operating capital</t>
  </si>
  <si>
    <t>Total assets</t>
  </si>
  <si>
    <t>Total liabilities</t>
  </si>
  <si>
    <t>NET ASSETS &amp; LIABILITIES</t>
  </si>
  <si>
    <t>Net Assets</t>
  </si>
  <si>
    <t>Government grant reserve</t>
  </si>
  <si>
    <t>Donations and public contribution reserves</t>
  </si>
  <si>
    <t>Accumulated surplus/(deficit)</t>
  </si>
  <si>
    <t>Non-current liabilities</t>
  </si>
  <si>
    <t>Long-term liabilities</t>
  </si>
  <si>
    <t>Post employment benefits</t>
  </si>
  <si>
    <t>Consumer deposits</t>
  </si>
  <si>
    <t>Provisions</t>
  </si>
  <si>
    <t>Unspent conditional grants and receipts</t>
  </si>
  <si>
    <t>Appropriation</t>
  </si>
  <si>
    <t>Cheque number</t>
  </si>
  <si>
    <t>Investments which include listed government bonds, unlisted municipal bonds, fixed deposits and short term deposits invested in registered banks are stated at cost.</t>
  </si>
  <si>
    <t>Surplus funds are invested in terms of Council’s Investment Policy.  Investments are only made with financial institutions registered in terms of the Deposit Taking Institutions Act of 1990 with an A1 or similar rating institution for safe investment purposes.</t>
  </si>
  <si>
    <t>APPENDIX G</t>
  </si>
  <si>
    <t>DEVIATION FROM PROCUREMENT PROCESSES</t>
  </si>
  <si>
    <t>Supply Chain Regulation 36(2)</t>
  </si>
  <si>
    <t>Town Engineer</t>
  </si>
  <si>
    <t>081/440/1327</t>
  </si>
  <si>
    <t>081/440/1335</t>
  </si>
  <si>
    <t>081/440/1348</t>
  </si>
  <si>
    <t>081/440/1350</t>
  </si>
  <si>
    <t>081/440/1364</t>
  </si>
  <si>
    <t>081/440/1366</t>
  </si>
  <si>
    <t>081/440/1367</t>
  </si>
  <si>
    <t>081/762/1032</t>
  </si>
  <si>
    <t>082/161/1298</t>
  </si>
  <si>
    <t>082/161/1299</t>
  </si>
  <si>
    <t>National Electricity Programme</t>
  </si>
  <si>
    <t xml:space="preserve">Nkangala District Municipality </t>
  </si>
  <si>
    <t>All amounts in this sheet are linked to the other notes!</t>
  </si>
  <si>
    <t>STATEMENT OF FINANCIAL POSITION</t>
  </si>
  <si>
    <t>Operating capital ratio</t>
  </si>
  <si>
    <t>Solvability ratio</t>
  </si>
  <si>
    <t>2.</t>
  </si>
  <si>
    <t>3.</t>
  </si>
  <si>
    <t>4.</t>
  </si>
  <si>
    <t>5.</t>
  </si>
  <si>
    <t>6.</t>
  </si>
  <si>
    <t>7.</t>
  </si>
  <si>
    <t>8.</t>
  </si>
  <si>
    <t>9.</t>
  </si>
  <si>
    <t>12.</t>
  </si>
  <si>
    <t>13.</t>
  </si>
  <si>
    <t>14.</t>
  </si>
  <si>
    <t>15.</t>
  </si>
  <si>
    <t>16.</t>
  </si>
  <si>
    <t>20.</t>
  </si>
  <si>
    <t>21.</t>
  </si>
  <si>
    <t>22.</t>
  </si>
  <si>
    <t>23.</t>
  </si>
  <si>
    <t>24.</t>
  </si>
  <si>
    <t>25.</t>
  </si>
  <si>
    <t>26.</t>
  </si>
  <si>
    <t>27.</t>
  </si>
  <si>
    <t>28.</t>
  </si>
  <si>
    <t>29.</t>
  </si>
  <si>
    <t>30.</t>
  </si>
  <si>
    <t>31.</t>
  </si>
  <si>
    <t>32.</t>
  </si>
  <si>
    <t>33.</t>
  </si>
  <si>
    <t>34.</t>
  </si>
  <si>
    <t>35.</t>
  </si>
  <si>
    <t>38.</t>
  </si>
  <si>
    <t>CONTINGENT ASSETS</t>
  </si>
  <si>
    <t>Budget</t>
  </si>
  <si>
    <t>Electricity Charges</t>
  </si>
  <si>
    <t>Refuse Charges</t>
  </si>
  <si>
    <t>Sereage Charges</t>
  </si>
  <si>
    <t>Technical Services</t>
  </si>
  <si>
    <t>Lease Liability</t>
  </si>
  <si>
    <t>APPENDIX A</t>
  </si>
  <si>
    <t>SHEDULE OF EXTERNAL LOANS</t>
  </si>
  <si>
    <t>Redeemed or written off during the period</t>
  </si>
  <si>
    <t>-</t>
  </si>
  <si>
    <t>Total Annuity Loans</t>
  </si>
  <si>
    <t>External Loans</t>
  </si>
  <si>
    <t>Loan No.</t>
  </si>
  <si>
    <t>Redeemable</t>
  </si>
  <si>
    <t xml:space="preserve"> Interest paid during the period</t>
  </si>
  <si>
    <t>Received during the period</t>
  </si>
  <si>
    <t>APPENDIX B</t>
  </si>
  <si>
    <t>ANALYSIS OF PROPERTY, PLANT &amp; EQUIPMENT</t>
  </si>
  <si>
    <t>HISTORICAL COST</t>
  </si>
  <si>
    <t>ACCUMULATED DEPRECIATION</t>
  </si>
  <si>
    <t xml:space="preserve">          Additions/ Transfers</t>
  </si>
  <si>
    <t xml:space="preserve">                   Under Construction</t>
  </si>
  <si>
    <t xml:space="preserve">            Additions/ Transfers</t>
  </si>
  <si>
    <t xml:space="preserve">             Carrying Value</t>
  </si>
  <si>
    <t>INFRASTRUCTURE</t>
  </si>
  <si>
    <t>Roads, pavements, bridges &amp; stormwater</t>
  </si>
  <si>
    <t>Water reservoirs &amp; reticulation</t>
  </si>
  <si>
    <t>Car parks, bus terminals &amp; taxi ranks</t>
  </si>
  <si>
    <t>Electricity reticulation</t>
  </si>
  <si>
    <t>Sewerage purification &amp; reticulation</t>
  </si>
  <si>
    <t>Housing</t>
  </si>
  <si>
    <t>Street lighting</t>
  </si>
  <si>
    <t>Refuse sites</t>
  </si>
  <si>
    <t>Other (town planning &amp; development</t>
  </si>
  <si>
    <t>COMMUNITY ASSETS</t>
  </si>
  <si>
    <t>Libraries</t>
  </si>
  <si>
    <t>Clinics</t>
  </si>
  <si>
    <t>The favourable budget deviation can amongst others be attributed to the following factors:</t>
  </si>
  <si>
    <t>Favourable deviation Revenue</t>
  </si>
  <si>
    <t>Service Charges</t>
  </si>
  <si>
    <t>Favourable deviation Expenditure</t>
  </si>
  <si>
    <t>Employee related costs</t>
  </si>
  <si>
    <t>General expenditure</t>
  </si>
  <si>
    <t>Heritage assets</t>
  </si>
  <si>
    <t>Disposal of property, plant and equipment</t>
  </si>
  <si>
    <t>Property Rates</t>
  </si>
  <si>
    <t xml:space="preserve">  Current (0-30 days)</t>
  </si>
  <si>
    <t xml:space="preserve">  31–60     days</t>
  </si>
  <si>
    <t xml:space="preserve">  61–90     days</t>
  </si>
  <si>
    <t xml:space="preserve">  91–120   days</t>
  </si>
  <si>
    <t>Where items of intangible assets have been impaired, the carrying value is adjusted by the impairment loss, which is recognised as an expense in the period that the impairment is identified except where the impairment reverses a previous revaluation.</t>
  </si>
  <si>
    <t>The estimated useful life and amortisation methods are reviewed annually at the end of the financial year.  Any adjustments arising from the annual review are applied prospectively.</t>
  </si>
  <si>
    <t>Investment property as property (land or a building or part of a building or both) held to earn rentals or capital appreciation is stated at cost.  Where an investment property is acquired at no cost, or for a nominal cost, its cost is recognised at its fair value as at the date of acquisition.</t>
  </si>
  <si>
    <t xml:space="preserve">Depreciation is calculated on cost, using the straight-line method over the useful life of the property.  </t>
  </si>
  <si>
    <t>Trade Creditors</t>
  </si>
  <si>
    <t>Sundry debtors</t>
  </si>
  <si>
    <t>VAT</t>
  </si>
  <si>
    <t>RDP development</t>
  </si>
  <si>
    <t>Total creditors</t>
  </si>
  <si>
    <t>Local government transitional grant</t>
  </si>
  <si>
    <t>Municipal infrastructure grant</t>
  </si>
  <si>
    <t>Integrated national electricity programme</t>
  </si>
  <si>
    <t>Total conditional grants and receipts</t>
  </si>
  <si>
    <t>Cost</t>
  </si>
  <si>
    <t>Accumulated depreciation – cost</t>
  </si>
  <si>
    <t>Acquisitions</t>
  </si>
  <si>
    <t>PROPERTY, PLANT &amp; EQUIPMENT</t>
  </si>
  <si>
    <t>Reconciliation of Carrying Value</t>
  </si>
  <si>
    <t>After initial recognition, an intangible asset is carried at its cost less any accumulated impairment losses and amortisation.  Amortisation is charged on a straight-line basis over their useful life which is estimated to be between 3 and 5 years.  The useful life of an intangible asset is the period over which that asset is expected to be available for use of by the municipality.  Where intangible assets are deemed to have an indefinite useful life, such intangible assets are not amortised, but are tested for impairment annually and impaired if necessary.</t>
  </si>
  <si>
    <t>Cash generated from / (utilized in) operations</t>
  </si>
  <si>
    <t>Interest received</t>
  </si>
  <si>
    <t>Net cash from operating activities</t>
  </si>
  <si>
    <t>CASH FLOW FROM INVESTMENT ACTIVITIES</t>
  </si>
  <si>
    <t>Purchase of property, plant and equipment</t>
  </si>
  <si>
    <t>Proceeds on disposal of property, plant and equipment</t>
  </si>
  <si>
    <t xml:space="preserve">Recreation facilities                                                                                                      </t>
  </si>
  <si>
    <t xml:space="preserve">Clinics                                                                                                                          </t>
  </si>
  <si>
    <t xml:space="preserve">Fire services                                                                                                                 </t>
  </si>
  <si>
    <t xml:space="preserve">Cemeteries                                                                                                                   </t>
  </si>
  <si>
    <t xml:space="preserve">Motor vehicles                                                                                                              </t>
  </si>
  <si>
    <t xml:space="preserve">Plant and equipment                                                                                                     </t>
  </si>
  <si>
    <t xml:space="preserve">Security measures                                                                                                     </t>
  </si>
  <si>
    <t xml:space="preserve">Buildings                                                                                                                      </t>
  </si>
  <si>
    <t xml:space="preserve">IT equipment                                                                                                                </t>
  </si>
  <si>
    <t xml:space="preserve">Office equipment                                                                                                          </t>
  </si>
  <si>
    <t>Accounts receivable</t>
  </si>
  <si>
    <t>A provision for impairment is established when there is objective evidence that the municipality will not be able to collect all amounts due according to the original terms of receivables.</t>
  </si>
  <si>
    <t>Bad debts are written off during the year in which they are identified as irrecoverable.</t>
  </si>
  <si>
    <t>Financial liabilities</t>
  </si>
  <si>
    <t>920</t>
  </si>
  <si>
    <t>940</t>
  </si>
  <si>
    <t>960</t>
  </si>
  <si>
    <t>ACCOUNT NO.</t>
  </si>
  <si>
    <t>DESCRIPTION</t>
  </si>
  <si>
    <t>CLOSING BAL 06/07</t>
  </si>
  <si>
    <t>PROVISIONS</t>
  </si>
  <si>
    <t>Balance at beginning of year</t>
  </si>
  <si>
    <t>Expenditure incurred</t>
  </si>
  <si>
    <t>100/440/1397</t>
  </si>
  <si>
    <t>100/440/1399</t>
  </si>
  <si>
    <t>Street</t>
  </si>
  <si>
    <t>100/761/7607</t>
  </si>
  <si>
    <t>Painting</t>
  </si>
  <si>
    <t>100/762/7608</t>
  </si>
  <si>
    <t>100/763/7609</t>
  </si>
  <si>
    <t>VHEMBE</t>
  </si>
  <si>
    <t>110/040/0061</t>
  </si>
  <si>
    <t>110/380/1111</t>
  </si>
  <si>
    <t>110/380/1130</t>
  </si>
  <si>
    <t>110/380/1215</t>
  </si>
  <si>
    <t>110/380/1220</t>
  </si>
  <si>
    <t>110/440/1308</t>
  </si>
  <si>
    <t>110/440/1311</t>
  </si>
  <si>
    <t>110/440/1325</t>
  </si>
  <si>
    <t>110/440/1327</t>
  </si>
  <si>
    <t>110/440/1335</t>
  </si>
  <si>
    <t>110/440/1340</t>
  </si>
  <si>
    <t>Sampling</t>
  </si>
  <si>
    <t>110/440/1348</t>
  </si>
  <si>
    <t>110/440/1350</t>
  </si>
  <si>
    <t>110/440/1366</t>
  </si>
  <si>
    <t>110/440/1367</t>
  </si>
  <si>
    <t>500</t>
  </si>
  <si>
    <t>5004</t>
  </si>
  <si>
    <t>SECTION TOTAL:</t>
  </si>
  <si>
    <t>FUNDS</t>
  </si>
  <si>
    <t>520</t>
  </si>
  <si>
    <t>reserves</t>
  </si>
  <si>
    <t>5216</t>
  </si>
  <si>
    <t>Leave reserve</t>
  </si>
  <si>
    <t>5217</t>
  </si>
  <si>
    <t>Municipal gholfday</t>
  </si>
  <si>
    <t>5406</t>
  </si>
  <si>
    <t>Study loans</t>
  </si>
  <si>
    <t>5410</t>
  </si>
  <si>
    <t>IEC votes education</t>
  </si>
  <si>
    <t>540</t>
  </si>
  <si>
    <t>5401</t>
  </si>
  <si>
    <t>Provision bad debts</t>
  </si>
  <si>
    <t>PROVISIONS AND RESERVES</t>
  </si>
  <si>
    <t>560</t>
  </si>
  <si>
    <t>5600</t>
  </si>
  <si>
    <t>Accumulated deficit/surplus</t>
  </si>
  <si>
    <t>5602</t>
  </si>
  <si>
    <t>Income &amp; Exp appropriation</t>
  </si>
  <si>
    <t>ACCUMULATED DEFICIT/RETAINED SURPLUS</t>
  </si>
  <si>
    <t>580</t>
  </si>
  <si>
    <t>5801</t>
  </si>
  <si>
    <t>Town development fund</t>
  </si>
  <si>
    <t>581</t>
  </si>
  <si>
    <t>5811</t>
  </si>
  <si>
    <t>Town layout awaiting Mnsa</t>
  </si>
  <si>
    <t>5812</t>
  </si>
  <si>
    <t>5813</t>
  </si>
  <si>
    <t>5814</t>
  </si>
  <si>
    <t>5815</t>
  </si>
  <si>
    <t>5816</t>
  </si>
  <si>
    <t>5817</t>
  </si>
  <si>
    <t>5818</t>
  </si>
  <si>
    <t>5819</t>
  </si>
  <si>
    <t>Msna mine work place x 9</t>
  </si>
  <si>
    <t>5820</t>
  </si>
  <si>
    <t>5821</t>
  </si>
  <si>
    <t>5822</t>
  </si>
  <si>
    <t>5823</t>
  </si>
  <si>
    <t>5824</t>
  </si>
  <si>
    <t>5825</t>
  </si>
  <si>
    <t>5827</t>
  </si>
  <si>
    <t>Nancefield</t>
  </si>
  <si>
    <t>5828</t>
  </si>
  <si>
    <t>Mess Nance dorpsgebied</t>
  </si>
  <si>
    <t>5829</t>
  </si>
  <si>
    <t>Messina 4 MT</t>
  </si>
  <si>
    <t>5830</t>
  </si>
  <si>
    <t>Nancefield x 2</t>
  </si>
  <si>
    <t>5831</t>
  </si>
  <si>
    <t>Musina Ext 13</t>
  </si>
  <si>
    <t>5832</t>
  </si>
  <si>
    <t>Musina Ext 15</t>
  </si>
  <si>
    <t>5833</t>
  </si>
  <si>
    <t>Musina Ext 17</t>
  </si>
  <si>
    <t>5834</t>
  </si>
  <si>
    <t>Musina Ext 18</t>
  </si>
  <si>
    <t>5835</t>
  </si>
  <si>
    <t>Musina Ext 19</t>
  </si>
  <si>
    <t>5836</t>
  </si>
  <si>
    <t>Musina Ext 7</t>
  </si>
  <si>
    <t>5837</t>
  </si>
  <si>
    <t>Musina Ext 14</t>
  </si>
  <si>
    <t>5838</t>
  </si>
  <si>
    <t>Nancefield Ext 10</t>
  </si>
  <si>
    <t>Musina Ext 16</t>
  </si>
  <si>
    <t>5840</t>
  </si>
  <si>
    <t>Contribution town layout</t>
  </si>
  <si>
    <t>TRUST FUND : TOWN LAYOUT</t>
  </si>
  <si>
    <t>600</t>
  </si>
  <si>
    <t>6012</t>
  </si>
  <si>
    <t>Loans Local Government N/M</t>
  </si>
  <si>
    <t>Loans Local Government Sew</t>
  </si>
  <si>
    <t>6016</t>
  </si>
  <si>
    <t>Loans Stuwal</t>
  </si>
  <si>
    <t>6017</t>
  </si>
  <si>
    <t>Loans Sewerage system</t>
  </si>
  <si>
    <t>6019</t>
  </si>
  <si>
    <t>Loans work test centre</t>
  </si>
  <si>
    <t>6020</t>
  </si>
  <si>
    <t>Loan DBSA - Compactor</t>
  </si>
  <si>
    <t>6021</t>
  </si>
  <si>
    <t>Loans Vehicles</t>
  </si>
  <si>
    <t>6030</t>
  </si>
  <si>
    <t>Loans Inca</t>
  </si>
  <si>
    <t>6032</t>
  </si>
  <si>
    <t>Lesley Manyatela stadium</t>
  </si>
  <si>
    <t>6033</t>
  </si>
  <si>
    <t>Capricorn DM</t>
  </si>
  <si>
    <t>6034</t>
  </si>
  <si>
    <t>Loans waterscheme</t>
  </si>
  <si>
    <t>6037</t>
  </si>
  <si>
    <t>DBSA - managers offices</t>
  </si>
  <si>
    <t>6038</t>
  </si>
  <si>
    <t>DBSA - plant aerators</t>
  </si>
  <si>
    <t>6039</t>
  </si>
  <si>
    <t>DBSA - roads 2</t>
  </si>
  <si>
    <t>6040</t>
  </si>
  <si>
    <t>DBSA - roads 1</t>
  </si>
  <si>
    <t>6041</t>
  </si>
  <si>
    <t>DBSA - Civic centre phase 1</t>
  </si>
  <si>
    <t>LOANS : LONG TERM : GOVERNMENT</t>
  </si>
  <si>
    <t>620</t>
  </si>
  <si>
    <t>6201</t>
  </si>
  <si>
    <t>DEPOSITS : CONSUMER</t>
  </si>
  <si>
    <t>640</t>
  </si>
  <si>
    <t>6400</t>
  </si>
  <si>
    <t>Accounts payable</t>
  </si>
  <si>
    <t>6401</t>
  </si>
  <si>
    <t>Creditors - provisions</t>
  </si>
  <si>
    <t>6422</t>
  </si>
  <si>
    <t>6423</t>
  </si>
  <si>
    <t>Vat - control</t>
  </si>
  <si>
    <t>CREDITORS - TRADE</t>
  </si>
  <si>
    <t>641</t>
  </si>
  <si>
    <t>6419</t>
  </si>
  <si>
    <t>Community development</t>
  </si>
  <si>
    <t>6426</t>
  </si>
  <si>
    <t>IRF prepaid water meters</t>
  </si>
  <si>
    <t>6427</t>
  </si>
  <si>
    <t>6428</t>
  </si>
  <si>
    <t>6429</t>
  </si>
  <si>
    <t>6432</t>
  </si>
  <si>
    <t>6435</t>
  </si>
  <si>
    <t>De Beers - elec</t>
  </si>
  <si>
    <t>6436</t>
  </si>
  <si>
    <t>P/Works road camp elec</t>
  </si>
  <si>
    <t>6439</t>
  </si>
  <si>
    <t>Renovation cattle pounds</t>
  </si>
  <si>
    <t>6440</t>
  </si>
  <si>
    <t>6442</t>
  </si>
  <si>
    <t>6444</t>
  </si>
  <si>
    <t xml:space="preserve">  GENERAL  INFORMATION</t>
  </si>
  <si>
    <t>C  Mahasela</t>
  </si>
  <si>
    <t>Councillor</t>
  </si>
  <si>
    <t>G  Ramushwana</t>
  </si>
  <si>
    <t>GK  Sethlako</t>
  </si>
  <si>
    <t>PM Mulaudzi</t>
  </si>
  <si>
    <t>E Pesulo</t>
  </si>
  <si>
    <t>MC Nethavani</t>
  </si>
  <si>
    <t>MS Phiri</t>
  </si>
  <si>
    <t>ES Shirilele</t>
  </si>
  <si>
    <t>MM Sithole</t>
  </si>
  <si>
    <t>GRADING  OF  COUNCIL</t>
  </si>
  <si>
    <t>Grade  2</t>
  </si>
  <si>
    <t>AUDITORS</t>
  </si>
  <si>
    <t>Auditor - General</t>
  </si>
  <si>
    <t>BANKERS</t>
  </si>
  <si>
    <t>ABSA  Limited</t>
  </si>
  <si>
    <t>REGISTERED  OFFICE</t>
  </si>
  <si>
    <t>Civic  Centre</t>
  </si>
  <si>
    <t>Under Construction</t>
  </si>
  <si>
    <t>Additions/ Transfers</t>
  </si>
  <si>
    <t xml:space="preserve"> Disposals</t>
  </si>
  <si>
    <t xml:space="preserve">            Disposals</t>
  </si>
  <si>
    <t>EXECUTIVE COUNCIL</t>
  </si>
  <si>
    <t>Executive Council</t>
  </si>
  <si>
    <t>FINANCE &amp; ADMINISTRATION</t>
  </si>
  <si>
    <t>Finance</t>
  </si>
  <si>
    <t>Information technology</t>
  </si>
  <si>
    <t>Railway Lines</t>
  </si>
  <si>
    <t>Security Measures</t>
  </si>
  <si>
    <t>Bins and Containers</t>
  </si>
  <si>
    <t>Furniture and Fittings</t>
  </si>
  <si>
    <t>Buildings</t>
  </si>
  <si>
    <t>Emergency Equipment</t>
  </si>
  <si>
    <t>Truvello Radar</t>
  </si>
  <si>
    <t>Admin Services</t>
  </si>
  <si>
    <t>Legal Services</t>
  </si>
  <si>
    <t>Municipal Buildings</t>
  </si>
  <si>
    <t>Public Services</t>
  </si>
  <si>
    <t>Estates &amp; Pound</t>
  </si>
  <si>
    <t>Polution Control</t>
  </si>
  <si>
    <t>Parks &amp; recreation</t>
  </si>
  <si>
    <t>PARKS &amp; RECREATION</t>
  </si>
  <si>
    <t>Clearance Certificates</t>
  </si>
  <si>
    <t>Building Plans</t>
  </si>
  <si>
    <t xml:space="preserve">  </t>
  </si>
  <si>
    <t>- Written to accumulated surplus/(deficit)</t>
  </si>
  <si>
    <t>* Statutory Funds</t>
  </si>
  <si>
    <t>* Reserves</t>
  </si>
  <si>
    <t>Advanced payments</t>
  </si>
  <si>
    <t>081/701/0301</t>
  </si>
  <si>
    <t>Correction vote</t>
  </si>
  <si>
    <t>Consumers paid in advance</t>
  </si>
  <si>
    <t>Prepaid Electricity</t>
  </si>
  <si>
    <t>Sport Fields</t>
  </si>
  <si>
    <t>Reconstruction</t>
  </si>
  <si>
    <t>Car Port</t>
  </si>
  <si>
    <t>10</t>
  </si>
  <si>
    <t>25</t>
  </si>
  <si>
    <t>30</t>
  </si>
  <si>
    <t>5</t>
  </si>
  <si>
    <t>3</t>
  </si>
  <si>
    <t xml:space="preserve">  121–150+ days</t>
  </si>
  <si>
    <t xml:space="preserve">  Advanced Payments</t>
  </si>
  <si>
    <t>Services - Elec</t>
  </si>
  <si>
    <t>Previously reported amounts written off that no longer meet the criteria of an asset</t>
  </si>
  <si>
    <t>Sundry Debtors</t>
  </si>
  <si>
    <t>Difference in nett asssets and Zelpy investment</t>
  </si>
  <si>
    <t>Additions 0607 source of funding grants</t>
  </si>
  <si>
    <t>Revaluation of land</t>
  </si>
  <si>
    <t>Funds and reserves</t>
  </si>
  <si>
    <t>Difference in nett assets and invesetment in Zelpy</t>
  </si>
  <si>
    <t>Excessive Provisions and Reserves no longer permitted (see 38.2 above)</t>
  </si>
  <si>
    <t>- Transferred to Creditors</t>
  </si>
  <si>
    <t>* APPENDIX C</t>
  </si>
  <si>
    <t>* APPENDIX D</t>
  </si>
  <si>
    <t>* APPENDIX E(1)</t>
  </si>
  <si>
    <t>* APPENDIX E(2)</t>
  </si>
  <si>
    <t>* APPENDIX F</t>
  </si>
  <si>
    <t>* APPENDIX G</t>
  </si>
  <si>
    <t>SCHEDULE OF EXTERNAL LOANS</t>
  </si>
  <si>
    <t>ANALYSIS OF PROPERTY, PLANT AND EQUIPMENT</t>
  </si>
  <si>
    <t>SEGMENTAL ANALYSIS OF PROPERTY, PLANT AND EQUIPMENT</t>
  </si>
  <si>
    <t>ACTUAL OPERATING VERSUS BUDGET</t>
  </si>
  <si>
    <t>DEVIATION FROM PROCUREMENT PROCESSESS</t>
  </si>
  <si>
    <t>ADDITIONAL DISCLOSURES IN TERMS OF SECTION 125 OF MFMA 2003</t>
  </si>
  <si>
    <t>This grant is an unconditionally grant and is partially utilized for the provision of indigent support through free basic services.</t>
  </si>
  <si>
    <t>Chief Financial Officer</t>
  </si>
  <si>
    <t>Manager Corporate Services</t>
  </si>
  <si>
    <t>Manager Community Services</t>
  </si>
  <si>
    <t>Manager Technical Services</t>
  </si>
  <si>
    <t>The Mayor and Chief Whip are full time.  Each is provided with an office and secretarial support at the cost of Council.</t>
  </si>
  <si>
    <t>The Mayor has use of a Council owned vehicle and driver for official duties.</t>
  </si>
  <si>
    <t>T. MOCKE</t>
  </si>
  <si>
    <t>An item of property, plant and equipment which qualifies for recognition as an asset shall initially be measured at cost.  Property, plant and equipment is stated at historical cost, less accumulated depreciation and impairment losses.  Such assets are financed either by external loans, capital replacement reserve, government grants and contributions and donations.</t>
  </si>
  <si>
    <t xml:space="preserve">The cost of an item of property, plant and equipment comprises of its purchase price, including import duties and non-refundable purchase taxes and any directly attributable costs of bringing the asset to working condition for its intended use. </t>
  </si>
  <si>
    <t>Any trade discounts and rebates are deducted in arriving at the purchase price.</t>
  </si>
  <si>
    <t>Current portion of long term liabilities</t>
  </si>
  <si>
    <t>Total Net Assets and Liabilities</t>
  </si>
  <si>
    <t>ASSETS</t>
  </si>
  <si>
    <t>Non-current assets</t>
  </si>
  <si>
    <t>Intangible assets</t>
  </si>
  <si>
    <t>Property, plant &amp; equipment</t>
  </si>
  <si>
    <t>Investments property</t>
  </si>
  <si>
    <t>Investments</t>
  </si>
  <si>
    <t>Inventory</t>
  </si>
  <si>
    <t>Short-term investments</t>
  </si>
  <si>
    <t>Consumer debtors</t>
  </si>
  <si>
    <t>Other debtors</t>
  </si>
  <si>
    <t>Current portion of long-term receivables</t>
  </si>
  <si>
    <t>Total Assets</t>
  </si>
  <si>
    <t>Note</t>
  </si>
  <si>
    <t>as at</t>
  </si>
  <si>
    <t>STATEMENT OF FINANCIAL PERFORMANCE</t>
  </si>
  <si>
    <t>for the year ended</t>
  </si>
  <si>
    <t>REVENUE</t>
  </si>
  <si>
    <t>Actual</t>
  </si>
  <si>
    <t>Property rates</t>
  </si>
  <si>
    <t>Service charges:</t>
  </si>
  <si>
    <t>Electricity</t>
  </si>
  <si>
    <t>Refuse Removal</t>
  </si>
  <si>
    <t>Sewerage</t>
  </si>
  <si>
    <t>Water</t>
  </si>
  <si>
    <t>Rental of facilities and equipment</t>
  </si>
  <si>
    <t>Interest earned – external investments</t>
  </si>
  <si>
    <t>Interest earned – outstanding debtors</t>
  </si>
  <si>
    <t>Fines</t>
  </si>
  <si>
    <t>Licenses and permits</t>
  </si>
  <si>
    <t>Income for agency services</t>
  </si>
  <si>
    <t>Government grants and subsidies received - operating</t>
  </si>
  <si>
    <t>Government grants and subsidies received - capital</t>
  </si>
  <si>
    <t>Public contributions, donated and contributed property, plant and equipment</t>
  </si>
  <si>
    <t>Other revenue</t>
  </si>
  <si>
    <t>Total Revenue</t>
  </si>
  <si>
    <t>EXPENDITURE</t>
  </si>
  <si>
    <t>Remuneration of councillors</t>
  </si>
  <si>
    <t>Bad debts</t>
  </si>
  <si>
    <t>Collection costs</t>
  </si>
  <si>
    <t>Depreciation</t>
  </si>
  <si>
    <t>Repairs and maintenance</t>
  </si>
  <si>
    <t>Interest paid</t>
  </si>
  <si>
    <t>Contracted services</t>
  </si>
  <si>
    <t>General expenses (including abnormal expenses)</t>
  </si>
  <si>
    <t>Loss on disposal of property, plant and equipment</t>
  </si>
  <si>
    <t>052/310/1029</t>
  </si>
  <si>
    <t>052/370/1071</t>
  </si>
  <si>
    <t>052/380/1106</t>
  </si>
  <si>
    <t>Computer</t>
  </si>
  <si>
    <t>052/440/1308</t>
  </si>
  <si>
    <t>052/440/1310</t>
  </si>
  <si>
    <t>052/440/1336</t>
  </si>
  <si>
    <t>052/440/1358</t>
  </si>
  <si>
    <t>Rent</t>
  </si>
  <si>
    <t>052/440/1359</t>
  </si>
  <si>
    <t>Hardware</t>
  </si>
  <si>
    <t>052/440/1364</t>
  </si>
  <si>
    <t>052/440/1366</t>
  </si>
  <si>
    <t>052/762/7606</t>
  </si>
  <si>
    <t>Server,</t>
  </si>
  <si>
    <t>063/300/1001</t>
  </si>
  <si>
    <t>063/300/1004</t>
  </si>
  <si>
    <t>063/300/1009</t>
  </si>
  <si>
    <t>063/300/1010</t>
  </si>
  <si>
    <t>063/300/1012</t>
  </si>
  <si>
    <t>063/300/1013</t>
  </si>
  <si>
    <t>063/310/1021</t>
  </si>
  <si>
    <t>063/310/1022</t>
  </si>
  <si>
    <t>063/310/1023</t>
  </si>
  <si>
    <t>066/380/1215</t>
  </si>
  <si>
    <t>Coun</t>
  </si>
  <si>
    <t>066/380/1220</t>
  </si>
  <si>
    <t>066/380/1310</t>
  </si>
  <si>
    <t>066/390/1231</t>
  </si>
  <si>
    <t>066/400/1241</t>
  </si>
  <si>
    <t>066/440/1310</t>
  </si>
  <si>
    <t>066/440/1311</t>
  </si>
  <si>
    <t>066/440/1325</t>
  </si>
  <si>
    <t>066/440/1327</t>
  </si>
  <si>
    <t>066/440/1335</t>
  </si>
  <si>
    <t>066/440/1348</t>
  </si>
  <si>
    <t>066/440/1350</t>
  </si>
  <si>
    <t>066/440/1366</t>
  </si>
  <si>
    <t>066/440/1367</t>
  </si>
  <si>
    <t>066/440/1370</t>
  </si>
  <si>
    <t>RENTAL</t>
  </si>
  <si>
    <t>066/761/7619</t>
  </si>
  <si>
    <t>066/762/1103</t>
  </si>
  <si>
    <t>080/300/1001</t>
  </si>
  <si>
    <t>080/300/1002</t>
  </si>
  <si>
    <t>080/300/1004</t>
  </si>
  <si>
    <t>080/300/1009</t>
  </si>
  <si>
    <t>080/300/1010</t>
  </si>
  <si>
    <t>080/300/1012</t>
  </si>
  <si>
    <t>080/300/1013</t>
  </si>
  <si>
    <t>908/908/9008</t>
  </si>
  <si>
    <t>ADMIN.</t>
  </si>
  <si>
    <t>RECOVERED</t>
  </si>
  <si>
    <t>909/909/9009</t>
  </si>
  <si>
    <t>CREDIT</t>
  </si>
  <si>
    <t>YEAR</t>
  </si>
  <si>
    <t>910/910/9010</t>
  </si>
  <si>
    <t>911/911/9011</t>
  </si>
  <si>
    <t>ADJUSTMENT</t>
  </si>
  <si>
    <t>912/912/9012</t>
  </si>
  <si>
    <t>913/913/9013</t>
  </si>
  <si>
    <t>914/914/9014</t>
  </si>
  <si>
    <t>915/915/9015</t>
  </si>
  <si>
    <t>PAYAB</t>
  </si>
  <si>
    <t>PROV.</t>
  </si>
  <si>
    <t>916/916/9016</t>
  </si>
  <si>
    <t>917/917/9017</t>
  </si>
  <si>
    <t>ADJ</t>
  </si>
  <si>
    <t>YR</t>
  </si>
  <si>
    <t>920/920/9020</t>
  </si>
  <si>
    <t>921/921/9021</t>
  </si>
  <si>
    <t>922/922/9022</t>
  </si>
  <si>
    <t>923/923/9023</t>
  </si>
  <si>
    <t>930/930/9030</t>
  </si>
  <si>
    <t>DISCOUN</t>
  </si>
  <si>
    <t>CHEQUES</t>
  </si>
  <si>
    <t>940/940/9040</t>
  </si>
  <si>
    <t>DEBTORS</t>
  </si>
  <si>
    <t>951/951/9051</t>
  </si>
  <si>
    <t>951/951/9052</t>
  </si>
  <si>
    <t>Roundings</t>
  </si>
  <si>
    <t>Human resources</t>
  </si>
  <si>
    <t>Property services</t>
  </si>
  <si>
    <t>Other &amp; admin</t>
  </si>
  <si>
    <t>PLANNING &amp; DEVELOPMENT</t>
  </si>
  <si>
    <t>Planning &amp; development</t>
  </si>
  <si>
    <t>ROAD TRANSPORT</t>
  </si>
  <si>
    <t>Vehicle licensing &amp; testing</t>
  </si>
  <si>
    <t>Roads &amp; stormwater</t>
  </si>
  <si>
    <t>Roads other</t>
  </si>
  <si>
    <t>HEALTH</t>
  </si>
  <si>
    <t>COMMUNITY &amp; SOCIAL SERVICES</t>
  </si>
  <si>
    <t>Libraries &amp; archives</t>
  </si>
  <si>
    <t>Community halls &amp; facilities</t>
  </si>
  <si>
    <t>Cemeteries &amp; crematoriums</t>
  </si>
  <si>
    <t>PUBLIC SAFETY</t>
  </si>
  <si>
    <t>Traffic</t>
  </si>
  <si>
    <t>WASTE WATER MANAGEMENT</t>
  </si>
  <si>
    <t>Public toilets</t>
  </si>
  <si>
    <t>WASTE MANAGEMENT</t>
  </si>
  <si>
    <t>Solid waste</t>
  </si>
  <si>
    <t>HOUSING</t>
  </si>
  <si>
    <t>WATER</t>
  </si>
  <si>
    <t>Water distribution</t>
  </si>
  <si>
    <t>Water storage</t>
  </si>
  <si>
    <t>ELECTRICITY</t>
  </si>
  <si>
    <t>Electricity distribution</t>
  </si>
  <si>
    <t>APPENDIX C</t>
  </si>
  <si>
    <t>SEGMENTAL ANALYSIS OF PROPERTY, PLANT &amp; EQUIPMENT</t>
  </si>
  <si>
    <t>Surplus/</t>
  </si>
  <si>
    <t>(Deficit)</t>
  </si>
  <si>
    <t>Executive &amp; Council</t>
  </si>
  <si>
    <t>Finance &amp; Admin</t>
  </si>
  <si>
    <t>Human Resources</t>
  </si>
  <si>
    <t>Information Technology</t>
  </si>
  <si>
    <t>Property Services</t>
  </si>
  <si>
    <t>Other Admin</t>
  </si>
  <si>
    <t>Planning &amp; Development</t>
  </si>
  <si>
    <t>Health</t>
  </si>
  <si>
    <t>Health Other</t>
  </si>
  <si>
    <t>Community Services</t>
  </si>
  <si>
    <t>Cemeteries</t>
  </si>
  <si>
    <t>Public Safety</t>
  </si>
  <si>
    <t>Fire Services</t>
  </si>
  <si>
    <t>APPENDIX D</t>
  </si>
  <si>
    <t>DETAILED SEGMENTAL STATEMENT OF FINANCIAL PERFORMANCE</t>
  </si>
  <si>
    <t>Parks &amp; Recreation</t>
  </si>
  <si>
    <t>Waste Management</t>
  </si>
  <si>
    <t>Public Toilets</t>
  </si>
  <si>
    <t>Roads Transport</t>
  </si>
  <si>
    <t>Extent to which information in  the AFS would need to be adjusted to achieve compliance with the exempted standards</t>
  </si>
  <si>
    <t>GRAP 03</t>
  </si>
  <si>
    <t>Accounting policies, changes in accounting estimates and errors</t>
  </si>
  <si>
    <t>Identification and impact of GRAP standards that have been issued but are not yet effective (GRAP 3.30 – 31). A list of these standards is as follows:</t>
  </si>
  <si>
    <t>Y</t>
  </si>
  <si>
    <t>GRAP 4 The Effects of Changes in Foreign Exchange Rates</t>
  </si>
  <si>
    <t>Currently the municipality adheres to the requirements of the comparable GAMAP standards. Determine the difference between the applicable accounting treatment and disclosure requirements of the GAMAP versus the GRAP standards and make any necessary adjustments to the AFS.</t>
  </si>
  <si>
    <t>CERTIFICATION AND APPROVAL BY THE ACCOUNTING OFFICER</t>
  </si>
  <si>
    <t>Workmen’s compensation</t>
  </si>
  <si>
    <t>Less:  employee cost capitalized</t>
  </si>
  <si>
    <t>Less:  employee cost to operating</t>
  </si>
  <si>
    <t>Total employee related cost</t>
  </si>
  <si>
    <t>Remuneration of Managers</t>
  </si>
  <si>
    <t>Municipal Manager</t>
  </si>
  <si>
    <t>Annual remuneration</t>
  </si>
  <si>
    <t>Performance bonus</t>
  </si>
  <si>
    <t>Disclosure in terms of the MFMA, 2003, Section 124(1)(c).</t>
  </si>
  <si>
    <t>During the year performance bonuses were paid out in terms of Section 57 of the Municipal Systems Act</t>
  </si>
  <si>
    <t>REMUNERATION OF COUNCILLORS</t>
  </si>
  <si>
    <t>Mayoral Committee members</t>
  </si>
  <si>
    <t>Chief Whip</t>
  </si>
  <si>
    <t>Councillors</t>
  </si>
  <si>
    <t>Pension fund</t>
  </si>
  <si>
    <t>Travelling allowances</t>
  </si>
  <si>
    <t>Cellphone allowances</t>
  </si>
  <si>
    <t>UIF</t>
  </si>
  <si>
    <t>Total councillor’s remuneration</t>
  </si>
  <si>
    <t>Disclosure in terms of the MFMA, 2003, Section 124(1)(a)</t>
  </si>
  <si>
    <t xml:space="preserve">CERTIFICATION </t>
  </si>
  <si>
    <t>Performance Bonus Managers</t>
  </si>
  <si>
    <t>Retention Allocation Municipal Building Phase 2</t>
  </si>
  <si>
    <t>Performance Bonusses Managers</t>
  </si>
  <si>
    <t>Retention Municipal Building Phase 2</t>
  </si>
  <si>
    <t>STATUTORY FUNDS &amp; RESERVES</t>
  </si>
  <si>
    <t>Balance at beginning of the year - Statutory Funds</t>
  </si>
  <si>
    <t>Balance at beginning of the year - Reserves</t>
  </si>
  <si>
    <t>Duplication of Loans Source of Finance 06/07</t>
  </si>
  <si>
    <t>063/310/1024</t>
  </si>
  <si>
    <t>063/310/1029</t>
  </si>
  <si>
    <t>063/370/1071</t>
  </si>
  <si>
    <t>063/380/1111</t>
  </si>
  <si>
    <t>063/380/1215</t>
  </si>
  <si>
    <t>063/440/1308</t>
  </si>
  <si>
    <t>063/440/1311</t>
  </si>
  <si>
    <t>063/440/1312</t>
  </si>
  <si>
    <t>Paupers</t>
  </si>
  <si>
    <t>063/440/1313</t>
  </si>
  <si>
    <t>Non-Capital</t>
  </si>
  <si>
    <t>063/440/1314</t>
  </si>
  <si>
    <t>Railage</t>
  </si>
  <si>
    <t>063/440/1315</t>
  </si>
  <si>
    <t>Pest</t>
  </si>
  <si>
    <t>Control</t>
  </si>
  <si>
    <t>063/440/1316</t>
  </si>
  <si>
    <t>Signage</t>
  </si>
  <si>
    <t>063/440/1317</t>
  </si>
  <si>
    <t>Testing</t>
  </si>
  <si>
    <t>063/440/1327</t>
  </si>
  <si>
    <t>063/440/1347</t>
  </si>
  <si>
    <t>063/440/1348</t>
  </si>
  <si>
    <t>063/440/1350</t>
  </si>
  <si>
    <t>063/440/1364</t>
  </si>
  <si>
    <t>063/440/1366</t>
  </si>
  <si>
    <t>063/440/1367</t>
  </si>
  <si>
    <t>063/440/1370</t>
  </si>
  <si>
    <t>063/440/1374</t>
  </si>
  <si>
    <t>Replacement</t>
  </si>
  <si>
    <t>063/440/1400</t>
  </si>
  <si>
    <t>HIV</t>
  </si>
  <si>
    <t>063/440/1401</t>
  </si>
  <si>
    <t>Environmental</t>
  </si>
  <si>
    <t>063/440/1402</t>
  </si>
  <si>
    <t>Lotto</t>
  </si>
  <si>
    <t>064/070/0140</t>
  </si>
  <si>
    <t>064/300/1001</t>
  </si>
  <si>
    <t>064/300/1002</t>
  </si>
  <si>
    <t>064/300/1004</t>
  </si>
  <si>
    <t>064/300/1009</t>
  </si>
  <si>
    <t>064/300/1010</t>
  </si>
  <si>
    <t>064/300/1012</t>
  </si>
  <si>
    <t>064/310/1021</t>
  </si>
  <si>
    <t>064/310/1022</t>
  </si>
  <si>
    <t>064/310/1023</t>
  </si>
  <si>
    <t>064/310/1024</t>
  </si>
  <si>
    <t>064/310/1029</t>
  </si>
  <si>
    <t>064/370/1071</t>
  </si>
  <si>
    <t>064/380/1111</t>
  </si>
  <si>
    <t>064/380/1215</t>
  </si>
  <si>
    <t>064/380/1220</t>
  </si>
  <si>
    <t>064/440/1311</t>
  </si>
  <si>
    <t>064/440/1325</t>
  </si>
  <si>
    <t>064/440/1327</t>
  </si>
  <si>
    <t>064/440/1350</t>
  </si>
  <si>
    <t>064/440/1364</t>
  </si>
  <si>
    <t>064/701/7614</t>
  </si>
  <si>
    <t>Lesley</t>
  </si>
  <si>
    <t>064/710/7615</t>
  </si>
  <si>
    <t>064/762/7616</t>
  </si>
  <si>
    <t>065/161/1299</t>
  </si>
  <si>
    <t>User</t>
  </si>
  <si>
    <t>065/300/1001</t>
  </si>
  <si>
    <t>065/300/1002</t>
  </si>
  <si>
    <t>065/300/1004</t>
  </si>
  <si>
    <t>065/310/1021</t>
  </si>
  <si>
    <t>065/310/1022</t>
  </si>
  <si>
    <t>065/310/1023</t>
  </si>
  <si>
    <t>065/310/1024</t>
  </si>
  <si>
    <t>065/310/1029</t>
  </si>
  <si>
    <t>065/370/1071</t>
  </si>
  <si>
    <t>065/380/1215</t>
  </si>
  <si>
    <t>065/440/1311</t>
  </si>
  <si>
    <t>065/440/1327</t>
  </si>
  <si>
    <t>065/440/1350</t>
  </si>
  <si>
    <t>065/440/1360</t>
  </si>
  <si>
    <t>065/701/7617</t>
  </si>
  <si>
    <t>Storm</t>
  </si>
  <si>
    <t>065/710/1200</t>
  </si>
  <si>
    <t>Upgrade</t>
  </si>
  <si>
    <t>065/762/7618</t>
  </si>
  <si>
    <t>065/784/4700</t>
  </si>
  <si>
    <t>Solid</t>
  </si>
  <si>
    <t>066/040/0071</t>
  </si>
  <si>
    <t>066/300/1001</t>
  </si>
  <si>
    <t>066/300/1002</t>
  </si>
  <si>
    <t>066/300/1004</t>
  </si>
  <si>
    <t>066/300/1005</t>
  </si>
  <si>
    <t>Standby</t>
  </si>
  <si>
    <t>066/300/1009</t>
  </si>
  <si>
    <t>066/300/1010</t>
  </si>
  <si>
    <t>066/300/1012</t>
  </si>
  <si>
    <t>066/310/1021</t>
  </si>
  <si>
    <t>066/310/1022</t>
  </si>
  <si>
    <t>066/310/1023</t>
  </si>
  <si>
    <t>066/310/1024</t>
  </si>
  <si>
    <t>066/310/1029</t>
  </si>
  <si>
    <t>066/370/1071</t>
  </si>
  <si>
    <t>Revenue received from conditional grants, donations and funding are recognised as revenue to the extent that the municipality has complied with any of the criteria, conditions or obligations embodied in the agreement.  To the extent that the criteria, conditions or obligations have not been met a liability is raised.</t>
  </si>
  <si>
    <t>Cash includes cash on hand and cash with banks.  Cash equivalents are short-term investments that are held with registered banking institutions with maturities of 32 days or daily calls.</t>
  </si>
  <si>
    <t>088/440/1301</t>
  </si>
  <si>
    <t>088/440/1348</t>
  </si>
  <si>
    <t>088/440/1364</t>
  </si>
  <si>
    <t>088/440/1371</t>
  </si>
  <si>
    <t>090/440/1308</t>
  </si>
  <si>
    <t>090/440/1311</t>
  </si>
  <si>
    <t>090/440/1347</t>
  </si>
  <si>
    <t>090/440/1348</t>
  </si>
  <si>
    <t>090/440/1350</t>
  </si>
  <si>
    <t>090/440/1364</t>
  </si>
  <si>
    <t>090/440/1366</t>
  </si>
  <si>
    <t>090/440/1367</t>
  </si>
  <si>
    <t>091/440/1308</t>
  </si>
  <si>
    <t>091/440/1311</t>
  </si>
  <si>
    <t>091/440/1347</t>
  </si>
  <si>
    <t>091/440/1348</t>
  </si>
  <si>
    <t>091/440/1350</t>
  </si>
  <si>
    <t>091/440/1364</t>
  </si>
  <si>
    <t>091/440/1366</t>
  </si>
  <si>
    <t>091/440/1367</t>
  </si>
  <si>
    <t>092/440/1308</t>
  </si>
  <si>
    <t>092/440/1311</t>
  </si>
  <si>
    <t>092/440/1347</t>
  </si>
  <si>
    <t>092/440/1348</t>
  </si>
  <si>
    <t>092/440/1350</t>
  </si>
  <si>
    <t>092/440/1364</t>
  </si>
  <si>
    <t>092/440/1366</t>
  </si>
  <si>
    <t>092/440/1367</t>
  </si>
  <si>
    <t>100/110/0161</t>
  </si>
  <si>
    <t>Licences</t>
  </si>
  <si>
    <t>100/140/0196</t>
  </si>
  <si>
    <t>100/300/1001</t>
  </si>
  <si>
    <t>100/300/1002</t>
  </si>
  <si>
    <t>100/300/1004</t>
  </si>
  <si>
    <t>100/300/1005</t>
  </si>
  <si>
    <t>100/300/1009</t>
  </si>
  <si>
    <t>100/300/1010</t>
  </si>
  <si>
    <t>100/300/1012</t>
  </si>
  <si>
    <t>100/300/1013</t>
  </si>
  <si>
    <t>100/300/1017</t>
  </si>
  <si>
    <t>100/310/1021</t>
  </si>
  <si>
    <t>100/310/1022</t>
  </si>
  <si>
    <t>100/310/1023</t>
  </si>
  <si>
    <t>100/310/1024</t>
  </si>
  <si>
    <t>100/310/1029</t>
  </si>
  <si>
    <t>100/370/1071</t>
  </si>
  <si>
    <t>100/380/1111</t>
  </si>
  <si>
    <t>100/380/1154</t>
  </si>
  <si>
    <t>Road</t>
  </si>
  <si>
    <t>100/380/1220</t>
  </si>
  <si>
    <t>100/390/1231</t>
  </si>
  <si>
    <t>100/400/1241</t>
  </si>
  <si>
    <t>100/440/1308</t>
  </si>
  <si>
    <t>100/440/1311</t>
  </si>
  <si>
    <t>100/440/1325</t>
  </si>
  <si>
    <t>100/440/1327</t>
  </si>
  <si>
    <t>100/440/1335</t>
  </si>
  <si>
    <t>100/440/1347</t>
  </si>
  <si>
    <t>100/440/1348</t>
  </si>
  <si>
    <t>100/440/1350</t>
  </si>
  <si>
    <t>100/440/1364</t>
  </si>
  <si>
    <t>100/440/1366</t>
  </si>
  <si>
    <t>100/440/1367</t>
  </si>
  <si>
    <t>100/440/1392</t>
  </si>
  <si>
    <t>There are four categories of financial instruments:  fair value through profit or loss (which includes trading), loans and receivables, held-to-maturity and available for sale.  All financial assets that are within the scope of IAS 39 are classified into one of the four categories.</t>
  </si>
  <si>
    <t>Loans and receivables</t>
  </si>
  <si>
    <t xml:space="preserve">Loans and receivables are non-derivative financial assets with fixed or determinable payments.  They are included in current assets, except for maturities in excess of 12 months. These are classified as non-current assets.  </t>
  </si>
  <si>
    <t>110/440/1368</t>
  </si>
  <si>
    <t>110/705/0700</t>
  </si>
  <si>
    <t>110/710/1200</t>
  </si>
  <si>
    <t>110/780/4300</t>
  </si>
  <si>
    <t>110/782/4500</t>
  </si>
  <si>
    <t>120/040/0051</t>
  </si>
  <si>
    <t>120/040/0052</t>
  </si>
  <si>
    <t>120/040/0053</t>
  </si>
  <si>
    <t>120/040/0054</t>
  </si>
  <si>
    <t>120/040/0055</t>
  </si>
  <si>
    <t>120/040/0056</t>
  </si>
  <si>
    <t>Consumer</t>
  </si>
  <si>
    <t>120/041/0256</t>
  </si>
  <si>
    <t>120/300/1001</t>
  </si>
  <si>
    <t>120/300/1002</t>
  </si>
  <si>
    <t>120/300/1004</t>
  </si>
  <si>
    <t>120/300/1005</t>
  </si>
  <si>
    <t>120/300/1007</t>
  </si>
  <si>
    <t>120/300/1009</t>
  </si>
  <si>
    <t>120/300/1010</t>
  </si>
  <si>
    <t>120/300/1012</t>
  </si>
  <si>
    <t>120/300/1013</t>
  </si>
  <si>
    <t>120/310/1021</t>
  </si>
  <si>
    <t>120/310/1022</t>
  </si>
  <si>
    <t>120/310/1023</t>
  </si>
  <si>
    <t>120/310/1024</t>
  </si>
  <si>
    <t>120/310/1029</t>
  </si>
  <si>
    <t>120/350/1071</t>
  </si>
  <si>
    <t>120/380/1111</t>
  </si>
  <si>
    <t>120/380/1130</t>
  </si>
  <si>
    <t>120/380/1215</t>
  </si>
  <si>
    <t>120/380/1220</t>
  </si>
  <si>
    <t>120/380/1221</t>
  </si>
  <si>
    <t>Telemetry</t>
  </si>
  <si>
    <t>120/390/1231</t>
  </si>
  <si>
    <t>120/390/1341</t>
  </si>
  <si>
    <t>120/400/1241</t>
  </si>
  <si>
    <t>120/440/1263</t>
  </si>
  <si>
    <t>120/440/1304</t>
  </si>
  <si>
    <t>120/440/1306</t>
  </si>
  <si>
    <t>120/440/1308</t>
  </si>
  <si>
    <t>120/440/1310</t>
  </si>
  <si>
    <t>120/440/1311</t>
  </si>
  <si>
    <t>120/440/1325</t>
  </si>
  <si>
    <t>120/440/1327</t>
  </si>
  <si>
    <t>120/440/1334</t>
  </si>
  <si>
    <t>120/440/1335</t>
  </si>
  <si>
    <t>120/440/1347</t>
  </si>
  <si>
    <t>120/440/1348</t>
  </si>
  <si>
    <t>120/440/1350</t>
  </si>
  <si>
    <t>120/440/1361</t>
  </si>
  <si>
    <t>Uniform</t>
  </si>
  <si>
    <t>120/440/1364</t>
  </si>
  <si>
    <t>120/440/1366</t>
  </si>
  <si>
    <t>120/440/1367</t>
  </si>
  <si>
    <t>120/440/1368</t>
  </si>
  <si>
    <t>120/440/1369</t>
  </si>
  <si>
    <t>120/440/1370</t>
  </si>
  <si>
    <t>120/440/1372</t>
  </si>
  <si>
    <t>120/440/1374</t>
  </si>
  <si>
    <t>120/440/1375</t>
  </si>
  <si>
    <t>ELEC</t>
  </si>
  <si>
    <t xml:space="preserve">Rebates are respectively granted, to owners of land on which not more than two dwelling units are erected provided that such dwelling units are solely used for residential purposes.  Additional relief is granted to needy, aged and/or disabled owners, based on income </t>
  </si>
  <si>
    <t>SUSPENCE</t>
  </si>
  <si>
    <t>955/955/9055</t>
  </si>
  <si>
    <t>956/956/9056</t>
  </si>
  <si>
    <t>CONT</t>
  </si>
  <si>
    <t>960/960/9060</t>
  </si>
  <si>
    <t>CANCELLATIONS</t>
  </si>
  <si>
    <t>970/970/9070</t>
  </si>
  <si>
    <t>TRANSFERS</t>
  </si>
  <si>
    <t>975/975/9075</t>
  </si>
  <si>
    <t>ORDERDS</t>
  </si>
  <si>
    <t>980/980/9080</t>
  </si>
  <si>
    <t>SURP/DEFICIT</t>
  </si>
  <si>
    <t>SALARIES</t>
  </si>
  <si>
    <t>COUNCILLORS</t>
  </si>
  <si>
    <t>DEPRECIATION</t>
  </si>
  <si>
    <t>R/M</t>
  </si>
  <si>
    <t>GENERAL</t>
  </si>
  <si>
    <t>BAD DEBT</t>
  </si>
  <si>
    <t>WORKING CAPITAL</t>
  </si>
  <si>
    <t>CATEGORY</t>
  </si>
  <si>
    <t>DEPARTMENT</t>
  </si>
  <si>
    <t>CGE</t>
  </si>
  <si>
    <t>MM</t>
  </si>
  <si>
    <t>INTERNAL AUDIT</t>
  </si>
  <si>
    <t>TOWN PLANNING</t>
  </si>
  <si>
    <t>LEGAL</t>
  </si>
  <si>
    <t>ADMIN</t>
  </si>
  <si>
    <t>HR</t>
  </si>
  <si>
    <t>LIBRARY</t>
  </si>
  <si>
    <t>TOURISM</t>
  </si>
  <si>
    <t>FINANCE</t>
  </si>
  <si>
    <t>IT</t>
  </si>
  <si>
    <t>PARKS &amp; REC</t>
  </si>
  <si>
    <t>CEMETERY</t>
  </si>
  <si>
    <t>SOLID WASTE</t>
  </si>
  <si>
    <t>TECHNICAL</t>
  </si>
  <si>
    <t>PUBLIC SERVICES</t>
  </si>
  <si>
    <t>MUNICIPAL BUILDINGS</t>
  </si>
  <si>
    <t>STREET LIGHTS</t>
  </si>
  <si>
    <t>WORKSHOP</t>
  </si>
  <si>
    <t>ART &amp; CULTURE</t>
  </si>
  <si>
    <t>DISASTER MANAGEMENT</t>
  </si>
  <si>
    <t>VEHICLE REGISTRATION</t>
  </si>
  <si>
    <t>Agricultural</t>
  </si>
  <si>
    <t>Industrial</t>
  </si>
  <si>
    <t xml:space="preserve">Retention solid waste </t>
  </si>
  <si>
    <t>Departmental grant</t>
  </si>
  <si>
    <t>Increase/(decrease) in Unspent conditional Grants and Receipts</t>
  </si>
  <si>
    <t>Contributions to the defined contribution pension plan in respect of service in a particular period are included in the employees’ total cost of employment and are charged to the statement of financial performance in the year to which they relate as part of cost of employment.</t>
  </si>
  <si>
    <t>Royalties shall be recognised as they are earned in accordance with the substance of the relevant agreement;  and</t>
  </si>
  <si>
    <t xml:space="preserve">Income for agency services is recognised on a monthly basis once the income collected on behalf of agents has been quantified.  </t>
  </si>
  <si>
    <t>The income recognised is in terms of the agency agreement.</t>
  </si>
  <si>
    <t>Collection charges are recognised when such amounts are incurred.</t>
  </si>
  <si>
    <t>WORKINGS</t>
  </si>
  <si>
    <t>NOTES</t>
  </si>
  <si>
    <t>CHANGES IN NET ASSETS</t>
  </si>
  <si>
    <t>INDEX</t>
  </si>
  <si>
    <t>*  Note 1</t>
  </si>
  <si>
    <t>*  Note 2</t>
  </si>
  <si>
    <t>*  Note 3</t>
  </si>
  <si>
    <t>*  Note 4</t>
  </si>
  <si>
    <t>*  Note 5</t>
  </si>
  <si>
    <t>*  Note 6</t>
  </si>
  <si>
    <t>*  Note 7</t>
  </si>
  <si>
    <t>*  Note 8</t>
  </si>
  <si>
    <t>*  Note 9</t>
  </si>
  <si>
    <t>*  Note 10</t>
  </si>
  <si>
    <t>*  Note 11</t>
  </si>
  <si>
    <t>*  Note 12</t>
  </si>
  <si>
    <t>*  Note 13</t>
  </si>
  <si>
    <t>*  Note 14</t>
  </si>
  <si>
    <t>*  Note 15</t>
  </si>
  <si>
    <t>*  Note 16</t>
  </si>
  <si>
    <t>*  Note 17</t>
  </si>
  <si>
    <t>*  Note 18</t>
  </si>
  <si>
    <t>*  Note 19</t>
  </si>
  <si>
    <t>*  Note 20</t>
  </si>
  <si>
    <t>*  Note 21</t>
  </si>
  <si>
    <t>*  Note 22</t>
  </si>
  <si>
    <t>*  Note 23</t>
  </si>
  <si>
    <t>*  Note 24</t>
  </si>
  <si>
    <t>*  Note 25</t>
  </si>
  <si>
    <t>*  Note 26</t>
  </si>
  <si>
    <t>*  Note 27</t>
  </si>
  <si>
    <t>*  Note 28</t>
  </si>
  <si>
    <t>*  Note 29</t>
  </si>
  <si>
    <t>*  Note 30</t>
  </si>
  <si>
    <t>*  Note 31</t>
  </si>
  <si>
    <t>*  Note 32</t>
  </si>
  <si>
    <t>*  Note 33</t>
  </si>
  <si>
    <t>*  Note 34</t>
  </si>
  <si>
    <t>*  Note 35</t>
  </si>
  <si>
    <t>*  Note 36</t>
  </si>
  <si>
    <t>*  Note 37</t>
  </si>
  <si>
    <t>*  Note 38</t>
  </si>
  <si>
    <t>*  Note 39</t>
  </si>
  <si>
    <t>*  Note 40</t>
  </si>
  <si>
    <t>2008</t>
  </si>
  <si>
    <t>Provisions are reviewed at each reporting date and adjusted to reflect the current best estimate.</t>
  </si>
  <si>
    <t>A contingent asset is a possible asset that arises from past events and whose existence will be confirmed only by the occurrence or non-occurrence of one or more uncertain future events not wholly within the control of the municipality.  Contingent assets are not recognised as assets.</t>
  </si>
  <si>
    <t>A contingent liability is a possible obligation that arises from past events and whose existence will be confirmed only by the occurrence or non-occurrence of one or more uncertain future events not wholly within the control of the municipality or a present obligation that arises from past events but is not recognised because it is not probable that an outflow of resources embodying economic benefits will be required to settle the obligation or the amount of the obligation cannot be measured with sufficient reliability.  Contingent liabilities are not recognised as liabilities.</t>
  </si>
  <si>
    <t>Gains on disposal of property, plant &amp; equipment</t>
  </si>
  <si>
    <t>Explanations of significant variances greater than 10% versus budget</t>
  </si>
  <si>
    <t>Repairs &amp; maintenance</t>
  </si>
  <si>
    <t>Interest of external borrowings</t>
  </si>
  <si>
    <t>Bulk purchases : Electricity</t>
  </si>
  <si>
    <t>Grants &amp; subsidies paid</t>
  </si>
  <si>
    <t>General expenses</t>
  </si>
  <si>
    <t>Loss on disposal of property, plant &amp; equipment</t>
  </si>
  <si>
    <t>Contributions to/(transfers from) provisions</t>
  </si>
  <si>
    <t>APPENDIX F</t>
  </si>
  <si>
    <t>ACTUAL CAPITAL VERSUS BUDGET</t>
  </si>
  <si>
    <t>Acquisition of Property, Plant and Equipment</t>
  </si>
  <si>
    <t>Total Additions</t>
  </si>
  <si>
    <t>Explanations of significant variances greater than 5% versus budget</t>
  </si>
  <si>
    <t>EXECUTIVE &amp; COUNCIL</t>
  </si>
  <si>
    <t>022/440/1310</t>
  </si>
  <si>
    <t>022/440/1311</t>
  </si>
  <si>
    <t>022/440/1347</t>
  </si>
  <si>
    <t>022/440/1348</t>
  </si>
  <si>
    <t>022/440/1364</t>
  </si>
  <si>
    <t>022/440/1366</t>
  </si>
  <si>
    <t>022/440/1367</t>
  </si>
  <si>
    <t>Legal</t>
  </si>
  <si>
    <t>025/161/1299</t>
  </si>
  <si>
    <t>025/440/1071</t>
  </si>
  <si>
    <t>025/440/1301</t>
  </si>
  <si>
    <t>025/440/1308</t>
  </si>
  <si>
    <t>025/440/1310</t>
  </si>
  <si>
    <t>025/440/1333</t>
  </si>
  <si>
    <t>025/440/1334</t>
  </si>
  <si>
    <t>Collection</t>
  </si>
  <si>
    <t>025/440/1347</t>
  </si>
  <si>
    <t>025/440/1348</t>
  </si>
  <si>
    <t>025/440/1364</t>
  </si>
  <si>
    <t>025/440/1366</t>
  </si>
  <si>
    <t>025/440/1367</t>
  </si>
  <si>
    <t>860</t>
  </si>
  <si>
    <t>8601</t>
  </si>
  <si>
    <t>Shares in Entity</t>
  </si>
  <si>
    <t>9200</t>
  </si>
  <si>
    <t>Stock - consumable goods</t>
  </si>
  <si>
    <t>STOCK</t>
  </si>
  <si>
    <t>9421</t>
  </si>
  <si>
    <t>Debtors swe</t>
  </si>
  <si>
    <t>9422</t>
  </si>
  <si>
    <t>Debtors sundry</t>
  </si>
  <si>
    <t>9426</t>
  </si>
  <si>
    <t>Section 79(18) tariffs</t>
  </si>
  <si>
    <t>9457</t>
  </si>
  <si>
    <t>DEBTORS : CONSUMER</t>
  </si>
  <si>
    <t>941</t>
  </si>
  <si>
    <t>9438</t>
  </si>
  <si>
    <t>Short/Surplus banking</t>
  </si>
  <si>
    <t>9453</t>
  </si>
  <si>
    <t>Library lost books</t>
  </si>
  <si>
    <t>9455</t>
  </si>
  <si>
    <t>Municipal Improvement system</t>
  </si>
  <si>
    <t>9507</t>
  </si>
  <si>
    <t>CONDITIONAL GRANTS AND RECEIPTS</t>
  </si>
  <si>
    <t>UNAUTHORISED EXPENDITURE</t>
  </si>
  <si>
    <t>IRREGULAR EXPENDITURE</t>
  </si>
  <si>
    <t>FRUITLESS AND WASTEFUL EXPENDITURE</t>
  </si>
  <si>
    <t>COMPARATIVE INFORMATION</t>
  </si>
  <si>
    <t>RETIREMENT BENEFITS</t>
  </si>
  <si>
    <t xml:space="preserve">CONSUMER DEPOSITS </t>
  </si>
  <si>
    <t>BORROWING COSTS</t>
  </si>
  <si>
    <t>EVENTS AFTER BALANCE SHEET DATE</t>
  </si>
  <si>
    <t>VALUE ADDED TAX</t>
  </si>
  <si>
    <t>TAXATION</t>
  </si>
  <si>
    <t>CERTIFICATION AND APPROVAL</t>
  </si>
  <si>
    <t>BY THE ACCOUNTING OFFICER</t>
  </si>
  <si>
    <t>Votes</t>
  </si>
  <si>
    <t>Balance</t>
  </si>
  <si>
    <t>of</t>
  </si>
  <si>
    <t>No work had been done in terms of IAS 19 as of yet. Thus the full requirements and steps listed in the previous column must still be performed.</t>
  </si>
  <si>
    <t>(AC 116)</t>
  </si>
  <si>
    <t>IAS 20</t>
  </si>
  <si>
    <t xml:space="preserve">Accounting for government grants </t>
  </si>
  <si>
    <t>Entire standard excluding paragraphs 24 and 26, replaced by GAMAP 12.8, 17.25 and 9.42 – 46.</t>
  </si>
  <si>
    <t>IAS 36</t>
  </si>
  <si>
    <t>Impairment of assets</t>
  </si>
  <si>
    <t>(AC 128)</t>
  </si>
  <si>
    <t>IAS 38</t>
  </si>
  <si>
    <t>The entire standard except for the recognition, measurement and disclosure of computer software and website costs (SIC 32) and all other costs are expensed</t>
  </si>
  <si>
    <t>The following adjustments will need to be made to the AFS if intangible assets are accounted for in terms of IAS 38:</t>
  </si>
  <si>
    <t>(AC 129)</t>
  </si>
  <si>
    <t xml:space="preserve">Department </t>
  </si>
  <si>
    <t xml:space="preserve">Supplier </t>
  </si>
  <si>
    <t xml:space="preserve">Reason for deviation </t>
  </si>
  <si>
    <t>Appendix E is a summary of all budget variances with explanations for variances of more than 10% while the detail operating results per department are shown in Appendix D.</t>
  </si>
  <si>
    <t>Own CRR</t>
  </si>
  <si>
    <t>EFF</t>
  </si>
  <si>
    <t>MIG</t>
  </si>
  <si>
    <t>INEP</t>
  </si>
  <si>
    <t>NDM</t>
  </si>
  <si>
    <t>Finance Source</t>
  </si>
  <si>
    <t>Adjustment Budget</t>
  </si>
  <si>
    <t>Actual % of Adjustment Budget</t>
  </si>
  <si>
    <t>Housing Development Fund</t>
  </si>
  <si>
    <t>Capital Replacement Reserve</t>
  </si>
  <si>
    <t>Revaluation Reserve</t>
  </si>
  <si>
    <t>Accumulated Surplus/ (Deficit)</t>
  </si>
  <si>
    <t>Total</t>
  </si>
  <si>
    <t>STATEMENT OF CHANGES IN NET ASSETS</t>
  </si>
  <si>
    <t>CASH FLOW STATEMENT</t>
  </si>
  <si>
    <t>CASH FLOW FROM OPERATING ACTIVITIES</t>
  </si>
  <si>
    <t>Cash paid to suppliers and employees</t>
  </si>
  <si>
    <t>17.</t>
  </si>
  <si>
    <t>The Musina Local Municipality are exempted from tax in terms of Section 10(1)cB(i)(ff) of the Income Tax Act.</t>
  </si>
  <si>
    <t>GRAP 13 Leases</t>
  </si>
  <si>
    <t>GRAP 13, 14, 16, 18, 100, 101 and 102. The municipality adheres to the requirements of the comparable GAAP standards, if applicable, except for the exemptions adopted as set out below per standard.</t>
  </si>
  <si>
    <t>See adjustments required as per relevant sections of this document set out below.</t>
  </si>
  <si>
    <t>GRAP 14 Events After the Reporting Date</t>
  </si>
  <si>
    <t>GRAP 16 Investment Property</t>
  </si>
  <si>
    <t>GRAP 17 Property, plant and equipment</t>
  </si>
  <si>
    <t>GRAP 18 Segment Reporting</t>
  </si>
  <si>
    <t>GRAP 19 Provisions, Contingent Liabilities and Contingent Assets</t>
  </si>
  <si>
    <t>GRAP 100 Non Current assets held for sale</t>
  </si>
  <si>
    <t>GRAP 101 Agriculture</t>
  </si>
  <si>
    <t>GRAP 102 Intangible Assets</t>
  </si>
  <si>
    <t>Changes in accounting policies (GRAP 3.14, 19)</t>
  </si>
  <si>
    <t>No action plans are required. Where it is practicable to do so, all changes in accounting policy are dealt with by the municipality retrospectively and disclosed as such in accordance with the requirements of GRAP 3.</t>
  </si>
  <si>
    <t>No adjustments to the AFS are required.</t>
  </si>
  <si>
    <t>GAMAP 09</t>
  </si>
  <si>
    <t>Revenue</t>
  </si>
  <si>
    <t>Initial measurement of fair value; discounting all future receipts using an imputed rate of return (GAMAP 9.12 and SAICA circular 9/06)</t>
  </si>
  <si>
    <t>In terms of GAMAP 9 revenue is measured at the fair value of the consideration received. In most cases the consideration is in the form of cash or cash equivalents and the amount of revenue is the amount of cash or cash equivalents received or receivable.</t>
  </si>
  <si>
    <t>The municipality does not envisage entering into transactions where an interest free credit period is provided to the purchaser of services or goods form the municipality and therefore it is highly unlikely that the municipality will be faced with this type of transaction.</t>
  </si>
  <si>
    <t>GAMAP 12</t>
  </si>
  <si>
    <t>Inventories</t>
  </si>
  <si>
    <t>The entire standard as far as it relates to immovable capital assets inventory that is accounted for in terms of GAMAP17.</t>
  </si>
  <si>
    <t>Currently the municipality does have land and buildings that will be sold within the next twelve months as inventories. No implementation plan needs to be executed to ensure compliance with GAMAP 12.</t>
  </si>
  <si>
    <t>No adjustments will need to be made to the AFS to comply with accounting for inventories land and buildings in terms of GAMAP 12:</t>
  </si>
  <si>
    <t>The entire standard as far as it relates to water stock that was not purchased by the municipality.</t>
  </si>
  <si>
    <t>N/A</t>
  </si>
  <si>
    <t>The municipality does not provide water service.</t>
  </si>
  <si>
    <t>The following adjustments will need to be made to the AFS to comply with accounting for purified water in terms of GAMAP 12:</t>
  </si>
  <si>
    <t>None</t>
  </si>
  <si>
    <t>GAMAP 17</t>
  </si>
  <si>
    <t>Review of useful life of items of PPE recognised in the annual financial statements (GAMAP 17.69 – 71, 77)</t>
  </si>
  <si>
    <t>The following adjustments will need to be made to the AFS if the review of useful lives of PPE result in a change in estimate.</t>
  </si>
  <si>
    <t>Review of depreciation method applied to PPE recognised in the annual financial statements(GAMAP 17.62, 77)</t>
  </si>
  <si>
    <t>The following adjustments will need to be made to the AFS if the review of depreciation methods of PPE results in a change in estimate.</t>
  </si>
  <si>
    <t>Impairment of non-cash generating assets (GAMAP 17.64 – 69, 75(e)(v) - (vi))</t>
  </si>
  <si>
    <t>The following adjustments will need to be made to the AFS if impairment losses are calculated and disclosed for the first time:</t>
  </si>
  <si>
    <t>Impairment of cash generating assets (GAMAP 17.63, 75(e)(v) – (vi))</t>
  </si>
  <si>
    <t>Calculate and record impairment losses by determining the difference between the asset’s carrying amount and its recoverable (service) amount where the recoverable amount is less than the asset’s carrying amount.</t>
  </si>
  <si>
    <t>IAS 11</t>
  </si>
  <si>
    <t>Construction contracts</t>
  </si>
  <si>
    <t>Entire standard</t>
  </si>
  <si>
    <t>The municipality does not enter into construction contracts, where assets are constructed with the purpose of realising a profit on construction activities. Therefore it is estimated that the application of IAS 11 by the municipality will not be necessary, as the municipality does not enter into transactions accounted for in terms of IAS 11.</t>
  </si>
  <si>
    <t>AC 109</t>
  </si>
  <si>
    <t>IAS 14</t>
  </si>
  <si>
    <t>Segment reporting</t>
  </si>
  <si>
    <t>The AFS will have to be adjusted to ensure that the disclosure requirements of IAS 14.51 to .67 relating to segment information are met.</t>
  </si>
  <si>
    <t>AC 115</t>
  </si>
  <si>
    <t>The primary reporting format requires inter alia, disclosure of:</t>
  </si>
  <si>
    <t>All the applicable sections regarding the disclosure requirements relating to Financial Instruments as set out in IFRS 7 are adhered to by the municipality, as IAS 32 includes the relevant disclosures that is required by IFRS 7.</t>
  </si>
  <si>
    <t>(AC 144)</t>
  </si>
  <si>
    <t>When the outcome of a transaction can be estimated reliably relating to the rendering of a service, revenue associated with the transaction shall be recognised by reference to the stage of completion of the transaction at the reporting date.</t>
  </si>
  <si>
    <t>The outcome of the transaction can be measured reliably when all of the following conditions are satisfied:</t>
  </si>
  <si>
    <t>This principle also applies to tariffs or charges.</t>
  </si>
  <si>
    <t>When the outcome of the transaction involving the rendering of services cannot be estimated reliably, revenue shall be recognised only to the extent of the expenses that are recoverable.</t>
  </si>
  <si>
    <t>Sale of goods</t>
  </si>
  <si>
    <t>Revenue from the sale of goods shall be recognised when all the following conditions have been satisfied:</t>
  </si>
  <si>
    <t>Loans and receivables are classified as “trade and other receivables” in the Statement of Financial Position.</t>
  </si>
  <si>
    <t>Donations are recognised on a cash receipt basis or where the donation is in the form of property, plant and equipment are brought into use.</t>
  </si>
  <si>
    <t>Revenue from public contributions is recognised when all conditions have been met or where the contribution to property, plant and equipment is recognised when such items of property, plant and equipment are brought into use.</t>
  </si>
  <si>
    <t>Where public contributions have been received but the conditions were not met, a liability is recognised.</t>
  </si>
  <si>
    <t>Levies</t>
  </si>
  <si>
    <t>Levies shall be recognised as revenue when:</t>
  </si>
  <si>
    <t>Interest, royalties and dividends</t>
  </si>
  <si>
    <t>Revenue arising from the use of assets by others of the municipal assets yielding interest royalties and dividends shall be recognised when:</t>
  </si>
  <si>
    <t>Interest shall be recognised on a time proportionate basis that takes into account the effective yield on the asset;</t>
  </si>
  <si>
    <t>Assessment rates income is recognised once a rates account has been issued to ratepayers.  Adjustments or interim rates are recognised once the municipal valuer has valued the change to properties.</t>
  </si>
  <si>
    <t>Service charges</t>
  </si>
  <si>
    <t>Flat rate service charges and consumption-based service charges shall be recognised when:</t>
  </si>
  <si>
    <t xml:space="preserve">Service charges relating to electricity and water are based on consumption. Meters are read on a monthly basis and are recognised as revenue when invoiced.  Provisional estimates of consumptions are made monthly when meter readings have not been performed and are recognised as revenue when invoiced.  Adjustments to provisional estimates of consumption are made in the invoicing period in which meters have been read.  </t>
  </si>
  <si>
    <t>Revenue from the sale of electricity prepaid meter credit is recognised at the point of sale.</t>
  </si>
  <si>
    <t>Based on the decision of the entity whether business or geographical segments are the primary reporting format, the secondary reporting format requirements as set out in IAS 14 will also need to be disclosed in the AFS.</t>
  </si>
  <si>
    <t>IAS17</t>
  </si>
  <si>
    <t>Recognising operating lease payments / receipts on a straight-line basis if the amounts are recognised on the basis of the cash flows in the lease agreement (IAS 17.33 – 34 and 50 – 51 and SAICA circular 12/06.8 – 11)</t>
  </si>
  <si>
    <t>The following adjustments will need to be made to the AFS if operating lease payments are straight lined as opposed to accounting for them based on cash flows:</t>
  </si>
  <si>
    <t>AC 105</t>
  </si>
  <si>
    <t>825/825/8410</t>
  </si>
  <si>
    <t>825/825/8415</t>
  </si>
  <si>
    <t>aerot</t>
  </si>
  <si>
    <t>825/825/8420</t>
  </si>
  <si>
    <t>825/825/8425</t>
  </si>
  <si>
    <t>825/825/8426</t>
  </si>
  <si>
    <t>BUILDING</t>
  </si>
  <si>
    <t>PHA</t>
  </si>
  <si>
    <t>825/825/8427</t>
  </si>
  <si>
    <t>825/825/8431</t>
  </si>
  <si>
    <t>(Civic</t>
  </si>
  <si>
    <t>835/835/8500</t>
  </si>
  <si>
    <t>835/836/8505</t>
  </si>
  <si>
    <t>840/840/8200</t>
  </si>
  <si>
    <t>840/840/8204</t>
  </si>
  <si>
    <t>840/840/8205</t>
  </si>
  <si>
    <t>Investments held-to-maturity</t>
  </si>
  <si>
    <t>Directly attributable costs include the following:</t>
  </si>
  <si>
    <t>Cost of site preparation.</t>
  </si>
  <si>
    <t>Initial delivery and handling costs.</t>
  </si>
  <si>
    <t>Installation cost.</t>
  </si>
  <si>
    <t>Professional fees.</t>
  </si>
  <si>
    <t>Estimated cost of dismantling the asset.</t>
  </si>
  <si>
    <t xml:space="preserve">The cost of an item of property, plant and equipment acquired in exchange for a non-monetary asset or monetary assets, or a combination of monetary and non-monetary assets was measured at its fair value.  If the acquired item could not be measured at its fair value, its cost was measured at the carrying amount of the asset given up.  </t>
  </si>
  <si>
    <t>Subsequent expenditure is capitalised when the recognition and measurement criteria of an asset are met.  If expenditure only restores the originally best estimate of the expected useful life of the asset, then it is regarded as repairs and maintenance and is expensed.</t>
  </si>
  <si>
    <t>Where an item of property, plant and equipment is acquired at no cost, it is initially recognised at its fair value as at the date of acquisition.</t>
  </si>
  <si>
    <t xml:space="preserve">The gain or loss arising on the disposal or retirement of an item of property, plant and equipment is determined as the difference between the sales proceeds and the carrying value and is recognised in the Statement of Financial Performance. </t>
  </si>
  <si>
    <t>Residual value</t>
  </si>
  <si>
    <t>The residual value of an asset is determined as the estimate amount that could currently be obtained from the disposal of the asset.  The residual values of assets are reviewed at each financial year end.</t>
  </si>
  <si>
    <t>Depreciation is calculated at historical cost, using the straight-line method over the useful lives of the asset.  Assets will be depreciated according to their annual depreciation rates based on the following estimated asset lives:</t>
  </si>
  <si>
    <t>Land is not depreciated as it is regarded as having an infinite life.</t>
  </si>
  <si>
    <t>Study donations</t>
  </si>
  <si>
    <t>Long term long service</t>
  </si>
  <si>
    <t>Municipal Golf day</t>
  </si>
  <si>
    <t>IEC Voters Education</t>
  </si>
  <si>
    <t>Transferred to Non-current provision: Long Service</t>
  </si>
  <si>
    <t>A list of possible asset claims where outcome was unknown at year end</t>
  </si>
  <si>
    <t>Cleanest Town Competition</t>
  </si>
  <si>
    <t>Amount (VAT incl) R</t>
  </si>
  <si>
    <t>845/846/8625</t>
  </si>
  <si>
    <t>CLAIM</t>
  </si>
  <si>
    <t>845/846/8626</t>
  </si>
  <si>
    <t>845/846/8627</t>
  </si>
  <si>
    <t>C</t>
  </si>
  <si>
    <t>845/846/8628</t>
  </si>
  <si>
    <t>845/846/8629</t>
  </si>
  <si>
    <t>845/846/8630</t>
  </si>
  <si>
    <t>PROJ</t>
  </si>
  <si>
    <t>845/846/8631</t>
  </si>
  <si>
    <t>845/846/8635</t>
  </si>
  <si>
    <t>NANCEFIELD</t>
  </si>
  <si>
    <t>845/846/8636</t>
  </si>
  <si>
    <t>INFRAST</t>
  </si>
  <si>
    <t>875/875/8985</t>
  </si>
  <si>
    <t>Shares</t>
  </si>
  <si>
    <t>875/875/8991</t>
  </si>
  <si>
    <t>875/875/8992</t>
  </si>
  <si>
    <t>875/875/8993</t>
  </si>
  <si>
    <t>875/875/8994</t>
  </si>
  <si>
    <t>875/875/8995</t>
  </si>
  <si>
    <t>875/875/8996</t>
  </si>
  <si>
    <t>875/875/8997</t>
  </si>
  <si>
    <t>call</t>
  </si>
  <si>
    <t>875/875/8998</t>
  </si>
  <si>
    <t>875/875/8999</t>
  </si>
  <si>
    <t>875/875/9000</t>
  </si>
  <si>
    <t>880/880/8025</t>
  </si>
  <si>
    <t>Trading</t>
  </si>
  <si>
    <t>880/880/8029</t>
  </si>
  <si>
    <t>883/883/8380</t>
  </si>
  <si>
    <t>Sh</t>
  </si>
  <si>
    <t>883/883/8604</t>
  </si>
  <si>
    <t>883/883/8650</t>
  </si>
  <si>
    <t>883/883/8830</t>
  </si>
  <si>
    <t>Festival</t>
  </si>
  <si>
    <t>883/883/8835</t>
  </si>
  <si>
    <t>883/883/8840</t>
  </si>
  <si>
    <t>883/883/8855</t>
  </si>
  <si>
    <t>883/883/8865</t>
  </si>
  <si>
    <t>Celebrat</t>
  </si>
  <si>
    <t>883/883/8866</t>
  </si>
  <si>
    <t>883/883/8867</t>
  </si>
  <si>
    <t>ERIC</t>
  </si>
  <si>
    <t>HI</t>
  </si>
  <si>
    <t>883/883/8868</t>
  </si>
  <si>
    <t>RIXILE</t>
  </si>
  <si>
    <t>883/883/8869</t>
  </si>
  <si>
    <t>BONWA</t>
  </si>
  <si>
    <t>PR</t>
  </si>
  <si>
    <t>883/883/8870</t>
  </si>
  <si>
    <t>MAKUSHU</t>
  </si>
  <si>
    <t>883/883/8871</t>
  </si>
  <si>
    <t>883/883/8872</t>
  </si>
  <si>
    <t>MARTIN</t>
  </si>
  <si>
    <t>PO</t>
  </si>
  <si>
    <t>883/883/8873</t>
  </si>
  <si>
    <t>MALALE</t>
  </si>
  <si>
    <t>883/883/8874</t>
  </si>
  <si>
    <t>MADIMBO</t>
  </si>
  <si>
    <t>883/883/8875</t>
  </si>
  <si>
    <t>MAROI</t>
  </si>
  <si>
    <t>883/883/8876</t>
  </si>
  <si>
    <t>DOREEN</t>
  </si>
  <si>
    <t>883/883/8877</t>
  </si>
  <si>
    <t>KRANENBERG</t>
  </si>
  <si>
    <t>883/883/8878</t>
  </si>
  <si>
    <t>RAMANA</t>
  </si>
  <si>
    <t>883/883/8879</t>
  </si>
  <si>
    <t>MAPANI</t>
  </si>
  <si>
    <t>883/883/8880</t>
  </si>
  <si>
    <t>STADIUM</t>
  </si>
  <si>
    <t>883/883/8881</t>
  </si>
  <si>
    <t>883/883/8882</t>
  </si>
  <si>
    <t>883/883/8883</t>
  </si>
  <si>
    <t>Creditor</t>
  </si>
  <si>
    <t>883/883/8884</t>
  </si>
  <si>
    <t>Beers</t>
  </si>
  <si>
    <t>Cleanin</t>
  </si>
  <si>
    <t>883/883/8885</t>
  </si>
  <si>
    <t>883/884/8170</t>
  </si>
  <si>
    <t>883/884/8603</t>
  </si>
  <si>
    <t>883/884/8702</t>
  </si>
  <si>
    <t>controle</t>
  </si>
  <si>
    <t>889/889/8435</t>
  </si>
  <si>
    <t>889/889/8440</t>
  </si>
  <si>
    <t>889/889/8445</t>
  </si>
  <si>
    <t>out</t>
  </si>
  <si>
    <t>889/889/8450</t>
  </si>
  <si>
    <t>889/889/8455</t>
  </si>
  <si>
    <t>Loans</t>
  </si>
  <si>
    <t>Repayment</t>
  </si>
  <si>
    <t>889/889/8460</t>
  </si>
  <si>
    <t>889/889/8465</t>
  </si>
  <si>
    <t>Contributio</t>
  </si>
  <si>
    <t>889/889/8470</t>
  </si>
  <si>
    <t>889/889/8475</t>
  </si>
  <si>
    <t>891/891/4050</t>
  </si>
  <si>
    <t>891/891/8130</t>
  </si>
  <si>
    <t>79(18)</t>
  </si>
  <si>
    <t>891/891/8135</t>
  </si>
  <si>
    <t>sale</t>
  </si>
  <si>
    <t>st</t>
  </si>
  <si>
    <t>891/891/8140</t>
  </si>
  <si>
    <t>891/891/8910</t>
  </si>
  <si>
    <t>Over/Unde</t>
  </si>
  <si>
    <t>891/892/0180</t>
  </si>
  <si>
    <t>Cheque</t>
  </si>
  <si>
    <t>891/892/1380</t>
  </si>
  <si>
    <t>891/892/1385</t>
  </si>
  <si>
    <t>891/892/1390</t>
  </si>
  <si>
    <t>ACC</t>
  </si>
  <si>
    <t>891/892/8140</t>
  </si>
  <si>
    <t>District</t>
  </si>
  <si>
    <t>891/892/8145</t>
  </si>
  <si>
    <t>Lost</t>
  </si>
  <si>
    <t>891/892/8146</t>
  </si>
  <si>
    <t>ACCOUNT</t>
  </si>
  <si>
    <t>Cash</t>
  </si>
  <si>
    <t>899/899/7000</t>
  </si>
  <si>
    <t>(Nanc</t>
  </si>
  <si>
    <t>899/899/8000</t>
  </si>
  <si>
    <t>(MLM</t>
  </si>
  <si>
    <t>ARTS</t>
  </si>
  <si>
    <t>899/899/8975</t>
  </si>
  <si>
    <t>899/899/8999</t>
  </si>
  <si>
    <t>TABLE</t>
  </si>
  <si>
    <t>900/900/9000</t>
  </si>
  <si>
    <t>CONTROL</t>
  </si>
  <si>
    <t>STORES</t>
  </si>
  <si>
    <t>901/901/9001</t>
  </si>
  <si>
    <t>PURCHASES</t>
  </si>
  <si>
    <t>902/902/9002</t>
  </si>
  <si>
    <t>902/902/9003</t>
  </si>
  <si>
    <t>PURCHAS</t>
  </si>
  <si>
    <t>902/902/9025</t>
  </si>
  <si>
    <t>ISSUES</t>
  </si>
  <si>
    <t>903/903/9003</t>
  </si>
  <si>
    <t>OVER/UNDER</t>
  </si>
  <si>
    <t>904/904/9004</t>
  </si>
  <si>
    <t>PAYABLE</t>
  </si>
  <si>
    <t>905/905/9005</t>
  </si>
  <si>
    <t>906/906/9006</t>
  </si>
  <si>
    <t>TAX</t>
  </si>
  <si>
    <t>907/907/9007</t>
  </si>
  <si>
    <t>Municipal Infrastructure Grant (MIG)</t>
  </si>
  <si>
    <t>Public Contribution Reserve</t>
  </si>
  <si>
    <t>Non current Provision : Longservice</t>
  </si>
  <si>
    <t xml:space="preserve">LEASE COMPUTERS </t>
  </si>
  <si>
    <t>Advance payment pre-paid</t>
  </si>
  <si>
    <t>Toilelet Nancefield Ext 7</t>
  </si>
  <si>
    <t>Infrastructure Assets</t>
  </si>
  <si>
    <t>Revaluation - Assets</t>
  </si>
  <si>
    <t>LEASE XEROX</t>
  </si>
  <si>
    <t>Business</t>
  </si>
  <si>
    <t>Right of way</t>
  </si>
  <si>
    <t>Public Open  Spaces</t>
  </si>
  <si>
    <t>Educational</t>
  </si>
  <si>
    <t>Churches</t>
  </si>
  <si>
    <t>Institutional</t>
  </si>
  <si>
    <t>UNSPEND CONDITIONAL GRANTS FROM GOVERNMENT</t>
  </si>
  <si>
    <t>066/380/1111</t>
  </si>
  <si>
    <t xml:space="preserve">BY THE MUNICIPAL MANAGER </t>
  </si>
  <si>
    <t>ON COUNCILLORS’ REMUNERATION</t>
  </si>
  <si>
    <t>MUNICIPAL MANAGER</t>
  </si>
  <si>
    <t>Local government stock</t>
  </si>
  <si>
    <t>Annuity loan</t>
  </si>
  <si>
    <t>Lease liability</t>
  </si>
  <si>
    <t>External loan cost</t>
  </si>
  <si>
    <t>BULK PURCHASES</t>
  </si>
  <si>
    <t>Electricity losses</t>
  </si>
  <si>
    <t>GRANT AND SUBSIDIES PAID</t>
  </si>
  <si>
    <t>Disclosure in terms of the MFMA, 2003, Section 123(I)(b).</t>
  </si>
  <si>
    <t>CORRECTION OF ERROR</t>
  </si>
  <si>
    <t>Correction on depreciation</t>
  </si>
  <si>
    <t>CASH GENERATED FROM/(UTILISED IN) OPERATIONS</t>
  </si>
  <si>
    <t>Depreciation charges</t>
  </si>
  <si>
    <t>Contributions to bad debt</t>
  </si>
  <si>
    <t>Non-operating income</t>
  </si>
  <si>
    <t>Non-operating expenditure</t>
  </si>
  <si>
    <t>Operating surplus before working capital changes</t>
  </si>
  <si>
    <t>(Increase)/decrease in inventories</t>
  </si>
  <si>
    <t>(Increase)/decrease in debtors</t>
  </si>
  <si>
    <t>(Increase)/decrease in other debtors</t>
  </si>
  <si>
    <t>Increase/(decrease) in creditors</t>
  </si>
  <si>
    <t>Cash generated by operations</t>
  </si>
  <si>
    <t>UTILISATION OF LONG TERM LIABILITIES RECONCILIATION</t>
  </si>
  <si>
    <t>Used to finance property, plant and equipment at cost</t>
  </si>
  <si>
    <t>Cash set aside for the acquiring of property, plant &amp; equipment</t>
  </si>
  <si>
    <t>Cash invested for the repayment of long term liabilities</t>
  </si>
  <si>
    <t>Commitments in respect of capital expenditure:</t>
  </si>
  <si>
    <t>Approved and contracted for</t>
  </si>
  <si>
    <t>Infrastructure</t>
  </si>
  <si>
    <t>Community assets</t>
  </si>
  <si>
    <t>082/161/1300</t>
  </si>
  <si>
    <t>082/380/1111</t>
  </si>
  <si>
    <t>082/380/1215</t>
  </si>
  <si>
    <t>082/390/1231</t>
  </si>
  <si>
    <t>082/400/1241</t>
  </si>
  <si>
    <t>a)      Defined contribution plans</t>
  </si>
  <si>
    <t>BASIS OF PRESENTATION</t>
  </si>
  <si>
    <t>GRAP 1: Presentation of financial statements.</t>
  </si>
  <si>
    <t>GRAP 2: Cash flow statements.</t>
  </si>
  <si>
    <t>GRAP 3: Accounting policies, changes in accounting estimates and errors.</t>
  </si>
  <si>
    <t>GOING CONCERN ASSUMPTION</t>
  </si>
  <si>
    <t xml:space="preserve"> INTANGIBLE ASSETS</t>
  </si>
  <si>
    <t>1.10</t>
  </si>
  <si>
    <t>FINANCIAL INSTRUMENTS</t>
  </si>
  <si>
    <t>1.11</t>
  </si>
  <si>
    <t xml:space="preserve"> INVENTORY</t>
  </si>
  <si>
    <t>1.12</t>
  </si>
  <si>
    <t>TRADE CREDITORS</t>
  </si>
  <si>
    <t>REVENUE RECOGNITION</t>
  </si>
  <si>
    <t>This grant was used to construct basic municipal infrastructure to provide basic services for the benefit of poor households.  Other than the unspent amount, the conditions of the grant were met and no funds have been withheld.</t>
  </si>
  <si>
    <t>Integrated National Electrification Grant (INEP)</t>
  </si>
  <si>
    <t>This grant was used to address the electrification backlog of permanently occupied residential dwellings.  The conditions of the grant were met and no funds have been withheld.</t>
  </si>
  <si>
    <t>820/821/8302</t>
  </si>
  <si>
    <t>820/821/8303</t>
  </si>
  <si>
    <t>820/821/8304</t>
  </si>
  <si>
    <t>820/821/8305</t>
  </si>
  <si>
    <t>820/821/8306</t>
  </si>
  <si>
    <t>820/821/8307</t>
  </si>
  <si>
    <t>820/821/8308</t>
  </si>
  <si>
    <t>820/821/8309</t>
  </si>
  <si>
    <t>Mine</t>
  </si>
  <si>
    <t>820/821/8313</t>
  </si>
  <si>
    <t>820/821/8314</t>
  </si>
  <si>
    <t>820/821/8315</t>
  </si>
  <si>
    <t>820/821/8316</t>
  </si>
  <si>
    <t>820/821/8317</t>
  </si>
  <si>
    <t>820/821/8318</t>
  </si>
  <si>
    <t>820/821/8319</t>
  </si>
  <si>
    <t>820/821/8320</t>
  </si>
  <si>
    <t>820/821/8325</t>
  </si>
  <si>
    <t>Mynwerkers</t>
  </si>
  <si>
    <t>820/821/8350</t>
  </si>
  <si>
    <t>820/821/8351</t>
  </si>
  <si>
    <t>820/821/8352</t>
  </si>
  <si>
    <t>820/821/8354</t>
  </si>
  <si>
    <t>820/821/8355</t>
  </si>
  <si>
    <t>820/821/8356</t>
  </si>
  <si>
    <t>820/821/8357</t>
  </si>
  <si>
    <t>820/821/8358</t>
  </si>
  <si>
    <t>820/821/8360</t>
  </si>
  <si>
    <t>820/821/8361</t>
  </si>
  <si>
    <t>ext</t>
  </si>
  <si>
    <t>AN LURULI</t>
  </si>
  <si>
    <t>Roads, pavements, bridges and storm water</t>
  </si>
  <si>
    <t xml:space="preserve">Street names, signs and parking meters                                                                        </t>
  </si>
  <si>
    <t xml:space="preserve">Car parks, bus terminals and taxi ranks                                                                        </t>
  </si>
  <si>
    <t xml:space="preserve">Electricity reticulation                                                                                                     </t>
  </si>
  <si>
    <t xml:space="preserve">Electricity meters                                                                                                             </t>
  </si>
  <si>
    <t xml:space="preserve">Housing                                                                                                                              </t>
  </si>
  <si>
    <t xml:space="preserve">Street lighting                                                                                                                   </t>
  </si>
  <si>
    <t xml:space="preserve">Refuse sites                                                                                                                 </t>
  </si>
  <si>
    <t xml:space="preserve">Parks and gardens                                                                                                      </t>
  </si>
  <si>
    <t xml:space="preserve">Sport fields                                                                                                                  </t>
  </si>
  <si>
    <t xml:space="preserve">Infrastructure Assets                                                                                                       </t>
  </si>
  <si>
    <t xml:space="preserve">Community Assets                                                                                                        </t>
  </si>
  <si>
    <t xml:space="preserve">Other Assets                                                                                                               </t>
  </si>
  <si>
    <t xml:space="preserve">Community halls                                                                                                            </t>
  </si>
  <si>
    <t xml:space="preserve">Libraries                                                                                                                        </t>
  </si>
  <si>
    <t>Disclosure of the fair value of investment property if the cost model is applied and where the municipality has recognised the investment property in terms of this standard (IAS 40.79(e)(i) – (iii))</t>
  </si>
  <si>
    <t>IFRS 3</t>
  </si>
  <si>
    <t>Business combinations</t>
  </si>
  <si>
    <t>The municipality does not have this type of transactions.</t>
  </si>
  <si>
    <t>(AC 140)</t>
  </si>
  <si>
    <t>IFRS 5</t>
  </si>
  <si>
    <t>Non-current assets held for sale and discontinued operations</t>
  </si>
  <si>
    <t>Classification, measurement and disclosure of non-current assets held for sale (IFRS 5.6 – 29 (in so far as it relates to non-current assets held for sale) and 38 – 42)</t>
  </si>
  <si>
    <t>Finance income from sold housing by way of instalment sales agreements is recognised on a time proportion basis.</t>
  </si>
  <si>
    <t xml:space="preserve">Revenue from the sale of erven is recognised when all conditions associated with the deed of sale have been met. </t>
  </si>
  <si>
    <t>Rates, including collection charges and penalty interest</t>
  </si>
  <si>
    <t>Revenue from rates including collection charges and penalty interest, shall be recognised when all the following conditions have been satisfied:</t>
  </si>
  <si>
    <t>Statutory Funds &amp; Reserves</t>
  </si>
  <si>
    <t>Auction income - Sale of Stands</t>
  </si>
  <si>
    <t>National Treasury</t>
  </si>
  <si>
    <t>Provision Long Service</t>
  </si>
  <si>
    <t>These annual financial statements are presented in South African Rand and are rounded to the nearest Rand.</t>
  </si>
  <si>
    <t>These annual financial statements have been prepared on a going concern basis.</t>
  </si>
  <si>
    <t>OTHER ASSETS</t>
  </si>
  <si>
    <t>Plant &amp; equipment</t>
  </si>
  <si>
    <t>Office equipment</t>
  </si>
  <si>
    <t>Fire</t>
  </si>
  <si>
    <t>TOTAL</t>
  </si>
  <si>
    <t>Carrying Value</t>
  </si>
  <si>
    <t>Opening Balance</t>
  </si>
  <si>
    <t xml:space="preserve"> Additions/ Transfers</t>
  </si>
  <si>
    <t>debts</t>
  </si>
  <si>
    <t>840/840/8210</t>
  </si>
  <si>
    <t>845/845/8430</t>
  </si>
  <si>
    <t>845/845/8606</t>
  </si>
  <si>
    <t>consumer</t>
  </si>
  <si>
    <t>845/846/8602</t>
  </si>
  <si>
    <t>funds</t>
  </si>
  <si>
    <t>845/846/8603</t>
  </si>
  <si>
    <t>not</t>
  </si>
  <si>
    <t>845/846/8604</t>
  </si>
  <si>
    <t>conserva</t>
  </si>
  <si>
    <t>845/846/8605</t>
  </si>
  <si>
    <t>Developm</t>
  </si>
  <si>
    <t>845/846/8608</t>
  </si>
  <si>
    <t>wate</t>
  </si>
  <si>
    <t>845/846/8609</t>
  </si>
  <si>
    <t>system</t>
  </si>
  <si>
    <t>845/846/8610</t>
  </si>
  <si>
    <t>grant</t>
  </si>
  <si>
    <t>845/846/8611</t>
  </si>
  <si>
    <t>income</t>
  </si>
  <si>
    <t>845/846/8613</t>
  </si>
  <si>
    <t>845/846/8615</t>
  </si>
  <si>
    <t>beers</t>
  </si>
  <si>
    <t>845/846/8616</t>
  </si>
  <si>
    <t>road</t>
  </si>
  <si>
    <t>845/846/8617</t>
  </si>
  <si>
    <t>pr</t>
  </si>
  <si>
    <t>845/846/8618</t>
  </si>
  <si>
    <t>cattle</t>
  </si>
  <si>
    <t>845/846/8619</t>
  </si>
  <si>
    <t>Man</t>
  </si>
  <si>
    <t>845/846/8620</t>
  </si>
  <si>
    <t>cemetary</t>
  </si>
  <si>
    <t>845/846/8621</t>
  </si>
  <si>
    <t>Transport</t>
  </si>
  <si>
    <t>845/846/8622</t>
  </si>
  <si>
    <t>845/846/8623</t>
  </si>
  <si>
    <t>845/846/8624</t>
  </si>
  <si>
    <t>Carrying values at 30 June 2008</t>
  </si>
  <si>
    <t>30 June 2008</t>
  </si>
  <si>
    <t>2007/2008</t>
  </si>
  <si>
    <t xml:space="preserve"> Total 30 June 2008</t>
  </si>
  <si>
    <t xml:space="preserve"> days</t>
  </si>
  <si>
    <t>During 2007</t>
  </si>
  <si>
    <t>Transferred to Accumulated Surplus (see 38.6 below)</t>
  </si>
  <si>
    <t>Total (debited to Accumulated Surplus) (see 38.6 below)</t>
  </si>
  <si>
    <t>Transferred from Statutory Funds (see 38.1 above)</t>
  </si>
  <si>
    <t>Assets not meeting the  criteria (see 38.3 above)</t>
  </si>
  <si>
    <t>Backlog depreciation (see 38.4 above)</t>
  </si>
  <si>
    <t>Current Provisions (see 38.5 above)</t>
  </si>
  <si>
    <t>Pay as You Earn (PAYE)</t>
  </si>
  <si>
    <t>Current payroll deductions</t>
  </si>
  <si>
    <t>Balance unpaid</t>
  </si>
  <si>
    <t>Unemployment Insurance Fund (UIF)</t>
  </si>
  <si>
    <t>Medical Aid</t>
  </si>
  <si>
    <t>Pension Fund</t>
  </si>
  <si>
    <t xml:space="preserve">                                                                                                                     </t>
  </si>
  <si>
    <t>Disclosure concerning councilors</t>
  </si>
  <si>
    <t>Section 124(1)(b)</t>
  </si>
  <si>
    <t>The following councillors had arrear accounts outstanding for more than 90 days as at 30 June 2007:</t>
  </si>
  <si>
    <t>During the year the following councillors had arrear accounts outstanding for more than 90 days:</t>
  </si>
  <si>
    <t>Outstanding more than 90 days</t>
  </si>
  <si>
    <t>Outstanding less than 90 days</t>
  </si>
  <si>
    <t>Highest amount outstanding</t>
  </si>
  <si>
    <t>Ageing</t>
  </si>
  <si>
    <t>In terms of this section, any arrears by individual councillors to the municipality for rates and services, which at any time during the relevant financial year was outstanding for more than 90 days, including the names of those councillors must be disclosed.</t>
  </si>
  <si>
    <t>Section 64(3)</t>
  </si>
  <si>
    <t>Outstanding consumer accounts</t>
  </si>
  <si>
    <t>Government institutions</t>
  </si>
  <si>
    <t>Other government institutions</t>
  </si>
  <si>
    <t>Department of Public Works (Other)</t>
  </si>
  <si>
    <t>Department of Education &amp; Schools</t>
  </si>
  <si>
    <t>In terms of the section, National Treasury was informed of the arrear accounts of schools for periods of more than 30 days.</t>
  </si>
  <si>
    <t>Arrear</t>
  </si>
  <si>
    <t>Current</t>
  </si>
  <si>
    <t xml:space="preserve"> Arrear</t>
  </si>
  <si>
    <t>INVESTMENT PROPERTY</t>
  </si>
  <si>
    <t>Property at cost</t>
  </si>
  <si>
    <t>Additions</t>
  </si>
  <si>
    <t>Transferred to PPE</t>
  </si>
  <si>
    <t>Main services contributions</t>
  </si>
  <si>
    <t>Interest received : External investments</t>
  </si>
  <si>
    <t>Plus</t>
  </si>
  <si>
    <t>Capitalisation Reserve</t>
  </si>
  <si>
    <t>Government Grant Reserve</t>
  </si>
  <si>
    <t>Contribution to Insurance Reserve</t>
  </si>
  <si>
    <t>Donated contributions utilised for PPE</t>
  </si>
  <si>
    <t>Government grants utilized for PPE</t>
  </si>
  <si>
    <t>Actual operating surplus</t>
  </si>
  <si>
    <t>Budgeted operating surplus</t>
  </si>
  <si>
    <t>Favourable deviation</t>
  </si>
  <si>
    <t>Current account (primary bank account)</t>
  </si>
  <si>
    <t>Bank statement balance at beginning of year</t>
  </si>
  <si>
    <t>Bank statement balance at end of year</t>
  </si>
  <si>
    <t>Cash book balance at beginning of year</t>
  </si>
  <si>
    <t>Increase/(decrease) in cash book balance</t>
  </si>
  <si>
    <t>Cash book balance at end of year</t>
  </si>
  <si>
    <t>Disclosure in terms of the MFMA, 2003, Section 125(2)(a).</t>
  </si>
  <si>
    <t>PROPERTY RATES</t>
  </si>
  <si>
    <t>Residential</t>
  </si>
  <si>
    <t>Commercial</t>
  </si>
  <si>
    <t>Exempted</t>
  </si>
  <si>
    <t>Government</t>
  </si>
  <si>
    <t>VALUATIONS</t>
  </si>
  <si>
    <t>SERVICE CHARGES</t>
  </si>
  <si>
    <t>Sale of electricity</t>
  </si>
  <si>
    <t>Refuse removal</t>
  </si>
  <si>
    <t>Total service charges</t>
  </si>
  <si>
    <t>GOVERNMENT SUBSIDIES &amp; GRANTS</t>
  </si>
  <si>
    <t>Operating Grants</t>
  </si>
  <si>
    <t>Equitable share</t>
  </si>
  <si>
    <t>Finance management grant (FMG)</t>
  </si>
  <si>
    <t>Local government capacity building grant</t>
  </si>
  <si>
    <t>Municipal systems improvement grant (MSIG)</t>
  </si>
  <si>
    <t>Capital Grants</t>
  </si>
  <si>
    <t>Department of provincial and local government (DPLG)</t>
  </si>
  <si>
    <t>Municipal infrastructural grant (MIG)</t>
  </si>
  <si>
    <t>Integrated national electrification grant (INEP)</t>
  </si>
  <si>
    <t>Vuna Awards</t>
  </si>
  <si>
    <t>Total Government Grants &amp; Subsidies</t>
  </si>
  <si>
    <t>Equitable Share</t>
  </si>
  <si>
    <t>Current year receipts</t>
  </si>
  <si>
    <t>Conditions met – transferred to revenue</t>
  </si>
  <si>
    <t>Finance Management Grant</t>
  </si>
  <si>
    <t>Balance unspent at beginning of year</t>
  </si>
  <si>
    <t>Unspent amount transferred to liabilities</t>
  </si>
  <si>
    <t>This grant was used to promote and support reforms to municipal financial management and the implementation of the MFMA, 2003.  Other than the unspent amount, the conditions of the grant were met and no funds have been withheld.</t>
  </si>
  <si>
    <t>Municipal Systems Improvement Grant</t>
  </si>
  <si>
    <t>This grant was used to build in-house capacity to perform their functions and stabilize institutional and governance systems.  Other than the unspent amount, the conditions of the grant were met and no funds have been withheld.</t>
  </si>
  <si>
    <t>Other assets</t>
  </si>
  <si>
    <t>Approved but not yet contracted for</t>
  </si>
  <si>
    <t>Land and buildings</t>
  </si>
  <si>
    <t>Specialised vehicles</t>
  </si>
  <si>
    <t>This expenditure will be financed from</t>
  </si>
  <si>
    <t>External loans</t>
  </si>
  <si>
    <t>Government grants</t>
  </si>
  <si>
    <t>Contribution to SALGA</t>
  </si>
  <si>
    <t>Council membership fees payable</t>
  </si>
  <si>
    <t>Amount paid current year</t>
  </si>
  <si>
    <t>Balance unpaid (included in creditors)</t>
  </si>
  <si>
    <t>Current year audit fee</t>
  </si>
  <si>
    <t>Output Tax</t>
  </si>
  <si>
    <t>Closing balance</t>
  </si>
  <si>
    <t>Input Tax</t>
  </si>
  <si>
    <t>Amount payable to SARS</t>
  </si>
  <si>
    <t>Roads</t>
  </si>
  <si>
    <t>Vehicle Licenses &amp; Traffic</t>
  </si>
  <si>
    <t>Transport Other</t>
  </si>
  <si>
    <t>Water Distribution</t>
  </si>
  <si>
    <t>Water Purification</t>
  </si>
  <si>
    <t>Electricity Distribution</t>
  </si>
  <si>
    <t>Street Lighting</t>
  </si>
  <si>
    <t>Less: Inter-Departmental Charges</t>
  </si>
  <si>
    <t>%</t>
  </si>
  <si>
    <t>Current account (Art &amp; Culture)</t>
  </si>
  <si>
    <t>Account number :  4065606760</t>
  </si>
  <si>
    <t>Current account (Lotto Nancefield stadium)</t>
  </si>
  <si>
    <t>Account number :  4067609265</t>
  </si>
  <si>
    <t>Current account (PHP Housing)</t>
  </si>
  <si>
    <t>Account number :  4071944207</t>
  </si>
  <si>
    <t>Current account (MIG Grant)</t>
  </si>
  <si>
    <t>Skills Development</t>
  </si>
  <si>
    <t>Pro-rata bonusses</t>
  </si>
  <si>
    <t>Public Transport Limp province</t>
  </si>
  <si>
    <t>creditors provision</t>
  </si>
  <si>
    <t>Interest</t>
  </si>
  <si>
    <t>Library/Cemetary</t>
  </si>
  <si>
    <t>Seta</t>
  </si>
  <si>
    <t>Zelpy</t>
  </si>
  <si>
    <t>RD Cheques</t>
  </si>
  <si>
    <t>Vhembe District</t>
  </si>
  <si>
    <t>Pensioners</t>
  </si>
  <si>
    <t>Insurance</t>
  </si>
  <si>
    <t>Library</t>
  </si>
  <si>
    <t>Books</t>
  </si>
  <si>
    <t>Rentals</t>
  </si>
  <si>
    <t>Furniture</t>
  </si>
  <si>
    <t>Capital</t>
  </si>
  <si>
    <t>Waste</t>
  </si>
  <si>
    <t>Paving</t>
  </si>
  <si>
    <t>Transformers</t>
  </si>
  <si>
    <t>Streetlights</t>
  </si>
  <si>
    <t>Chair</t>
  </si>
  <si>
    <t>Redemption</t>
  </si>
  <si>
    <t>800</t>
  </si>
  <si>
    <t>These accounting policies are consistent with those of the previous financial year.</t>
  </si>
  <si>
    <t>The principal accounting policies adopted in the preparation of these annual financial statements are set out below.</t>
  </si>
  <si>
    <t>120/440/1376</t>
  </si>
  <si>
    <t>MUSINA</t>
  </si>
  <si>
    <t>120/455/4132</t>
  </si>
  <si>
    <t>120/702/0400</t>
  </si>
  <si>
    <t>120/710/1200</t>
  </si>
  <si>
    <t>120/780/4300</t>
  </si>
  <si>
    <t>120/782/4500</t>
  </si>
  <si>
    <t>Fund</t>
  </si>
  <si>
    <t>800/800/8010</t>
  </si>
  <si>
    <t>developmen</t>
  </si>
  <si>
    <t>800/800/8020</t>
  </si>
  <si>
    <t>800/800/8030</t>
  </si>
  <si>
    <t>Land</t>
  </si>
  <si>
    <t>trust</t>
  </si>
  <si>
    <t>800/800/8600</t>
  </si>
  <si>
    <t>810/810/8015</t>
  </si>
  <si>
    <t>Account</t>
  </si>
  <si>
    <t>810/810/8100</t>
  </si>
  <si>
    <t>810/810/8105</t>
  </si>
  <si>
    <t>810/810/8110</t>
  </si>
  <si>
    <t>day</t>
  </si>
  <si>
    <t>810/810/8115</t>
  </si>
  <si>
    <t>810/810/8120</t>
  </si>
  <si>
    <t>longservi</t>
  </si>
  <si>
    <t>810/810/8150</t>
  </si>
  <si>
    <t>Dev</t>
  </si>
  <si>
    <t>810/810/8600</t>
  </si>
  <si>
    <t>815/815/8215</t>
  </si>
  <si>
    <t>defici</t>
  </si>
  <si>
    <t>815/815/8220</t>
  </si>
  <si>
    <t>appropre</t>
  </si>
  <si>
    <t>820/820/8299</t>
  </si>
  <si>
    <t>820/821/8300</t>
  </si>
  <si>
    <t>layout</t>
  </si>
  <si>
    <t>820/821/8301</t>
  </si>
  <si>
    <t>The following adjustments will need to be made to the AFS if IAS 40 is implemented and if IP is measured at Cost Price less accumulated depreciation.</t>
  </si>
  <si>
    <t>Revenue from the recovery of unauthorised, irregular, fruitless and wasteful expenditure is based on legislated procedures, including those set out in the Municipal Finance Management Act (Act No.56 of 2003) and is recognised when the recovery thereof from the responsible councillors or officials is virtually certain.</t>
  </si>
  <si>
    <t>Revenue from the recovery of unauthorised irregular, fruitless and wasteful expenditure is based on legislated procedures.</t>
  </si>
  <si>
    <t>Provisions are recognised when the municipality has a present or constructive obligation, as a result of past events, that is probable to cause an outflow of resources embodying economic benefits required to settle the obligation and a reliable estimate of the provision can be made.</t>
  </si>
  <si>
    <t>Interest Earned</t>
  </si>
  <si>
    <t>Gov. Grants: OPEX</t>
  </si>
  <si>
    <t>Gov. Grants: Capex</t>
  </si>
  <si>
    <t>Sales of Erven &amp; Coal</t>
  </si>
  <si>
    <t>Other Revenue</t>
  </si>
  <si>
    <t>Water Charges</t>
  </si>
  <si>
    <t>Check</t>
  </si>
  <si>
    <t>Employee Cost</t>
  </si>
  <si>
    <t>Repairs &amp; Maintenance</t>
  </si>
  <si>
    <t>Interest Paid</t>
  </si>
  <si>
    <t>Bulk Purchases</t>
  </si>
  <si>
    <t>Other Expenditure</t>
  </si>
  <si>
    <t>Contracted Services</t>
  </si>
  <si>
    <t>Remuneration Councillors</t>
  </si>
  <si>
    <t>31-60 Days</t>
  </si>
  <si>
    <t>60-90 Days</t>
  </si>
  <si>
    <t>91-120 Days</t>
  </si>
  <si>
    <t>121-150 Days</t>
  </si>
  <si>
    <t>151+ Days</t>
  </si>
  <si>
    <t>OPERATING REVENUE 2006/07</t>
  </si>
  <si>
    <t>OPERATING EXPENDITURE 2006/07</t>
  </si>
  <si>
    <t>CONSUMER DEBTORS 30 JUNE 2007</t>
  </si>
  <si>
    <t>COLLECTION RATES 2001 UNTIL 2007</t>
  </si>
  <si>
    <t>I am not sure - this data are captured and NOT LINKED to any other sheet - PLEASE CHECK</t>
  </si>
  <si>
    <t>I think we should rather link it to something…</t>
  </si>
  <si>
    <t>Roads and Stormwter</t>
  </si>
  <si>
    <t>Water Reticulation</t>
  </si>
  <si>
    <t>Electricity Reticulation</t>
  </si>
  <si>
    <t>Sewerage Reticulation</t>
  </si>
  <si>
    <t>Community Halls &amp; MPCC's</t>
  </si>
  <si>
    <t>Vehicles</t>
  </si>
  <si>
    <t>CAPITAL EXPENDITURE BY ASSET TYPE: 2006/07</t>
  </si>
  <si>
    <t>Average</t>
  </si>
  <si>
    <t>Budget for above</t>
  </si>
  <si>
    <t>(THIS YEAR)</t>
  </si>
  <si>
    <t>(LAST YEAR)</t>
  </si>
  <si>
    <t>Increase</t>
  </si>
  <si>
    <t>Capital Grants &amp; Donated PPE</t>
  </si>
  <si>
    <t>Donated PPE</t>
  </si>
  <si>
    <t>Service Charges % of total revenue</t>
  </si>
  <si>
    <t>Property Rates % of total revenue</t>
  </si>
  <si>
    <t>Operating Expenditure</t>
  </si>
  <si>
    <t>Employee related cost</t>
  </si>
  <si>
    <t>Maintenace</t>
  </si>
  <si>
    <t>Capital Expenditure</t>
  </si>
  <si>
    <t>Surplus/(deficit) for the year</t>
  </si>
  <si>
    <t>R</t>
  </si>
  <si>
    <t>Other appropriations as recognised in the Statement of Changes in Net Assets:</t>
  </si>
  <si>
    <t>Less</t>
  </si>
  <si>
    <t>Contributions : Capital Replacement Reserve</t>
  </si>
  <si>
    <t>Transfer CRR to acquire PPE</t>
  </si>
  <si>
    <t>Revenue from coal reserves</t>
  </si>
  <si>
    <t>Sale of erven</t>
  </si>
  <si>
    <t xml:space="preserve">The useful life of an item of property plant and equipment is reviewed periodically and, if expectations are significantly different from previous estimates, the depreciation charge from the current and future periods gets adjusted. </t>
  </si>
  <si>
    <t>Impairment</t>
  </si>
  <si>
    <t>For the purposes of the cash flow statement, cash and cash equivalents comprise cash on hand, deposits held on call with banks and investments in financial instruments, net of bank overdrafts.  Bank overdrafts are recorded on the facility utilised.  Finance charges on bank overdrafts are expensed as incurred.</t>
  </si>
  <si>
    <t xml:space="preserve">Unauthorised expenditure is expenditure that has not been budgeted, expenditure that is not in terms of the conditions of an allocation received from another sphere of government, municipality or organ of state and expenditure in the form of a grant that is not permitted in terms of the Municipal Finance Management Act (Act 56 of 2003).  </t>
  </si>
  <si>
    <t>Unauthorised expenditure is accounted for as an expense in the Statement of Financial Performance and where recovered, it is subsequently accounted for as revenue in the Statement of Financial Performance.</t>
  </si>
  <si>
    <t>Irregular expenditure is expenditure that is contrary to the Municipal Finance Act (Act 56 of 2003), the Municipal Systems Act (Act 32 of 2000), the Public Office Bearers Act (Act 20 of 1998) or is in contravention of the municipality’s supply chain management policy.  Irregular expenditure excludes unauthorised expenditure.  Irregular expenditure is accounted for as expenditure in the Statement of Financial Performance and where recovered, it is subsequently accounted for as revenue in the Statement of Financial Performance.</t>
  </si>
  <si>
    <t>8030</t>
  </si>
  <si>
    <t>Land trust fund</t>
  </si>
  <si>
    <t>Deposits</t>
  </si>
  <si>
    <t>8603</t>
  </si>
  <si>
    <t>Income not receipted</t>
  </si>
  <si>
    <t>8604</t>
  </si>
  <si>
    <t>Computer system equipment</t>
  </si>
  <si>
    <t>Transitional grant</t>
  </si>
  <si>
    <t>Lucern</t>
  </si>
  <si>
    <t>Malale cemetary project</t>
  </si>
  <si>
    <t>Day call 0064399438</t>
  </si>
  <si>
    <t>8029</t>
  </si>
  <si>
    <t>Musina Festival</t>
  </si>
  <si>
    <t>Debtors</t>
  </si>
  <si>
    <t>Vhembe District Municipality</t>
  </si>
  <si>
    <t>Bank</t>
  </si>
  <si>
    <t>I, the undersigned, are responsible for the preparation of these annual financial statements which are set out on pages X-Z, in terms of section 126(1) of the Municipal Finance Management Act, and which I have signed on behalf of the municipality.</t>
  </si>
  <si>
    <t>DATE</t>
  </si>
  <si>
    <t>and,</t>
  </si>
  <si>
    <t>TRADE AND OTHER PAYABLES</t>
  </si>
  <si>
    <t>Trade and other payables</t>
  </si>
  <si>
    <t>SARS - VAT</t>
  </si>
  <si>
    <t>INVESTMENTS</t>
  </si>
  <si>
    <t>NON CURRENT RECEIVABLES</t>
  </si>
  <si>
    <t>Non-current receivables</t>
  </si>
  <si>
    <t>OTHER RECEIVABLES</t>
  </si>
  <si>
    <t>CASH AND CASH EQUIVALENTS</t>
  </si>
  <si>
    <t>Cash and cash equivalents</t>
  </si>
  <si>
    <t>Municipal</t>
  </si>
  <si>
    <t>INVESTMENT REVENUE</t>
  </si>
  <si>
    <t>Investment Revenue – external investments</t>
  </si>
  <si>
    <t>INTEREST OUTSTANDING DEBTORS</t>
  </si>
  <si>
    <t>Allowances</t>
  </si>
  <si>
    <t>Council Contributions</t>
  </si>
  <si>
    <t>FINANCE COST</t>
  </si>
  <si>
    <t>Finance cost</t>
  </si>
  <si>
    <t xml:space="preserve">GENERAL EXPENSES </t>
  </si>
  <si>
    <t>CONTINGENT LIABILITIES</t>
  </si>
  <si>
    <t>APPENDIX E (1)</t>
  </si>
  <si>
    <t>APPENDIX E (2)</t>
  </si>
  <si>
    <t>ACCOUNTING POLICY</t>
  </si>
  <si>
    <t>These standards are summarised as follows:</t>
  </si>
  <si>
    <t>(AC 142)</t>
  </si>
  <si>
    <t>IFRS 7</t>
  </si>
  <si>
    <t>Financial instruments:  disclosures</t>
  </si>
  <si>
    <t>Entire standard to be replaced by IAS 32 (AC 125) issued August 2006 and effective for financial statements covering periods beginning on or after 1 January 1998</t>
  </si>
  <si>
    <t>The municipality contributes towards retirement benefits of its employees and councillors to the under-mentioned pension funds:</t>
  </si>
  <si>
    <t>Councillors are members of the Municipal Councillor’s Pension Fund that was established in terms of the Remuneration of Public Office Bearers Act 1998 (Act 20 of 1998).</t>
  </si>
  <si>
    <t>Obligations for contributions to defined contribution plans are recognised as an expense in the income statement as incurred.</t>
  </si>
  <si>
    <t>Service charges from sewerage and sanitation are based on the number of sewerage connections on each developed property using the tariffs and are levied monthly, as approved by Vhembe District Municipality.</t>
  </si>
  <si>
    <t>NOTES TO THE FINANCIAL STATEMETNTS</t>
  </si>
  <si>
    <t>NOTES TO THE FINANCIAL STATEMENTS</t>
  </si>
  <si>
    <t>Borrowing costs are recognised as an expense in the Statement of Financial Performance.</t>
  </si>
  <si>
    <t>Recognised amounts in the financial statements are adjusted to reflect events arising after the balance sheet date that provide evidence of conditions that existed at the balance sheet date.  Events after the balance sheet date that are indicative of conditions that arose after the balance sheet date are dealt with by way of a note to the financial statements.</t>
  </si>
  <si>
    <t>Capital under construction</t>
  </si>
  <si>
    <t>Depreciation – based on cost</t>
  </si>
  <si>
    <t>Carrying value of disposals</t>
  </si>
  <si>
    <t>Accumulated depreciation</t>
  </si>
  <si>
    <t>Other movements</t>
  </si>
  <si>
    <t>Land and Buildings</t>
  </si>
  <si>
    <t>Community Assets</t>
  </si>
  <si>
    <t>Other Assets</t>
  </si>
  <si>
    <t>Short Term Fixed Deposits</t>
  </si>
  <si>
    <t xml:space="preserve">ABSA Bank </t>
  </si>
  <si>
    <t>First National Bank</t>
  </si>
  <si>
    <t>Investec Bank</t>
  </si>
  <si>
    <t>Nedbank</t>
  </si>
  <si>
    <t>Long Term Fixed Deposits</t>
  </si>
  <si>
    <t>ABSA Bank</t>
  </si>
  <si>
    <t>Total Investments</t>
  </si>
  <si>
    <t>Sub-total</t>
  </si>
  <si>
    <t>Less:  current portion transferred to current receivables</t>
  </si>
  <si>
    <t>Total long term receivables</t>
  </si>
  <si>
    <t>INVENTORY</t>
  </si>
  <si>
    <t>Consumable stock</t>
  </si>
  <si>
    <t>CONSUMER DEBTORS</t>
  </si>
  <si>
    <t>Gross Balance</t>
  </si>
  <si>
    <t>Provision for Bad Debt</t>
  </si>
  <si>
    <t>Net Balance</t>
  </si>
  <si>
    <t>Service debtors:</t>
  </si>
  <si>
    <t xml:space="preserve">Water </t>
  </si>
  <si>
    <t xml:space="preserve">Sewerage </t>
  </si>
  <si>
    <t>Refuse</t>
  </si>
  <si>
    <t>Contribution to bad debt provision</t>
  </si>
  <si>
    <t>Debt written off for the year</t>
  </si>
  <si>
    <t>Solid Waste Upgrading Musina</t>
  </si>
  <si>
    <t>PHP Housing</t>
  </si>
  <si>
    <t>CREDITORS - GENERAL</t>
  </si>
  <si>
    <t>CREDITORS</t>
  </si>
  <si>
    <t>Assets - rates and general</t>
  </si>
  <si>
    <t>Assets trading services</t>
  </si>
  <si>
    <t>FIXED ASSETS</t>
  </si>
  <si>
    <t xml:space="preserve">Currently, operating lease payments are accounted for based on the cash flows in the lease agreement and therefore the actual amount of lease instalments incurred per annum is recognised in the Statement of Financial Performance. Once straight lining is donethe amount recognised in the statement of financial performance will be the average annual instalment calculated over the entire lifespan of the leaser. If the actual instalement in a year is more than the average instalment the difference will be shown either as a prepayment (debtor) in the AFS or if the actual instalments in a year are less than the average instalment the difference will be shown as an accrual (creditor) in the AFS. </t>
  </si>
  <si>
    <t>IAS 19</t>
  </si>
  <si>
    <t>Employee benefits</t>
  </si>
  <si>
    <t>Defined benefit accounting as far as it relates to defined benefit plans accounted for as defined contribution plans and defined benefit obligation disclosed by narrative information (IAS 19.29, 48 – 119 and 120A(c) – (q))</t>
  </si>
  <si>
    <t>Total Expenditure</t>
  </si>
  <si>
    <t>NET SURPLUS/(DEFICIT) FOR THE YEAR</t>
  </si>
  <si>
    <t>2006</t>
  </si>
  <si>
    <t>2007</t>
  </si>
  <si>
    <t>Opening balance</t>
  </si>
  <si>
    <t>Restated balance</t>
  </si>
  <si>
    <t>Net surplus for the year</t>
  </si>
  <si>
    <t>Capital grants used to purchase PPE</t>
  </si>
  <si>
    <t>Donated/contributed PPE</t>
  </si>
  <si>
    <t>Offsetting of depreciation</t>
  </si>
  <si>
    <t>Changes in accounting estimate</t>
  </si>
  <si>
    <t>080/310/1021</t>
  </si>
  <si>
    <t>080/310/1022</t>
  </si>
  <si>
    <t>080/310/1023</t>
  </si>
  <si>
    <t>080/310/1024</t>
  </si>
  <si>
    <t>080/310/1029</t>
  </si>
  <si>
    <t>080/370/1071</t>
  </si>
  <si>
    <t>080/380/1101</t>
  </si>
  <si>
    <t>080/380/1111</t>
  </si>
  <si>
    <t>080/380/1215</t>
  </si>
  <si>
    <t>080/440/1308</t>
  </si>
  <si>
    <t>080/440/1311</t>
  </si>
  <si>
    <t>080/440/1327</t>
  </si>
  <si>
    <t>080/440/1336</t>
  </si>
  <si>
    <t>080/440/1347</t>
  </si>
  <si>
    <t>080/440/1348</t>
  </si>
  <si>
    <t>080/440/1350</t>
  </si>
  <si>
    <t>080/440/1364</t>
  </si>
  <si>
    <t>080/440/1366</t>
  </si>
  <si>
    <t>080/440/1367</t>
  </si>
  <si>
    <t>080/710/1200</t>
  </si>
  <si>
    <t>Development</t>
  </si>
  <si>
    <t>080/710/7628</t>
  </si>
  <si>
    <t>Speed</t>
  </si>
  <si>
    <t>081/161/1296</t>
  </si>
  <si>
    <t>081/161/1297</t>
  </si>
  <si>
    <t>Construction</t>
  </si>
  <si>
    <t>081/040/0101</t>
  </si>
  <si>
    <t>081/070/0140</t>
  </si>
  <si>
    <t>Building</t>
  </si>
  <si>
    <t>081/300/1001</t>
  </si>
  <si>
    <t>081/300/1002</t>
  </si>
  <si>
    <t>081/300/1004</t>
  </si>
  <si>
    <t>081/300/1005</t>
  </si>
  <si>
    <t>081/300/1009</t>
  </si>
  <si>
    <t>081/300/1010</t>
  </si>
  <si>
    <t>081/300/1012</t>
  </si>
  <si>
    <t>081/300/1013</t>
  </si>
  <si>
    <t>081/310/1021</t>
  </si>
  <si>
    <t>081/310/1022</t>
  </si>
  <si>
    <t>081/310/1023</t>
  </si>
  <si>
    <t>081/310/1024</t>
  </si>
  <si>
    <t>081/310/1029</t>
  </si>
  <si>
    <t>081/370/1071</t>
  </si>
  <si>
    <t>081/380/1111</t>
  </si>
  <si>
    <t>081/380/1138</t>
  </si>
  <si>
    <t>Tarred</t>
  </si>
  <si>
    <t>081/380/1146</t>
  </si>
  <si>
    <t>Sidewalks</t>
  </si>
  <si>
    <t>081/380/1215</t>
  </si>
  <si>
    <t>081/380/1220</t>
  </si>
  <si>
    <t>081/380/1224</t>
  </si>
  <si>
    <t>081/390/1231</t>
  </si>
  <si>
    <t>081/400/1241</t>
  </si>
  <si>
    <t>081/440/1311</t>
  </si>
  <si>
    <t>081/440/1325</t>
  </si>
  <si>
    <t>Total Payment</t>
  </si>
  <si>
    <t>Interest Portion</t>
  </si>
  <si>
    <t>EXEMPTIONS OF MUNICIPAL FINANCE MANAGEMENT ACT, 2003</t>
  </si>
  <si>
    <t>The Minister of Finance has, in terms of General notice 552 of 2007 exempted compliance with certain of the above mentioned standards and aspects or parts of these standards listed in Accounting Policy 1. In the table set out below, the exemptions offered have been listed; together with an indication of the process that the municipality will follow regarding plans to implement the exemptions. Furthermore, the extent to which information in the annual financial statements would need to be adjusted to achieve compliance with exempted standards has also been stated in the table.</t>
  </si>
  <si>
    <t>MUSINA MUNICIPALITY</t>
  </si>
  <si>
    <t>EXEMPTIONS FROM MUNICIPAL MANAGEMENT ACT IN 2006/2007 AND 2007/2008</t>
  </si>
  <si>
    <t>Std. no.</t>
  </si>
  <si>
    <t>Standard title</t>
  </si>
  <si>
    <t>GRAP, GAMAP and/or SA GAAP requirement(s) exempted in terms of General Notice 552 of 2007</t>
  </si>
  <si>
    <t>Exemption Adopted  Y/N</t>
  </si>
  <si>
    <t>Highly likely that no adjustments to the AFS will be required as there are no fundamental differences between these GAMAP and GRAP standards.</t>
  </si>
  <si>
    <t>GRAP 5 Borrowing Costs</t>
  </si>
  <si>
    <t>GRAP 5 Borrowing Costs. Determine the applicable accounting treatment and disclosure requirements of GRAP 5 for the municipality.</t>
  </si>
  <si>
    <t>A portion of interest cost on interest bearing borrowings, in respect of assets that take a substantial period of time for construction and before they are ready for use, may be capitalised to the relevant asset and will result in interest cost in the Statement of Financial Performance reducing and the cost of the asset increasing.</t>
  </si>
  <si>
    <t>GRAP 6 Consolidated AFS</t>
  </si>
  <si>
    <t>No adjustment required.</t>
  </si>
  <si>
    <t>GRAP 7 Associates</t>
  </si>
  <si>
    <t>The municipality did not invest in an associate</t>
  </si>
  <si>
    <t>GRAP 8 JV’s</t>
  </si>
  <si>
    <t>Them municipality did not enter into a Joint Venture</t>
  </si>
  <si>
    <t>GRAP 9 Revenue</t>
  </si>
  <si>
    <t>GRAP 10 Financial Reporting in Hyperinflationary Economies</t>
  </si>
  <si>
    <t>GRAP 11 Construction Contracts</t>
  </si>
  <si>
    <t>GRAP 10 and 11. The municipality does not have these types of transactions.</t>
  </si>
  <si>
    <t>GRAP 12 Inventories</t>
  </si>
  <si>
    <t>Adjustment jnl 203853 &amp; 203955</t>
  </si>
  <si>
    <t>RELATED PARTY DISCLOSURES</t>
  </si>
  <si>
    <t>The detail is as follows:</t>
  </si>
  <si>
    <t>Musina Local Municipality is the Parent and ulimate controlling party of Zelpy 1903 Pty Ltd, who owns 100% shareholding in Zelpy 1903 Pty Ltd.</t>
  </si>
  <si>
    <t>A. N. LURULI - CEO</t>
  </si>
  <si>
    <t>T. MOCKE - DIRECTOR FINANCE</t>
  </si>
  <si>
    <t xml:space="preserve">J. DU TOIT - DIRECTOR TECHNICAL -CHAIRPERSON </t>
  </si>
  <si>
    <t>The Directors of Zelpy 1903 Pty Ltd are not receiving any compensation and is appointed on a volentary basis</t>
  </si>
  <si>
    <t>KEY MANAGEMENT PERSONNEL</t>
  </si>
  <si>
    <t>LEBOHANG SEBOLA - PROJECT MANAGER</t>
  </si>
  <si>
    <t>PARENT</t>
  </si>
  <si>
    <t>Property Rental</t>
  </si>
  <si>
    <t>Vhembe billing 04 - 07</t>
  </si>
  <si>
    <t>Vhembe District Billing 04 -07</t>
  </si>
  <si>
    <t xml:space="preserve">DEBTORS BY CONSUMER CLASSIFICATION     </t>
  </si>
  <si>
    <t>Residential 4</t>
  </si>
  <si>
    <t>State Property</t>
  </si>
  <si>
    <t>REVALUATION OF LAND</t>
  </si>
  <si>
    <t>Immovable capital assets which falls under the inventory/stock accounted as such.</t>
  </si>
  <si>
    <t>Loans and receivables are recognised initially at cost which represents fair value.</t>
  </si>
  <si>
    <t>Trade and other receivables are recognised initially at cost which represents fair value.</t>
  </si>
  <si>
    <t xml:space="preserve">Financial liabilities are recognised initially at cost which represents fair value. </t>
  </si>
  <si>
    <t xml:space="preserve">Vhembe District Indigent </t>
  </si>
  <si>
    <t>Investment property is valued once every three years using the net rental value method.  The valuations are prepared  considering the aggregate of the net annual rent receivable from the properties and where relevant, associated costs.  A yield which reflects the specific risks inherent in the net cash flow is then applied to the net annual rentals to arrive at the property valuation.</t>
  </si>
  <si>
    <t>The revaluation is carried out by an independant valuer.</t>
  </si>
  <si>
    <t>Vat Receivable</t>
  </si>
  <si>
    <t>KEY ASSUMPTIONS</t>
  </si>
  <si>
    <t>Revenue from fines is recognised when payment is received and the revenue from the issuing of summonses is recognised when collected.   An estimate should be made for the revenue amount on spot fines and summons based on past experiences. Where a reliable estimate can not be made on revenue from summons and spot fines the revenue of summons should be recognised when the public prosecuter pays over to the entity the cash actually collected on summons issued.</t>
  </si>
  <si>
    <t>*  Note 43</t>
  </si>
  <si>
    <t>2009</t>
  </si>
  <si>
    <t>FINAL CLOSING BALANCES FOR 08/09</t>
  </si>
  <si>
    <t>CLOSING BAL 08/09</t>
  </si>
  <si>
    <t>MOVEMENTS DEBITS 07/08</t>
  </si>
  <si>
    <t>MOVEMENTS CREDITS 07/08</t>
  </si>
  <si>
    <t>MOVEMENTS DEBITS 08/09</t>
  </si>
  <si>
    <t>MOVEMENTS CREDITS 08/09</t>
  </si>
  <si>
    <t>CLOSING BAL 07/08</t>
  </si>
  <si>
    <t>TOTAL:</t>
  </si>
  <si>
    <t xml:space="preserve"> TOTAL:</t>
  </si>
  <si>
    <t xml:space="preserve"> TOTAL</t>
  </si>
  <si>
    <t xml:space="preserve"> SECTION TOTAL:</t>
  </si>
  <si>
    <t>DEBTORS : GENERAL</t>
  </si>
  <si>
    <t>ACTUAL 07/08</t>
  </si>
  <si>
    <t>BUDGET 07/08</t>
  </si>
  <si>
    <t>ACTUAL 08/09</t>
  </si>
  <si>
    <t>BUDGET 08/09</t>
  </si>
  <si>
    <t>TOTALS LINKED TO APPENDIX D</t>
  </si>
  <si>
    <t>Amounts received in advance  :  Consumer Debtors</t>
  </si>
  <si>
    <t>30 June 2009</t>
  </si>
  <si>
    <t>2008/2009</t>
  </si>
  <si>
    <t xml:space="preserve"> 30 June 2009</t>
  </si>
  <si>
    <t>Outstanding 30 June 2009</t>
  </si>
  <si>
    <t>changes in nett assets</t>
  </si>
  <si>
    <t>link to note 32</t>
  </si>
  <si>
    <t>Carrying values at 30 June 2009</t>
  </si>
  <si>
    <t>Balance at 30 June 2009</t>
  </si>
  <si>
    <t>Link to appendix c</t>
  </si>
  <si>
    <t>link to trial balance</t>
  </si>
  <si>
    <t>010/170/0118</t>
  </si>
  <si>
    <t>010/340/1052</t>
  </si>
  <si>
    <t>010/380/1112</t>
  </si>
  <si>
    <t>010/440/1309</t>
  </si>
  <si>
    <t>010/440/1360</t>
  </si>
  <si>
    <t>010/440/1394</t>
  </si>
  <si>
    <t>010/440/1400</t>
  </si>
  <si>
    <t>010/440/1401</t>
  </si>
  <si>
    <t>010/440/1402</t>
  </si>
  <si>
    <t>Projecr farmers</t>
  </si>
  <si>
    <t>Foreign Nations</t>
  </si>
  <si>
    <t>Community liason</t>
  </si>
  <si>
    <t>030/440/1302</t>
  </si>
  <si>
    <t>030/440/1367</t>
  </si>
  <si>
    <t>030/440/1602</t>
  </si>
  <si>
    <t>032/300/1002</t>
  </si>
  <si>
    <t>032/300/1013</t>
  </si>
  <si>
    <t>050/140/0105</t>
  </si>
  <si>
    <t>050/161/0103</t>
  </si>
  <si>
    <t>050/380/1101</t>
  </si>
  <si>
    <t>050/440/1600</t>
  </si>
  <si>
    <t>050/440/1601</t>
  </si>
  <si>
    <t>051/300/1005</t>
  </si>
  <si>
    <t>052/161/0106</t>
  </si>
  <si>
    <t>052/440/1370</t>
  </si>
  <si>
    <t>052/440/1373</t>
  </si>
  <si>
    <t>065/040/0125</t>
  </si>
  <si>
    <t>Cemetary wall palisite</t>
  </si>
  <si>
    <t>066/440/1364</t>
  </si>
  <si>
    <t>081/040/0073</t>
  </si>
  <si>
    <t>building plans</t>
  </si>
  <si>
    <t>081/140/0122</t>
  </si>
  <si>
    <t>082/070/0126</t>
  </si>
  <si>
    <t>084/161/1296</t>
  </si>
  <si>
    <t>084/040/0046</t>
  </si>
  <si>
    <t>084/040/0047</t>
  </si>
  <si>
    <t>084/300/1013</t>
  </si>
  <si>
    <t>084/300/1017</t>
  </si>
  <si>
    <t>087/300/1012</t>
  </si>
  <si>
    <t>087/300/1013</t>
  </si>
  <si>
    <t>087/440/1382</t>
  </si>
  <si>
    <t>100/440/1372</t>
  </si>
  <si>
    <t>100/440/1373</t>
  </si>
  <si>
    <t>Disaster Management</t>
  </si>
  <si>
    <t>Public services</t>
  </si>
  <si>
    <t>Tourism - Art &amp; Culture</t>
  </si>
  <si>
    <t>Refuse Removal (Solid Waste)</t>
  </si>
  <si>
    <t>Loan Workshop</t>
  </si>
  <si>
    <t>Retention Community Hall</t>
  </si>
  <si>
    <t>Retention workshop</t>
  </si>
  <si>
    <t>Musina Toyota - Veh Registration</t>
  </si>
  <si>
    <t>Retention community hall</t>
  </si>
  <si>
    <t>Funerals</t>
  </si>
  <si>
    <t>082/700/0222</t>
  </si>
  <si>
    <t>082/780/4301</t>
  </si>
  <si>
    <t>084/704/7601</t>
  </si>
  <si>
    <t>/020</t>
  </si>
  <si>
    <t>/0001</t>
  </si>
  <si>
    <t>/0002</t>
  </si>
  <si>
    <t>/0003</t>
  </si>
  <si>
    <t>/0004</t>
  </si>
  <si>
    <t>/0020</t>
  </si>
  <si>
    <t>/0021</t>
  </si>
  <si>
    <t>/0022</t>
  </si>
  <si>
    <t>/041</t>
  </si>
  <si>
    <t>/0256</t>
  </si>
  <si>
    <t>/0257</t>
  </si>
  <si>
    <t>/110</t>
  </si>
  <si>
    <t>/9999</t>
  </si>
  <si>
    <t>/140</t>
  </si>
  <si>
    <t>/0202</t>
  </si>
  <si>
    <t>/161</t>
  </si>
  <si>
    <t>/1299</t>
  </si>
  <si>
    <t>/170</t>
  </si>
  <si>
    <t>/0118</t>
  </si>
  <si>
    <t>/300</t>
  </si>
  <si>
    <t>/1017</t>
  </si>
  <si>
    <t>/1018</t>
  </si>
  <si>
    <t>/310</t>
  </si>
  <si>
    <t>/1023</t>
  </si>
  <si>
    <t>/1025</t>
  </si>
  <si>
    <t>/1027</t>
  </si>
  <si>
    <t>/1029</t>
  </si>
  <si>
    <t>/8220</t>
  </si>
  <si>
    <t>/340</t>
  </si>
  <si>
    <t>/1051</t>
  </si>
  <si>
    <t>/1052</t>
  </si>
  <si>
    <t>/1054</t>
  </si>
  <si>
    <t>/1057</t>
  </si>
  <si>
    <t>/1058</t>
  </si>
  <si>
    <t>/1062</t>
  </si>
  <si>
    <t>/1064</t>
  </si>
  <si>
    <t>/370</t>
  </si>
  <si>
    <t>/1071</t>
  </si>
  <si>
    <t>/380</t>
  </si>
  <si>
    <t>/1102</t>
  </si>
  <si>
    <t>/1111</t>
  </si>
  <si>
    <t>/1112</t>
  </si>
  <si>
    <t>/390</t>
  </si>
  <si>
    <t>/1231</t>
  </si>
  <si>
    <t>/400</t>
  </si>
  <si>
    <t>/1241</t>
  </si>
  <si>
    <t>/440</t>
  </si>
  <si>
    <t>/1263</t>
  </si>
  <si>
    <t>/1284</t>
  </si>
  <si>
    <t>/1285</t>
  </si>
  <si>
    <t>/1286</t>
  </si>
  <si>
    <t>/1287</t>
  </si>
  <si>
    <t>/1301</t>
  </si>
  <si>
    <t>/1308</t>
  </si>
  <si>
    <t>/1309</t>
  </si>
  <si>
    <t>/1310</t>
  </si>
  <si>
    <t>/1311</t>
  </si>
  <si>
    <t>/1320</t>
  </si>
  <si>
    <t>/1322</t>
  </si>
  <si>
    <t>/1325</t>
  </si>
  <si>
    <t>/1335</t>
  </si>
  <si>
    <t>/1340</t>
  </si>
  <si>
    <t>/1341</t>
  </si>
  <si>
    <t>/1345</t>
  </si>
  <si>
    <t>/1347</t>
  </si>
  <si>
    <t>/1348</t>
  </si>
  <si>
    <t>/1360</t>
  </si>
  <si>
    <t>/1364</t>
  </si>
  <si>
    <t>/1366</t>
  </si>
  <si>
    <t>/1367</t>
  </si>
  <si>
    <t>/1368</t>
  </si>
  <si>
    <t>/1369</t>
  </si>
  <si>
    <t>/1372</t>
  </si>
  <si>
    <t>/1391</t>
  </si>
  <si>
    <t>/1394</t>
  </si>
  <si>
    <t>/1395</t>
  </si>
  <si>
    <t>/1396</t>
  </si>
  <si>
    <t>/1397</t>
  </si>
  <si>
    <t>/1398</t>
  </si>
  <si>
    <t>/1399</t>
  </si>
  <si>
    <t>/1400</t>
  </si>
  <si>
    <t>/1401</t>
  </si>
  <si>
    <t>/1402</t>
  </si>
  <si>
    <t>/710</t>
  </si>
  <si>
    <t>/2200</t>
  </si>
  <si>
    <t>/762</t>
  </si>
  <si>
    <t>/7601</t>
  </si>
  <si>
    <t>/782</t>
  </si>
  <si>
    <t>/4500</t>
  </si>
  <si>
    <t>/1001</t>
  </si>
  <si>
    <t>/1002</t>
  </si>
  <si>
    <t>/1004</t>
  </si>
  <si>
    <t>/1009</t>
  </si>
  <si>
    <t>/1010</t>
  </si>
  <si>
    <t>/1012</t>
  </si>
  <si>
    <t>/1013</t>
  </si>
  <si>
    <t>/1021</t>
  </si>
  <si>
    <t>/1022</t>
  </si>
  <si>
    <t>/1024</t>
  </si>
  <si>
    <t>/1224</t>
  </si>
  <si>
    <t>/1321</t>
  </si>
  <si>
    <t>/1327</t>
  </si>
  <si>
    <t>/7602</t>
  </si>
  <si>
    <t>/7609</t>
  </si>
  <si>
    <t>/1333</t>
  </si>
  <si>
    <t>/1334</t>
  </si>
  <si>
    <t>/7603</t>
  </si>
  <si>
    <t>/1302</t>
  </si>
  <si>
    <t>/1602</t>
  </si>
  <si>
    <t>/040</t>
  </si>
  <si>
    <t>/0081</t>
  </si>
  <si>
    <t>/1336</t>
  </si>
  <si>
    <t>/7610</t>
  </si>
  <si>
    <t>/767</t>
  </si>
  <si>
    <t>/7611</t>
  </si>
  <si>
    <t>/1101</t>
  </si>
  <si>
    <t>/1215</t>
  </si>
  <si>
    <t>/1353</t>
  </si>
  <si>
    <t>/080</t>
  </si>
  <si>
    <t>/0141</t>
  </si>
  <si>
    <t>/100</t>
  </si>
  <si>
    <t>/0151</t>
  </si>
  <si>
    <t>/0105</t>
  </si>
  <si>
    <t>/0103</t>
  </si>
  <si>
    <t>/350</t>
  </si>
  <si>
    <t>/1303</t>
  </si>
  <si>
    <t>/1304</t>
  </si>
  <si>
    <t>/1306</t>
  </si>
  <si>
    <t>/1350</t>
  </si>
  <si>
    <t>/1356</t>
  </si>
  <si>
    <t>/1370</t>
  </si>
  <si>
    <t>/1380</t>
  </si>
  <si>
    <t>/1600</t>
  </si>
  <si>
    <t>/1601</t>
  </si>
  <si>
    <t>/455</t>
  </si>
  <si>
    <t>/4130</t>
  </si>
  <si>
    <t>/4131</t>
  </si>
  <si>
    <t>/4132</t>
  </si>
  <si>
    <t>/4133</t>
  </si>
  <si>
    <t>/761</t>
  </si>
  <si>
    <t>/7604</t>
  </si>
  <si>
    <t>/7605</t>
  </si>
  <si>
    <t>/1005</t>
  </si>
  <si>
    <t>/0106</t>
  </si>
  <si>
    <t>/1300</t>
  </si>
  <si>
    <t>/1106</t>
  </si>
  <si>
    <t>/1358</t>
  </si>
  <si>
    <t>/1359</t>
  </si>
  <si>
    <t>/1373</t>
  </si>
  <si>
    <t>/7606</t>
  </si>
  <si>
    <t>/1312</t>
  </si>
  <si>
    <t>/1313</t>
  </si>
  <si>
    <t>/1314</t>
  </si>
  <si>
    <t>/1315</t>
  </si>
  <si>
    <t>/1316</t>
  </si>
  <si>
    <t>/1317</t>
  </si>
  <si>
    <t>/1374</t>
  </si>
  <si>
    <t>/070</t>
  </si>
  <si>
    <t>/0140</t>
  </si>
  <si>
    <t>/1220</t>
  </si>
  <si>
    <t>/701</t>
  </si>
  <si>
    <t>/7614</t>
  </si>
  <si>
    <t>/7615</t>
  </si>
  <si>
    <t>/7616</t>
  </si>
  <si>
    <t>/0125</t>
  </si>
  <si>
    <t>/7617</t>
  </si>
  <si>
    <t>/1200</t>
  </si>
  <si>
    <t>/7618</t>
  </si>
  <si>
    <t>/784</t>
  </si>
  <si>
    <t>/4700</t>
  </si>
  <si>
    <t>/0071</t>
  </si>
  <si>
    <t>/7619</t>
  </si>
  <si>
    <t>/1103</t>
  </si>
  <si>
    <t>/7628</t>
  </si>
  <si>
    <t>/0073</t>
  </si>
  <si>
    <t>/0101</t>
  </si>
  <si>
    <t>/0122</t>
  </si>
  <si>
    <t>/1296</t>
  </si>
  <si>
    <t>/1297</t>
  </si>
  <si>
    <t>/1138</t>
  </si>
  <si>
    <t>/1146</t>
  </si>
  <si>
    <t>/0301</t>
  </si>
  <si>
    <t>/1032</t>
  </si>
  <si>
    <t>/0126</t>
  </si>
  <si>
    <t>/1298</t>
  </si>
  <si>
    <t>/700</t>
  </si>
  <si>
    <t>/0200</t>
  </si>
  <si>
    <t>/0222</t>
  </si>
  <si>
    <t>/7620</t>
  </si>
  <si>
    <t>/7621</t>
  </si>
  <si>
    <t>/7623</t>
  </si>
  <si>
    <t>/703</t>
  </si>
  <si>
    <t>/7624</t>
  </si>
  <si>
    <t>/7625</t>
  </si>
  <si>
    <t>/7626</t>
  </si>
  <si>
    <t>/722</t>
  </si>
  <si>
    <t>/1700</t>
  </si>
  <si>
    <t>/780</t>
  </si>
  <si>
    <t>/4300</t>
  </si>
  <si>
    <t>/4301</t>
  </si>
  <si>
    <t>/7627</t>
  </si>
  <si>
    <t>/0041</t>
  </si>
  <si>
    <t>/0042</t>
  </si>
  <si>
    <t>/0043</t>
  </si>
  <si>
    <t>/0044</t>
  </si>
  <si>
    <t>/0046</t>
  </si>
  <si>
    <t>/0047</t>
  </si>
  <si>
    <t>/1130</t>
  </si>
  <si>
    <t>/1251</t>
  </si>
  <si>
    <t>/704</t>
  </si>
  <si>
    <t>/7629</t>
  </si>
  <si>
    <t>/7630</t>
  </si>
  <si>
    <t>/7631</t>
  </si>
  <si>
    <t>/7632</t>
  </si>
  <si>
    <t>/7633</t>
  </si>
  <si>
    <t>/1158</t>
  </si>
  <si>
    <t>/1371</t>
  </si>
  <si>
    <t>/1382</t>
  </si>
  <si>
    <t>/0161</t>
  </si>
  <si>
    <t>/0196</t>
  </si>
  <si>
    <t>/1154</t>
  </si>
  <si>
    <t>/1392</t>
  </si>
  <si>
    <t>/7607</t>
  </si>
  <si>
    <t>/7608</t>
  </si>
  <si>
    <t>/763</t>
  </si>
  <si>
    <t>fmg</t>
  </si>
  <si>
    <t>050/440/1372</t>
  </si>
  <si>
    <t>free</t>
  </si>
  <si>
    <t>computer</t>
  </si>
  <si>
    <t>msig</t>
  </si>
  <si>
    <t>research</t>
  </si>
  <si>
    <t>transaction fees</t>
  </si>
  <si>
    <t>production drivers</t>
  </si>
  <si>
    <t>Grants &amp; Subsidies paid</t>
  </si>
  <si>
    <t>Legal Fees</t>
  </si>
  <si>
    <t>WORKSHOP INCOME</t>
  </si>
  <si>
    <t>LONG TERM LOANS</t>
  </si>
  <si>
    <t>30/06/2013</t>
  </si>
  <si>
    <t>30/06/2011</t>
  </si>
  <si>
    <t>30/06/2026</t>
  </si>
  <si>
    <t>30/06/2016</t>
  </si>
  <si>
    <t>01/09/2013</t>
  </si>
  <si>
    <t>01/06/2013</t>
  </si>
  <si>
    <t>MESS-00-0001-384</t>
  </si>
  <si>
    <t>Allocated income transfer to Vhembe</t>
  </si>
  <si>
    <t>expenditure</t>
  </si>
  <si>
    <t>"INSERT LOGO"</t>
  </si>
  <si>
    <t>MUSINA  LOCAL MUNICIPALITY</t>
  </si>
  <si>
    <t>APPROVAL AND CERTIFICATION</t>
  </si>
  <si>
    <t>Carrying values at 1 July 2008</t>
  </si>
  <si>
    <t>Balance at 30 June 2008</t>
  </si>
  <si>
    <t>PARKS RECREATION</t>
  </si>
  <si>
    <t>Increase/(decrease) in Cash and cash equivalents</t>
  </si>
  <si>
    <t>(Increase)/decrease in non-current receivables</t>
  </si>
  <si>
    <t>(Increase)/decrease in non-current investments</t>
  </si>
  <si>
    <t>(Increase)/decrease in current investments</t>
  </si>
  <si>
    <t>Cash receipts from ratepayers, government and others</t>
  </si>
  <si>
    <t>Property, plant and equipment purchased</t>
  </si>
  <si>
    <t>Contributions to insurance reserve</t>
  </si>
  <si>
    <t>Transfer to Housing Development Fund</t>
  </si>
  <si>
    <t>Insurance claims processed</t>
  </si>
  <si>
    <t>Finance Lease Liability</t>
  </si>
  <si>
    <t>Reconciliation between the total minimum lease payments and their present value</t>
  </si>
  <si>
    <t>1-5 years</t>
  </si>
  <si>
    <t>More than 5 years</t>
  </si>
  <si>
    <t>Minimum lease payments</t>
  </si>
  <si>
    <t>Present value</t>
  </si>
  <si>
    <t>Medium and Low Municipalities are not required to recognise finance lease liabilities if GRAP 17 has not been complied with.  However, nformation about financial lease liabilities relating to assets that have not been recognised in the Municipality's financial statements must be disclosed in accordance with GRAP 13.</t>
  </si>
  <si>
    <t>Long term liabilities (see note 5)</t>
  </si>
  <si>
    <t>DISCLOSURE OF GRANTS AND SUBSIDIES</t>
  </si>
  <si>
    <t>DISCLOSURE OF GRANTS AND SUBSIDIES IN TERMS OF SECTION 123 OF MFMA, 56 OF 2003</t>
  </si>
  <si>
    <t>Name of Grants</t>
  </si>
  <si>
    <t>Quarterly receipts</t>
  </si>
  <si>
    <t>Quarterly Expenditure for the  Year</t>
  </si>
  <si>
    <t>Delay \ withheld</t>
  </si>
  <si>
    <t>Gazette amount Municipal year</t>
  </si>
  <si>
    <t>Reason for delay/ withholding of funds</t>
  </si>
  <si>
    <t>Did your municipality comply with the grant conditions in terms of grant framework in the latest Division of Revenue Act</t>
  </si>
  <si>
    <t>Reason for non-compliance</t>
  </si>
  <si>
    <t>Sep</t>
  </si>
  <si>
    <t>Dec</t>
  </si>
  <si>
    <t>March</t>
  </si>
  <si>
    <t>June</t>
  </si>
  <si>
    <t>Yes / No</t>
  </si>
  <si>
    <t>Financial Management Grant</t>
  </si>
  <si>
    <t>MIG Grants</t>
  </si>
  <si>
    <t>Intergrated National Electrification Grant</t>
  </si>
  <si>
    <t>Dept of Energy &amp; Min</t>
  </si>
  <si>
    <t>INCOME FOREGONE</t>
  </si>
  <si>
    <t>Tiger brands</t>
  </si>
  <si>
    <t>Own Revenue</t>
  </si>
  <si>
    <t xml:space="preserve">Cash set aside for the repayment of long term liabilities </t>
  </si>
  <si>
    <t>Amortisation</t>
  </si>
  <si>
    <t>VHEMBE DISTRICT MUNICIPALITY</t>
  </si>
  <si>
    <t>ELECTRICITY PRE-PAID POWER CARDS</t>
  </si>
  <si>
    <t>Bosveld Enterprises</t>
  </si>
  <si>
    <t>Matshivha's Holdings t/s Tshiambar Action Bar</t>
  </si>
  <si>
    <t>Robert Truck shop</t>
  </si>
  <si>
    <t>Dhruv Supermarket</t>
  </si>
  <si>
    <t>Super Spar</t>
  </si>
  <si>
    <t>Engern Petrol Station</t>
  </si>
  <si>
    <t>PENSION BENEFITS</t>
  </si>
  <si>
    <t>The Municipality has a defined benefit pension plan and a defined contribution plan for employees.</t>
  </si>
  <si>
    <t>4.1 Pension Benefits Plan Expense</t>
  </si>
  <si>
    <t>Current service cost</t>
  </si>
  <si>
    <t>Interest costs</t>
  </si>
  <si>
    <t>Expected return on plan assets</t>
  </si>
  <si>
    <t>Expected return on reimbursement rights</t>
  </si>
  <si>
    <t>Actuarial (gain)/loss recognised in the year</t>
  </si>
  <si>
    <t>(Gain)/loss arising from curtailments or settlements</t>
  </si>
  <si>
    <t>Adjustments for restrictions on the defined benefit asset</t>
  </si>
  <si>
    <t>Past service cost</t>
  </si>
  <si>
    <t>Net pension benefit expense</t>
  </si>
  <si>
    <t>4.2 Assumptions for actuarial valuation</t>
  </si>
  <si>
    <t>The assumptions made for the actuarial valuation as at 30 June were as follows: -</t>
  </si>
  <si>
    <t>Discount rate</t>
  </si>
  <si>
    <t>Expected future salary increases</t>
  </si>
  <si>
    <t>Expected future pension increases</t>
  </si>
  <si>
    <t>Other (list)</t>
  </si>
  <si>
    <t>4.3 Net Pension Plan Liability</t>
  </si>
  <si>
    <t>Present value of funded defined benefit obligation (refer 3.4 below)</t>
  </si>
  <si>
    <t>Fair value of plan assets (refer 3.5 below)</t>
  </si>
  <si>
    <t>Present value of unfunded defined benefit obligation[1]</t>
  </si>
  <si>
    <t>Deficit</t>
  </si>
  <si>
    <t>Unrecognised net actuarial losses/(gains)</t>
  </si>
  <si>
    <t>Unrecognised past service cost</t>
  </si>
  <si>
    <t>Restrictions on plan assets recognised1</t>
  </si>
  <si>
    <t>Fair value of reimbursement rights recognised as an asset</t>
  </si>
  <si>
    <t xml:space="preserve">Other (list) </t>
  </si>
  <si>
    <t>Net Pension Plan Liability</t>
  </si>
  <si>
    <t>4.4 Changes in Funded Defined Benefit Plan Obligation</t>
  </si>
  <si>
    <t>Changes in the present value of the defined benefit obligation are as follows: -</t>
  </si>
  <si>
    <t>Interest on benefit obligation</t>
  </si>
  <si>
    <t>Contributions from participants</t>
  </si>
  <si>
    <t>Actuarial (gain)/loss recognised</t>
  </si>
  <si>
    <t>(Gain)/loss arising from curtailments</t>
  </si>
  <si>
    <t>Liability extinguished on settlements</t>
  </si>
  <si>
    <t>Benefits paid</t>
  </si>
  <si>
    <t>Balance at end of year</t>
  </si>
  <si>
    <t>4.5 Changes in Fair Value of Plan Assets</t>
  </si>
  <si>
    <t>Changes in the fair value of plan assets are as follows: -</t>
  </si>
  <si>
    <t>Actuarial gain/(loss)</t>
  </si>
  <si>
    <t>Contributions from Municipality</t>
  </si>
  <si>
    <t>Benefits</t>
  </si>
  <si>
    <t>Assets distributed on settlements</t>
  </si>
  <si>
    <t>4.6 Expected Return on Plan Assets</t>
  </si>
  <si>
    <t>Equities</t>
  </si>
  <si>
    <t>Bonds</t>
  </si>
  <si>
    <t>Properties</t>
  </si>
  <si>
    <t>The expected rate of return at the reporting date is based on the weighted average of the plan assets and is based on historical yields and market conditions in the forthcoming twelve months.</t>
  </si>
  <si>
    <t>The actual return on plan assets was X % (2008: X %)</t>
  </si>
  <si>
    <t>4.7 History of Experience Adjustments</t>
  </si>
  <si>
    <t>Defined benefit obligation (refer 3.4 above)</t>
  </si>
  <si>
    <t>Fair value of plan assets (refer 3.5 above)</t>
  </si>
  <si>
    <t>Experience adjustments on plan liabilities</t>
  </si>
  <si>
    <t>Experience adjustments on plan assets</t>
  </si>
  <si>
    <t>The transitional provisions in IAS 19 have been applied whereby the experience adjustments are only disclosed prospectively from the (2006 or specify) financial period.</t>
  </si>
  <si>
    <t>4.8 Municipality’s Contribution to Pension Plan</t>
  </si>
  <si>
    <t>The Municipality intends to contribute RX to its defined benefit plan in (STATE YEAR).</t>
  </si>
  <si>
    <t>(Note: There are transitional provisions set out in IAS 19.  It is deemed that the effective date for this standard is 1 July 2007 for high capacity municipalities and 1 July 2009 for medium capacity municipalities.  The transitional provisions will be for a period of 5 years)</t>
  </si>
  <si>
    <t>PENSION BENEFITS (WHERE INFORMATION NOT AVAILABLE DUE TO AGGREGATE EMPLOYER PENSION PLANS)</t>
  </si>
  <si>
    <t>Where a Municipality is unable to quantify its pension benefits, it must complete the information in Note 46.</t>
  </si>
  <si>
    <t>Servitudes</t>
  </si>
  <si>
    <t>Computer software</t>
  </si>
  <si>
    <t>Rights</t>
  </si>
  <si>
    <t>STATE</t>
  </si>
  <si>
    <t>Accumulated amortisation</t>
  </si>
  <si>
    <t>Acquisitions - Internally developed</t>
  </si>
  <si>
    <t>Acquisitions - externally</t>
  </si>
  <si>
    <t>Acquisitions - Business combinations</t>
  </si>
  <si>
    <t>Impairment losses</t>
  </si>
  <si>
    <t>Reversals of impairment losses</t>
  </si>
  <si>
    <t>Classified as held for sale</t>
  </si>
  <si>
    <t>Accumulated amortisation – cost</t>
  </si>
  <si>
    <t>10a</t>
  </si>
  <si>
    <t>Share premius did not increase in Zelpy 1903 Pty Ltd</t>
  </si>
  <si>
    <t>DIRECTORS OF ZELPY</t>
  </si>
  <si>
    <t>COMPENSATION</t>
  </si>
  <si>
    <t>MUOFHE MATSHILI - BIOLOGIST</t>
  </si>
  <si>
    <t>RAMUTHIVHELI ELS - SNR ACCOUNTANT</t>
  </si>
  <si>
    <t>The municipality recognized intangible assets as follows:</t>
  </si>
  <si>
    <t>Promis</t>
  </si>
  <si>
    <t>Corvu Business</t>
  </si>
  <si>
    <t>Promis Expenditure ver 7.2B</t>
  </si>
  <si>
    <t>Promis Income ver 7.5C</t>
  </si>
  <si>
    <t>Progress Enterprise</t>
  </si>
  <si>
    <t>Progress Query Results</t>
  </si>
  <si>
    <t>Conlog ver 1.9.2</t>
  </si>
  <si>
    <t>Elster Kent : Cash flow ver 2.2</t>
  </si>
  <si>
    <t>Data Tech: supplier database</t>
  </si>
  <si>
    <t>Cashfocus</t>
  </si>
  <si>
    <t>Payday ver 2.7</t>
  </si>
  <si>
    <t>Contract System</t>
  </si>
  <si>
    <t>ESET NOD32 Antivirus 2.7 &amp; 3.0 (Business Edition) incl RA 97 0</t>
  </si>
  <si>
    <t>ESET NOD32 Antivirus for Microsoft Exchange 91 0</t>
  </si>
  <si>
    <t>CAT Route Manager</t>
  </si>
  <si>
    <t>The municipality has taken advantage of the exemption in directive 4 on the measurement of intangible assets.</t>
  </si>
  <si>
    <t>(Increase)/decrease in investments</t>
  </si>
  <si>
    <t>List of outstanding debtors for :</t>
  </si>
  <si>
    <t>Water basic</t>
  </si>
  <si>
    <t>Septic tanks</t>
  </si>
  <si>
    <t>Water new connection</t>
  </si>
  <si>
    <t>List of all the deposits for :</t>
  </si>
  <si>
    <t>Total amount (excluding vat)</t>
  </si>
  <si>
    <t>Total allocated cash receipts for :</t>
  </si>
  <si>
    <t>Water connections</t>
  </si>
  <si>
    <t>Water prepaid</t>
  </si>
  <si>
    <t>Water &amp; Sewerag</t>
  </si>
  <si>
    <t>10b</t>
  </si>
  <si>
    <t>Accumulated depreciation - cost</t>
  </si>
  <si>
    <t>Depreciation - based on cost</t>
  </si>
  <si>
    <t>LAND</t>
  </si>
  <si>
    <t>S Mlati</t>
  </si>
  <si>
    <t>J Ellis</t>
  </si>
  <si>
    <t>Accumulated Depreciation Amortisation</t>
  </si>
  <si>
    <t>Intangible Assets</t>
  </si>
  <si>
    <t>Investment Assets</t>
  </si>
  <si>
    <t>Sock - Investment</t>
  </si>
  <si>
    <t>360</t>
  </si>
  <si>
    <t>5100</t>
  </si>
  <si>
    <t>010/360/5100</t>
  </si>
  <si>
    <t>Lease Computers</t>
  </si>
  <si>
    <t>MSNA 0040</t>
  </si>
  <si>
    <t>08/03/2011</t>
  </si>
  <si>
    <t>The defined benefit plan was established for all employees (The South Afriacn Local Authorities Pension Fund).  The most recent actuarial valuation was undertaken by S Feldman, B.Sc., CFP, Fellow of the Institute of Actuaties.  The present value of the defined benefit obligation, together with the current and past service cost, was measured using the projected unit credit method.</t>
  </si>
  <si>
    <r>
      <t>1)</t>
    </r>
    <r>
      <rPr>
        <sz val="7"/>
        <color theme="1"/>
        <rFont val="Times New Roman"/>
        <family val="1"/>
      </rPr>
      <t xml:space="preserve">       </t>
    </r>
    <r>
      <rPr>
        <sz val="8"/>
        <color theme="1"/>
        <rFont val="Arial"/>
        <family val="2"/>
      </rPr>
      <t>CFO to issue a memo to all departmental managers at year end to request them to ensure that the remaining useful life of all items of PPE as reflected for assets under their control per the FAR is realistic.</t>
    </r>
  </si>
  <si>
    <r>
      <t>2)</t>
    </r>
    <r>
      <rPr>
        <sz val="7"/>
        <color theme="1"/>
        <rFont val="Times New Roman"/>
        <family val="1"/>
      </rPr>
      <t xml:space="preserve">       </t>
    </r>
    <r>
      <rPr>
        <sz val="8"/>
        <color theme="1"/>
        <rFont val="Arial"/>
        <family val="2"/>
      </rPr>
      <t>Departmental managers should inform the   manager responsible for assets of items of PPE with remaining useful lives shorter or longer than those reflected on the FAR at year end.</t>
    </r>
  </si>
  <si>
    <r>
      <t>1)</t>
    </r>
    <r>
      <rPr>
        <sz val="7"/>
        <color theme="1"/>
        <rFont val="Times New Roman"/>
        <family val="1"/>
      </rPr>
      <t xml:space="preserve">       </t>
    </r>
    <r>
      <rPr>
        <sz val="8"/>
        <color theme="1"/>
        <rFont val="Arial"/>
        <family val="2"/>
      </rPr>
      <t>The depreciation charge for the year in which the change in estimate takes place as well as for all other years of the remaining useful life of the asset will be adjusted. This change in accounting treatment will therefore take place prospectively.</t>
    </r>
  </si>
  <si>
    <r>
      <t>3)</t>
    </r>
    <r>
      <rPr>
        <sz val="7"/>
        <color theme="1"/>
        <rFont val="Times New Roman"/>
        <family val="1"/>
      </rPr>
      <t xml:space="preserve">       </t>
    </r>
    <r>
      <rPr>
        <sz val="8"/>
        <color theme="1"/>
        <rFont val="Arial"/>
        <family val="2"/>
      </rPr>
      <t>Pass necessary accounting entries and also do necessary disclosure of the change in estimate.</t>
    </r>
  </si>
  <si>
    <r>
      <t>2)</t>
    </r>
    <r>
      <rPr>
        <sz val="7"/>
        <color theme="1"/>
        <rFont val="Times New Roman"/>
        <family val="1"/>
      </rPr>
      <t xml:space="preserve">       </t>
    </r>
    <r>
      <rPr>
        <sz val="8"/>
        <color theme="1"/>
        <rFont val="Arial"/>
        <family val="2"/>
      </rPr>
      <t>A note on the change in estimate will be disclosed if the change in estimate is material.</t>
    </r>
  </si>
  <si>
    <r>
      <t>1)</t>
    </r>
    <r>
      <rPr>
        <sz val="7"/>
        <color theme="1"/>
        <rFont val="Times New Roman"/>
        <family val="1"/>
      </rPr>
      <t xml:space="preserve">       </t>
    </r>
    <r>
      <rPr>
        <sz val="8"/>
        <color theme="1"/>
        <rFont val="Arial"/>
        <family val="2"/>
      </rPr>
      <t>CFO to issue a memo to all departmental managers at year end to request them to ensure that the depreciation method used to depreciate all items of PPE as reflected as being under their control per the FAR is realistic.</t>
    </r>
  </si>
  <si>
    <r>
      <t>2)</t>
    </r>
    <r>
      <rPr>
        <sz val="7"/>
        <color theme="1"/>
        <rFont val="Times New Roman"/>
        <family val="1"/>
      </rPr>
      <t xml:space="preserve">       </t>
    </r>
    <r>
      <rPr>
        <sz val="8"/>
        <color theme="1"/>
        <rFont val="Arial"/>
        <family val="2"/>
      </rPr>
      <t>CFO to review the depreciation method used to depreciate different classes of assets annually to assess its applicability for each class of asset.</t>
    </r>
  </si>
  <si>
    <r>
      <t>1)</t>
    </r>
    <r>
      <rPr>
        <sz val="7"/>
        <color theme="1"/>
        <rFont val="Times New Roman"/>
        <family val="1"/>
      </rPr>
      <t xml:space="preserve">       </t>
    </r>
    <r>
      <rPr>
        <sz val="8"/>
        <color theme="1"/>
        <rFont val="Arial"/>
        <family val="2"/>
      </rPr>
      <t>The depreciation charge for the year in which the change in estimate takes place as well as for all other years of the remaining useful life of the asset will be adjusted. This change in accounting treatment will therefore take place prospectivel</t>
    </r>
  </si>
  <si>
    <r>
      <t>3)</t>
    </r>
    <r>
      <rPr>
        <sz val="7"/>
        <color theme="1"/>
        <rFont val="Times New Roman"/>
        <family val="1"/>
      </rPr>
      <t xml:space="preserve">       </t>
    </r>
    <r>
      <rPr>
        <sz val="8"/>
        <color theme="1"/>
        <rFont val="Arial"/>
        <family val="2"/>
      </rPr>
      <t>Departmental managers should inform the   manager responsible for assets of items of PPE with remaining useful lives shorter or longer than those reflected on the FAR at year end.</t>
    </r>
  </si>
  <si>
    <r>
      <t>4)</t>
    </r>
    <r>
      <rPr>
        <sz val="7"/>
        <color theme="1"/>
        <rFont val="Times New Roman"/>
        <family val="1"/>
      </rPr>
      <t xml:space="preserve">       </t>
    </r>
    <r>
      <rPr>
        <sz val="8"/>
        <color theme="1"/>
        <rFont val="Arial"/>
        <family val="2"/>
      </rPr>
      <t>Pass necessary accounting entries and also do necessary disclosure of the change in estimate.</t>
    </r>
  </si>
  <si>
    <r>
      <t>1)</t>
    </r>
    <r>
      <rPr>
        <sz val="7"/>
        <color theme="1"/>
        <rFont val="Times New Roman"/>
        <family val="1"/>
      </rPr>
      <t xml:space="preserve">       </t>
    </r>
    <r>
      <rPr>
        <sz val="8"/>
        <color theme="1"/>
        <rFont val="Arial"/>
        <family val="2"/>
      </rPr>
      <t>Identify items of PPE that may have suffered impairment losses at year end by issuing a memo to all departments requesting them to identify assets that:</t>
    </r>
  </si>
  <si>
    <r>
      <t>Ø</t>
    </r>
    <r>
      <rPr>
        <sz val="7"/>
        <color theme="1"/>
        <rFont val="Times New Roman"/>
        <family val="1"/>
      </rPr>
      <t xml:space="preserve">        </t>
    </r>
    <r>
      <rPr>
        <sz val="8"/>
        <color theme="1"/>
        <rFont val="Arial"/>
        <family val="2"/>
      </rPr>
      <t>Are in a state of permanent damage at year end (no impairment losses will be recognised in respect of assets damaged that will be repaired after year end);</t>
    </r>
  </si>
  <si>
    <r>
      <t>1)</t>
    </r>
    <r>
      <rPr>
        <sz val="7"/>
        <color theme="1"/>
        <rFont val="Times New Roman"/>
        <family val="1"/>
      </rPr>
      <t xml:space="preserve">       </t>
    </r>
    <r>
      <rPr>
        <sz val="8"/>
        <color theme="1"/>
        <rFont val="Arial"/>
        <family val="2"/>
      </rPr>
      <t>The carrying amount of PPE will be reduced.</t>
    </r>
  </si>
  <si>
    <r>
      <t>Ø</t>
    </r>
    <r>
      <rPr>
        <sz val="7"/>
        <color theme="1"/>
        <rFont val="Times New Roman"/>
        <family val="1"/>
      </rPr>
      <t xml:space="preserve">        </t>
    </r>
    <r>
      <rPr>
        <sz val="8"/>
        <color theme="1"/>
        <rFont val="Arial"/>
        <family val="2"/>
      </rPr>
      <t>Are stolen at year end (impairment loss is recorded equal to the carrying amount of stolen assets at the date of the theft);</t>
    </r>
  </si>
  <si>
    <r>
      <t>2)</t>
    </r>
    <r>
      <rPr>
        <sz val="7"/>
        <color theme="1"/>
        <rFont val="Times New Roman"/>
        <family val="1"/>
      </rPr>
      <t xml:space="preserve">       </t>
    </r>
    <r>
      <rPr>
        <sz val="8"/>
        <color theme="1"/>
        <rFont val="Arial"/>
        <family val="2"/>
      </rPr>
      <t>The reconciliation between the opening and closing balance of  the carrying amount of PPE will have to reflect impairment losses.</t>
    </r>
  </si>
  <si>
    <r>
      <t>Ø</t>
    </r>
    <r>
      <rPr>
        <sz val="7"/>
        <color theme="1"/>
        <rFont val="Times New Roman"/>
        <family val="1"/>
      </rPr>
      <t xml:space="preserve">        </t>
    </r>
    <r>
      <rPr>
        <sz val="8"/>
        <color theme="1"/>
        <rFont val="Arial"/>
        <family val="2"/>
      </rPr>
      <t xml:space="preserve">Are technologically obsolete at year end (this can be facilitated by supplying departments with a FAR printout pertaining to major assets showing the remaining useful lives of assets - the departments can then assess and indicate cases where the assessed remaining useful life is shorter than the remaining useful life in the fixed asset register. </t>
    </r>
  </si>
  <si>
    <r>
      <t>3)</t>
    </r>
    <r>
      <rPr>
        <sz val="7"/>
        <color theme="1"/>
        <rFont val="Times New Roman"/>
        <family val="1"/>
      </rPr>
      <t xml:space="preserve">       </t>
    </r>
    <r>
      <rPr>
        <sz val="8"/>
        <color theme="1"/>
        <rFont val="Arial"/>
        <family val="2"/>
      </rPr>
      <t>The accounting policy relating to PPE will have to be amended to indicate how the entity deals with and discloses impairment losses.</t>
    </r>
  </si>
  <si>
    <r>
      <t>Ø</t>
    </r>
    <r>
      <rPr>
        <sz val="7"/>
        <color theme="1"/>
        <rFont val="Times New Roman"/>
        <family val="1"/>
      </rPr>
      <t xml:space="preserve">        </t>
    </r>
    <r>
      <rPr>
        <sz val="8"/>
        <color theme="1"/>
        <rFont val="Arial"/>
        <family val="2"/>
      </rPr>
      <t>Have remained idle for a considerable period either prior to them being put into use at year end or during their useful life.</t>
    </r>
  </si>
  <si>
    <r>
      <t>4)</t>
    </r>
    <r>
      <rPr>
        <sz val="7"/>
        <color theme="1"/>
        <rFont val="Times New Roman"/>
        <family val="1"/>
      </rPr>
      <t xml:space="preserve">       </t>
    </r>
    <r>
      <rPr>
        <sz val="8"/>
        <color theme="1"/>
        <rFont val="Arial"/>
        <family val="2"/>
      </rPr>
      <t>The impairment loss itself should be reflected in the notes to the Statement of Financial Performance, if material.</t>
    </r>
  </si>
  <si>
    <r>
      <t>Ø</t>
    </r>
    <r>
      <rPr>
        <sz val="7"/>
        <color theme="1"/>
        <rFont val="Times New Roman"/>
        <family val="1"/>
      </rPr>
      <t xml:space="preserve">        </t>
    </r>
    <r>
      <rPr>
        <sz val="8"/>
        <color theme="1"/>
        <rFont val="Arial"/>
        <family val="2"/>
      </rPr>
      <t>Show that they are not performing according to their specifications or according to industry accepted norms.</t>
    </r>
  </si>
  <si>
    <r>
      <t>5)</t>
    </r>
    <r>
      <rPr>
        <sz val="7"/>
        <color theme="1"/>
        <rFont val="Times New Roman"/>
        <family val="1"/>
      </rPr>
      <t>       Adgering to al</t>
    </r>
    <r>
      <rPr>
        <sz val="8"/>
        <color theme="1"/>
        <rFont val="Arial"/>
        <family val="2"/>
      </rPr>
      <t xml:space="preserve"> disclosure requirements.</t>
    </r>
  </si>
  <si>
    <r>
      <t>2)</t>
    </r>
    <r>
      <rPr>
        <sz val="7"/>
        <color theme="1"/>
        <rFont val="Times New Roman"/>
        <family val="1"/>
      </rPr>
      <t xml:space="preserve">       </t>
    </r>
    <r>
      <rPr>
        <sz val="8"/>
        <color theme="1"/>
        <rFont val="Arial"/>
        <family val="2"/>
      </rPr>
      <t>Calculate and record impairment losses by determining the difference between the asset’s carrying amount and its recoverable (service) amount where the recoverable amount is less than the asset’s carrying amount.</t>
    </r>
  </si>
  <si>
    <r>
      <t>2)</t>
    </r>
    <r>
      <rPr>
        <sz val="7"/>
        <color theme="1"/>
        <rFont val="Times New Roman"/>
        <family val="1"/>
      </rPr>
      <t xml:space="preserve">       </t>
    </r>
    <r>
      <rPr>
        <sz val="8"/>
        <color theme="1"/>
        <rFont val="Arial"/>
        <family val="2"/>
      </rPr>
      <t>The reconciliation between the opening and closing balance of the carrying amount of PPE will have to reflect impairment losses.</t>
    </r>
  </si>
  <si>
    <r>
      <t>Ø</t>
    </r>
    <r>
      <rPr>
        <sz val="7"/>
        <color theme="1"/>
        <rFont val="Times New Roman"/>
        <family val="1"/>
      </rPr>
      <t xml:space="preserve">        </t>
    </r>
    <r>
      <rPr>
        <sz val="8"/>
        <color theme="1"/>
        <rFont val="Arial"/>
        <family val="2"/>
      </rPr>
      <t>Are technologically obsolete at year end (this can be facilitated by supplying departments with a FAR printout pertaining to major assets showing the remaining useful lives of assets - the departments can then assess and indicate cases where the assessed remaing useful life is shorter than the remaing useful life in the fixed asset register</t>
    </r>
  </si>
  <si>
    <r>
      <t>5)</t>
    </r>
    <r>
      <rPr>
        <sz val="7"/>
        <color theme="1"/>
        <rFont val="Times New Roman"/>
        <family val="1"/>
      </rPr>
      <t xml:space="preserve">       </t>
    </r>
    <r>
      <rPr>
        <sz val="8"/>
        <color theme="1"/>
        <rFont val="Arial"/>
        <family val="2"/>
      </rPr>
      <t>All disclosure requirements as required by IAS 36.</t>
    </r>
  </si>
  <si>
    <r>
      <t>1)</t>
    </r>
    <r>
      <rPr>
        <sz val="7"/>
        <color theme="1"/>
        <rFont val="Times New Roman"/>
        <family val="1"/>
      </rPr>
      <t xml:space="preserve">       </t>
    </r>
    <r>
      <rPr>
        <sz val="8"/>
        <color theme="1"/>
        <rFont val="Arial"/>
        <family val="2"/>
      </rPr>
      <t>Obtain an understanding of the definitions of business segments and geographical segments as set out in IAS 14.</t>
    </r>
  </si>
  <si>
    <r>
      <t>2)</t>
    </r>
    <r>
      <rPr>
        <sz val="7"/>
        <color theme="1"/>
        <rFont val="Times New Roman"/>
        <family val="1"/>
      </rPr>
      <t xml:space="preserve">       </t>
    </r>
    <r>
      <rPr>
        <sz val="8"/>
        <color theme="1"/>
        <rFont val="Arial"/>
        <family val="2"/>
      </rPr>
      <t>Determine the business and geographical segments of the municipality.</t>
    </r>
  </si>
  <si>
    <r>
      <t>3)</t>
    </r>
    <r>
      <rPr>
        <sz val="7"/>
        <color theme="1"/>
        <rFont val="Times New Roman"/>
        <family val="1"/>
      </rPr>
      <t xml:space="preserve">       </t>
    </r>
    <r>
      <rPr>
        <sz val="8"/>
        <color theme="1"/>
        <rFont val="Arial"/>
        <family val="2"/>
      </rPr>
      <t>Decide on the primary and secondary reporting formats for the entity. Therefore a decision must be made whether business is primary and geographical secondary or vice versa.</t>
    </r>
  </si>
  <si>
    <r>
      <t>1)</t>
    </r>
    <r>
      <rPr>
        <sz val="7"/>
        <color theme="1"/>
        <rFont val="Times New Roman"/>
        <family val="1"/>
      </rPr>
      <t xml:space="preserve">       </t>
    </r>
    <r>
      <rPr>
        <sz val="8"/>
        <color theme="1"/>
        <rFont val="Arial"/>
        <family val="2"/>
      </rPr>
      <t>Segment revenue for every reportable segment.</t>
    </r>
  </si>
  <si>
    <r>
      <t>4)</t>
    </r>
    <r>
      <rPr>
        <sz val="7"/>
        <color theme="1"/>
        <rFont val="Times New Roman"/>
        <family val="1"/>
      </rPr>
      <t xml:space="preserve">       </t>
    </r>
    <r>
      <rPr>
        <sz val="8"/>
        <color theme="1"/>
        <rFont val="Arial"/>
        <family val="2"/>
      </rPr>
      <t>Change the chart of accounts and accounting software package to ensure that the segmental revenue, expenses, results, assets and liabilities can be accounted for and presented in the AFS according to the primary and secondary reporting formats.</t>
    </r>
  </si>
  <si>
    <r>
      <t>2)</t>
    </r>
    <r>
      <rPr>
        <sz val="7"/>
        <color theme="1"/>
        <rFont val="Times New Roman"/>
        <family val="1"/>
      </rPr>
      <t xml:space="preserve">       </t>
    </r>
    <r>
      <rPr>
        <sz val="8"/>
        <color theme="1"/>
        <rFont val="Arial"/>
        <family val="2"/>
      </rPr>
      <t>Segment results for every reportable segment.</t>
    </r>
  </si>
  <si>
    <r>
      <t>3)</t>
    </r>
    <r>
      <rPr>
        <sz val="7"/>
        <color theme="1"/>
        <rFont val="Times New Roman"/>
        <family val="1"/>
      </rPr>
      <t xml:space="preserve">       </t>
    </r>
    <r>
      <rPr>
        <sz val="11"/>
        <color theme="1"/>
        <rFont val="Calibri"/>
        <family val="2"/>
        <scheme val="minor"/>
      </rPr>
      <t>Segment assets for every reportable segment.</t>
    </r>
  </si>
  <si>
    <r>
      <t>4)</t>
    </r>
    <r>
      <rPr>
        <sz val="7"/>
        <color theme="1"/>
        <rFont val="Times New Roman"/>
        <family val="1"/>
      </rPr>
      <t xml:space="preserve">       </t>
    </r>
    <r>
      <rPr>
        <sz val="11"/>
        <color theme="1"/>
        <rFont val="Calibri"/>
        <family val="2"/>
        <scheme val="minor"/>
      </rPr>
      <t>The total cost incurred during the period to acquire reportable segment long term assets.</t>
    </r>
  </si>
  <si>
    <r>
      <t>5)</t>
    </r>
    <r>
      <rPr>
        <sz val="7"/>
        <color theme="1"/>
        <rFont val="Times New Roman"/>
        <family val="1"/>
      </rPr>
      <t xml:space="preserve">       </t>
    </r>
    <r>
      <rPr>
        <sz val="11"/>
        <color theme="1"/>
        <rFont val="Calibri"/>
        <family val="2"/>
        <scheme val="minor"/>
      </rPr>
      <t>A reconciliation between the information disclosed for reportable segments and the information in the entity’s own financial statements.</t>
    </r>
  </si>
  <si>
    <r>
      <t>1)</t>
    </r>
    <r>
      <rPr>
        <sz val="7"/>
        <color theme="1"/>
        <rFont val="Times New Roman"/>
        <family val="1"/>
      </rPr>
      <t xml:space="preserve">     </t>
    </r>
    <r>
      <rPr>
        <sz val="8"/>
        <color theme="1"/>
        <rFont val="Arial"/>
        <family val="2"/>
      </rPr>
      <t>The municipality must obtain copies of all existing current lease agreements.</t>
    </r>
  </si>
  <si>
    <r>
      <t>2)</t>
    </r>
    <r>
      <rPr>
        <sz val="7"/>
        <color theme="1"/>
        <rFont val="Times New Roman"/>
        <family val="1"/>
      </rPr>
      <t xml:space="preserve">     </t>
    </r>
    <r>
      <rPr>
        <sz val="8"/>
        <color theme="1"/>
        <rFont val="Arial"/>
        <family val="2"/>
      </rPr>
      <t>For each lease agreement the municipality must distinguish each lease as a Finance Leases or an Operating Lease.</t>
    </r>
  </si>
  <si>
    <r>
      <t>3)</t>
    </r>
    <r>
      <rPr>
        <sz val="7"/>
        <color theme="1"/>
        <rFont val="Times New Roman"/>
        <family val="1"/>
      </rPr>
      <t xml:space="preserve">     </t>
    </r>
    <r>
      <rPr>
        <sz val="8"/>
        <color theme="1"/>
        <rFont val="Arial"/>
        <family val="2"/>
      </rPr>
      <t>Assets held in terms of Finance Leases as defined in IAS 17 must be capitalised and subsequently depreciated and/or impaired.</t>
    </r>
  </si>
  <si>
    <r>
      <t>4)</t>
    </r>
    <r>
      <rPr>
        <sz val="7"/>
        <color theme="1"/>
        <rFont val="Times New Roman"/>
        <family val="1"/>
      </rPr>
      <t xml:space="preserve">  </t>
    </r>
    <r>
      <rPr>
        <sz val="8"/>
        <color theme="1"/>
        <rFont val="Arial"/>
        <family val="2"/>
      </rPr>
      <t>Operating Leases that have fluctuating payment arrangements must be identified and operating lease expenses that fall within this category must be straight-lined (smoothed).</t>
    </r>
  </si>
  <si>
    <r>
      <t>1)</t>
    </r>
    <r>
      <rPr>
        <sz val="7"/>
        <color theme="1"/>
        <rFont val="Times New Roman"/>
        <family val="1"/>
      </rPr>
      <t xml:space="preserve">       </t>
    </r>
    <r>
      <rPr>
        <sz val="8"/>
        <color theme="1"/>
        <rFont val="Arial"/>
        <family val="2"/>
      </rPr>
      <t>The municipality must obtain actuarial valuation reports of all defined benefit plans.</t>
    </r>
  </si>
  <si>
    <r>
      <t>2)</t>
    </r>
    <r>
      <rPr>
        <sz val="7"/>
        <color theme="1"/>
        <rFont val="Times New Roman"/>
        <family val="1"/>
      </rPr>
      <t xml:space="preserve">       </t>
    </r>
    <r>
      <rPr>
        <sz val="8"/>
        <color theme="1"/>
        <rFont val="Arial"/>
        <family val="2"/>
      </rPr>
      <t>The valuations obtained in point 1 above will have to studied and analysed to extract all the relevant information necessary for defined benefit accounting as set out in IAS 19.</t>
    </r>
  </si>
  <si>
    <r>
      <t>3)</t>
    </r>
    <r>
      <rPr>
        <sz val="7"/>
        <color theme="1"/>
        <rFont val="Times New Roman"/>
        <family val="1"/>
      </rPr>
      <t xml:space="preserve">       </t>
    </r>
    <r>
      <rPr>
        <sz val="8"/>
        <color theme="1"/>
        <rFont val="Arial"/>
        <family val="2"/>
      </rPr>
      <t>The necessary disclosures in terms of IAS 19 must still be performed.</t>
    </r>
  </si>
  <si>
    <r>
      <t>1)</t>
    </r>
    <r>
      <rPr>
        <sz val="7"/>
        <color theme="1"/>
        <rFont val="Times New Roman"/>
        <family val="1"/>
      </rPr>
      <t xml:space="preserve">       </t>
    </r>
    <r>
      <rPr>
        <sz val="8"/>
        <color theme="1"/>
        <rFont val="Arial"/>
        <family val="2"/>
      </rPr>
      <t>Currently all conditional capital grants received for the purchase of PPE are accounted for in terms of the NT GRAP implementation guidelines dated June 2005 and also GAMAP 9.42 to 46.</t>
    </r>
  </si>
  <si>
    <r>
      <t>1)</t>
    </r>
    <r>
      <rPr>
        <sz val="7"/>
        <color theme="1"/>
        <rFont val="Times New Roman"/>
        <family val="1"/>
      </rPr>
      <t xml:space="preserve">       </t>
    </r>
    <r>
      <rPr>
        <sz val="8"/>
        <color theme="1"/>
        <rFont val="Arial"/>
        <family val="2"/>
      </rPr>
      <t>Unbundle the balance on the GGR and transfer it to a deferred income account.</t>
    </r>
  </si>
  <si>
    <r>
      <t>2)</t>
    </r>
    <r>
      <rPr>
        <sz val="7"/>
        <color theme="1"/>
        <rFont val="Times New Roman"/>
        <family val="1"/>
      </rPr>
      <t xml:space="preserve">       </t>
    </r>
    <r>
      <rPr>
        <sz val="8"/>
        <color theme="1"/>
        <rFont val="Arial"/>
        <family val="2"/>
      </rPr>
      <t>On receipt of a conditional capital government grant the amount is banked and reflected as a current liability called Unspent Conditional Grants and Receipts. Once the amount is spent in accordance with the grant conditions a transfer is made from the current liability to the Statement of Financial Performance equal to the amount that has been spent during the financial year in accordance with the grant conditions. Thereafter an equal amount is transferred from the Accumulated Surplus to the Government Grant Reserve (GGR) on the statement of Changes in Net Assets. Annually an amount is transferred from the serve to accumulated surplus equal to the amount of depreciation on assets funded from government grants.</t>
    </r>
  </si>
  <si>
    <r>
      <t>2)</t>
    </r>
    <r>
      <rPr>
        <sz val="7"/>
        <color theme="1"/>
        <rFont val="Times New Roman"/>
        <family val="1"/>
      </rPr>
      <t xml:space="preserve">       </t>
    </r>
    <r>
      <rPr>
        <sz val="8"/>
        <color theme="1"/>
        <rFont val="Arial"/>
        <family val="2"/>
      </rPr>
      <t>Capital Grants utilised will no longer be transferred to a GGR via the Statement of Financial Performance and the Statement of Changes in Net Assets. Once an amount is utilised it will be transferred directly from the unspent capital conditional grant creditor to a creditor called deferred income. Therefore the GGR (Rederve) will be replaced by a creditor called deferred income.</t>
    </r>
  </si>
  <si>
    <r>
      <t>3)</t>
    </r>
    <r>
      <rPr>
        <sz val="7"/>
        <color theme="1"/>
        <rFont val="Times New Roman"/>
        <family val="1"/>
      </rPr>
      <t xml:space="preserve">       </t>
    </r>
    <r>
      <rPr>
        <sz val="8"/>
        <color theme="1"/>
        <rFont val="Arial"/>
        <family val="2"/>
      </rPr>
      <t>On the implementation of IAS 20, unbundled the GGR by transferring the balance to a deferred income account.</t>
    </r>
  </si>
  <si>
    <r>
      <t>3)</t>
    </r>
    <r>
      <rPr>
        <sz val="7"/>
        <color theme="1"/>
        <rFont val="Times New Roman"/>
        <family val="1"/>
      </rPr>
      <t xml:space="preserve">       </t>
    </r>
    <r>
      <rPr>
        <sz val="8"/>
        <color theme="1"/>
        <rFont val="Arial"/>
        <family val="2"/>
      </rPr>
      <t xml:space="preserve">In future a transfer will be made from the deferred income account to the Statement of Financial Performance to annually offset the amount of depreciation in respect of assets funded from government grants. The GGR will no longer exist and therefeno transfer from the GGR to the accumulated surplus to offset depreciation will be made on the Statement of Changes in Net Assets. </t>
    </r>
  </si>
  <si>
    <r>
      <t>4)</t>
    </r>
    <r>
      <rPr>
        <sz val="7"/>
        <color theme="1"/>
        <rFont val="Times New Roman"/>
        <family val="1"/>
      </rPr>
      <t xml:space="preserve">       </t>
    </r>
    <r>
      <rPr>
        <sz val="8"/>
        <color theme="1"/>
        <rFont val="Arial"/>
        <family val="2"/>
      </rPr>
      <t>For future depreciation charges in respect of assets that have a carrying amount equal to the deferred income account on the date of the unbundling of the GGR, ensure that an amount equal to the depreciation charge is transferred from deferred income to the Statement of Financial Performance.</t>
    </r>
  </si>
  <si>
    <r>
      <t>Ø</t>
    </r>
    <r>
      <rPr>
        <sz val="7"/>
        <color theme="1"/>
        <rFont val="Times New Roman"/>
        <family val="1"/>
      </rPr>
      <t xml:space="preserve">        </t>
    </r>
    <r>
      <rPr>
        <sz val="8"/>
        <color theme="1"/>
        <rFont val="Arial"/>
        <family val="2"/>
      </rPr>
      <t>Are technologically obsolete at year end (this can be facilitated by supplying departments with a FAR printout pertaining to major assets showing the remaining useful lives of assets - the departments can then assess and indicate cases where the assessed remaining useful life is shoeter than the remaining yseful life on the fixed asset register.</t>
    </r>
  </si>
  <si>
    <r>
      <t>2)</t>
    </r>
    <r>
      <rPr>
        <sz val="7"/>
        <color theme="1"/>
        <rFont val="Times New Roman"/>
        <family val="1"/>
      </rPr>
      <t xml:space="preserve"> </t>
    </r>
    <r>
      <rPr>
        <sz val="8"/>
        <color theme="1"/>
        <rFont val="Arial"/>
        <family val="2"/>
      </rPr>
      <t>Calculate and record impairment losses by determining the difference between the asset’s carrying amount and its recoverable (service) amount where the recoverable amount is less than the asset’s carrying amount.</t>
    </r>
  </si>
  <si>
    <r>
      <t>1)</t>
    </r>
    <r>
      <rPr>
        <sz val="7"/>
        <color theme="1"/>
        <rFont val="Times New Roman"/>
        <family val="1"/>
      </rPr>
      <t xml:space="preserve">       </t>
    </r>
    <r>
      <rPr>
        <sz val="8"/>
        <color theme="1"/>
        <rFont val="Arial"/>
        <family val="2"/>
      </rPr>
      <t>Ensure that all assets that meet the definition of an intangible asset and the recognition criteria for an asset are identified by scrutinising the FAR and capital purchases file.</t>
    </r>
  </si>
  <si>
    <r>
      <t>2)</t>
    </r>
    <r>
      <rPr>
        <sz val="7"/>
        <color theme="1"/>
        <rFont val="Times New Roman"/>
        <family val="1"/>
      </rPr>
      <t xml:space="preserve">       </t>
    </r>
    <r>
      <rPr>
        <sz val="8"/>
        <color theme="1"/>
        <rFont val="Arial"/>
        <family val="2"/>
      </rPr>
      <t xml:space="preserve">Ensure that all intangible assets identified are measured initially at their cost price. </t>
    </r>
    <r>
      <rPr>
        <b/>
        <sz val="8"/>
        <color theme="1"/>
        <rFont val="Arial"/>
        <family val="2"/>
      </rPr>
      <t xml:space="preserve">Examples </t>
    </r>
    <r>
      <rPr>
        <sz val="8"/>
        <color theme="1"/>
        <rFont val="Arial"/>
        <family val="2"/>
      </rPr>
      <t>of items which may meet the definition of an intangible asset in the municipal environment are:</t>
    </r>
  </si>
  <si>
    <r>
      <t xml:space="preserve">1)  </t>
    </r>
    <r>
      <rPr>
        <sz val="8"/>
        <color theme="1"/>
        <rFont val="Arial"/>
        <family val="2"/>
      </rPr>
      <t>If any intangible assets are currently classified as part of PPE, then the application of IAS 38 will lead to a reclassification of these items as intangible assets, with a new line item called intangible assets being reflected on the Statement of Financial Position. This will result in the carrying amount of PPE and an increase in a new asset called intangible assets.</t>
    </r>
  </si>
  <si>
    <r>
      <t>·</t>
    </r>
    <r>
      <rPr>
        <sz val="7"/>
        <color theme="1"/>
        <rFont val="Times New Roman"/>
        <family val="1"/>
      </rPr>
      <t xml:space="preserve">          </t>
    </r>
    <r>
      <rPr>
        <sz val="8"/>
        <color theme="1"/>
        <rFont val="Arial"/>
        <family val="2"/>
      </rPr>
      <t>A license fee for operating a tip site, where the fee grants to the municipality the right to operate the tip site for a period of longer than one year.</t>
    </r>
  </si>
  <si>
    <r>
      <t xml:space="preserve">2) </t>
    </r>
    <r>
      <rPr>
        <sz val="7"/>
        <color theme="1"/>
        <rFont val="Times New Roman"/>
        <family val="1"/>
      </rPr>
      <t xml:space="preserve"> </t>
    </r>
    <r>
      <rPr>
        <sz val="8"/>
        <color theme="1"/>
        <rFont val="Arial"/>
        <family val="2"/>
      </rPr>
      <t>In future a new expense item will be reflected in the Statement of Financial Performance called amortisation, which reflects the amount of “depreciation” on the intangible assets for the year.</t>
    </r>
  </si>
  <si>
    <r>
      <t>3)</t>
    </r>
    <r>
      <rPr>
        <sz val="7"/>
        <color theme="1"/>
        <rFont val="Times New Roman"/>
        <family val="1"/>
      </rPr>
      <t xml:space="preserve">       </t>
    </r>
    <r>
      <rPr>
        <sz val="8"/>
        <color theme="1"/>
        <rFont val="Arial"/>
        <family val="2"/>
      </rPr>
      <t>Ensure that the necessary procedures are put in place to ensure the proper accounting treatment of Intangible assets after initial recognition to deal with the accounting for subsequent expenditure, amortisation, review of useful lives of intangible assets retirements and disposals of intangible assets and internally generated intangible assets.</t>
    </r>
  </si>
  <si>
    <r>
      <t>3)</t>
    </r>
    <r>
      <rPr>
        <sz val="7"/>
        <color theme="1"/>
        <rFont val="Times New Roman"/>
        <family val="1"/>
      </rPr>
      <t xml:space="preserve"> </t>
    </r>
    <r>
      <rPr>
        <sz val="8"/>
        <color theme="1"/>
        <rFont val="Arial"/>
        <family val="2"/>
      </rPr>
      <t>If intangible assets have been incorrectly expensed in the past this can be regarded as a prior period error and should be corrected retrospectively by applying GRAP 3. This will lead to a restatement (increase) of the opening balance of the Accumulated Surplus Account as well as an increase in the Asset Value on the Statement of Financial Position of the municipality.</t>
    </r>
  </si>
  <si>
    <r>
      <t>4)</t>
    </r>
    <r>
      <rPr>
        <sz val="7"/>
        <color theme="1"/>
        <rFont val="Times New Roman"/>
        <family val="1"/>
      </rPr>
      <t xml:space="preserve"> </t>
    </r>
    <r>
      <rPr>
        <sz val="11"/>
        <color theme="1"/>
        <rFont val="Calibri"/>
        <family val="2"/>
        <scheme val="minor"/>
      </rPr>
      <t>An accounting policy note related to the accounting treatment of Intangible assets will need to be developed and disclosed.</t>
    </r>
  </si>
  <si>
    <r>
      <t>5)</t>
    </r>
    <r>
      <rPr>
        <sz val="7"/>
        <color theme="1"/>
        <rFont val="Times New Roman"/>
        <family val="1"/>
      </rPr>
      <t xml:space="preserve"> </t>
    </r>
    <r>
      <rPr>
        <sz val="8"/>
        <color theme="1"/>
        <rFont val="Arial"/>
        <family val="2"/>
      </rPr>
      <t xml:space="preserve">The municipality shall disclose the following for each class of intangible assets, distinguishing between internally generated intangible assets and other intangible assets: </t>
    </r>
  </si>
  <si>
    <r>
      <t>(a)</t>
    </r>
    <r>
      <rPr>
        <sz val="7"/>
        <color theme="1"/>
        <rFont val="Times New Roman"/>
        <family val="1"/>
      </rPr>
      <t xml:space="preserve">     </t>
    </r>
    <r>
      <rPr>
        <sz val="11"/>
        <color theme="1"/>
        <rFont val="Calibri"/>
        <family val="2"/>
        <scheme val="minor"/>
      </rPr>
      <t xml:space="preserve">The useful lives or the amortisation rates used; </t>
    </r>
  </si>
  <si>
    <r>
      <t>(b)</t>
    </r>
    <r>
      <rPr>
        <sz val="7"/>
        <color theme="1"/>
        <rFont val="Times New Roman"/>
        <family val="1"/>
      </rPr>
      <t xml:space="preserve">     </t>
    </r>
    <r>
      <rPr>
        <sz val="11"/>
        <color theme="1"/>
        <rFont val="Calibri"/>
        <family val="2"/>
        <scheme val="minor"/>
      </rPr>
      <t xml:space="preserve">The amortisation methods used for intangible assets with finite useful lives; </t>
    </r>
  </si>
  <si>
    <r>
      <t>(c)</t>
    </r>
    <r>
      <rPr>
        <sz val="7"/>
        <color theme="1"/>
        <rFont val="Times New Roman"/>
        <family val="1"/>
      </rPr>
      <t xml:space="preserve">     </t>
    </r>
    <r>
      <rPr>
        <sz val="11"/>
        <color theme="1"/>
        <rFont val="Calibri"/>
        <family val="2"/>
        <scheme val="minor"/>
      </rPr>
      <t xml:space="preserve">The gross carrying amount and any accumulated amortisation (aggregated with accumulated impairment losses) at the beginning and end of the period; </t>
    </r>
  </si>
  <si>
    <r>
      <t>(d)</t>
    </r>
    <r>
      <rPr>
        <sz val="7"/>
        <color theme="1"/>
        <rFont val="Times New Roman"/>
        <family val="1"/>
      </rPr>
      <t xml:space="preserve">     </t>
    </r>
    <r>
      <rPr>
        <sz val="11"/>
        <color theme="1"/>
        <rFont val="Calibri"/>
        <family val="2"/>
        <scheme val="minor"/>
      </rPr>
      <t xml:space="preserve">The line item(s) of the Statement of Financial Performance in which any amortisation of intangible assets is included; </t>
    </r>
  </si>
  <si>
    <r>
      <t>(e)</t>
    </r>
    <r>
      <rPr>
        <sz val="7"/>
        <color theme="1"/>
        <rFont val="Times New Roman"/>
        <family val="1"/>
      </rPr>
      <t xml:space="preserve">     </t>
    </r>
    <r>
      <rPr>
        <sz val="11"/>
        <color theme="1"/>
        <rFont val="Calibri"/>
        <family val="2"/>
        <scheme val="minor"/>
      </rPr>
      <t xml:space="preserve">A reconciliation of the carrying amount at the beginning and end of the period showing: </t>
    </r>
  </si>
  <si>
    <r>
      <t xml:space="preserve">   (i)</t>
    </r>
    <r>
      <rPr>
        <sz val="7"/>
        <color theme="1"/>
        <rFont val="Times New Roman"/>
        <family val="1"/>
      </rPr>
      <t xml:space="preserve">  </t>
    </r>
    <r>
      <rPr>
        <sz val="11"/>
        <color theme="1"/>
        <rFont val="Calibri"/>
        <family val="2"/>
        <scheme val="minor"/>
      </rPr>
      <t>Additions, indicating separately those from internal development, those acquired separately, and those acquired through business</t>
    </r>
    <r>
      <rPr>
        <sz val="11"/>
        <color theme="1"/>
        <rFont val="Calibri"/>
        <family val="2"/>
        <scheme val="minor"/>
      </rPr>
      <t xml:space="preserve"> </t>
    </r>
    <r>
      <rPr>
        <sz val="11"/>
        <color theme="1"/>
        <rFont val="Calibri"/>
        <family val="2"/>
        <scheme val="minor"/>
      </rPr>
      <t xml:space="preserve">combinations; </t>
    </r>
  </si>
  <si>
    <r>
      <t xml:space="preserve">   (ii) </t>
    </r>
    <r>
      <rPr>
        <sz val="7"/>
        <color theme="1"/>
        <rFont val="Times New Roman"/>
        <family val="1"/>
      </rPr>
      <t> </t>
    </r>
    <r>
      <rPr>
        <sz val="11"/>
        <color theme="1"/>
        <rFont val="Calibri"/>
        <family val="2"/>
        <scheme val="minor"/>
      </rPr>
      <t xml:space="preserve">Any amortisation recognised during the period; </t>
    </r>
  </si>
  <si>
    <r>
      <t>6)</t>
    </r>
    <r>
      <rPr>
        <sz val="7"/>
        <color theme="1"/>
        <rFont val="Times New Roman"/>
        <family val="1"/>
      </rPr>
      <t xml:space="preserve">       </t>
    </r>
    <r>
      <rPr>
        <sz val="11"/>
        <color theme="1"/>
        <rFont val="Calibri"/>
        <family val="2"/>
        <scheme val="minor"/>
      </rPr>
      <t xml:space="preserve">The municipality shall disclose the aggregate amount of research and development expenditure recognised as an expense during the period. </t>
    </r>
  </si>
  <si>
    <r>
      <t>7)</t>
    </r>
    <r>
      <rPr>
        <sz val="7"/>
        <color theme="1"/>
        <rFont val="Times New Roman"/>
        <family val="1"/>
      </rPr>
      <t xml:space="preserve">       </t>
    </r>
    <r>
      <rPr>
        <sz val="11"/>
        <color theme="1"/>
        <rFont val="Calibri"/>
        <family val="2"/>
        <scheme val="minor"/>
      </rPr>
      <t>The municipality shall give a description of any fully amortised intangible asset that is still in use.</t>
    </r>
  </si>
  <si>
    <r>
      <t>8)</t>
    </r>
    <r>
      <rPr>
        <sz val="7"/>
        <color theme="1"/>
        <rFont val="Times New Roman"/>
        <family val="1"/>
      </rPr>
      <t xml:space="preserve">       </t>
    </r>
    <r>
      <rPr>
        <sz val="11"/>
        <color theme="1"/>
        <rFont val="Calibri"/>
        <family val="2"/>
        <scheme val="minor"/>
      </rPr>
      <t xml:space="preserve"> The municipality shall also disclose the following:</t>
    </r>
  </si>
  <si>
    <r>
      <t>·</t>
    </r>
    <r>
      <rPr>
        <sz val="7"/>
        <color theme="1"/>
        <rFont val="Times New Roman"/>
        <family val="1"/>
      </rPr>
      <t xml:space="preserve">     </t>
    </r>
    <r>
      <rPr>
        <sz val="11"/>
        <color theme="1"/>
        <rFont val="Arial"/>
        <family val="2"/>
      </rPr>
      <t xml:space="preserve">A description, the carrying amount and remaining amortisation period of any individual intangible asset that is material to the entity’s financial statements. </t>
    </r>
  </si>
  <si>
    <r>
      <t>·</t>
    </r>
    <r>
      <rPr>
        <sz val="7"/>
        <color theme="1"/>
        <rFont val="Times New Roman"/>
        <family val="1"/>
      </rPr>
      <t xml:space="preserve">     </t>
    </r>
    <r>
      <rPr>
        <sz val="11"/>
        <color theme="1"/>
        <rFont val="Arial"/>
        <family val="2"/>
      </rPr>
      <t xml:space="preserve">For intangible assets acquired by way of a government grant and initially recognised at fair value: </t>
    </r>
  </si>
  <si>
    <r>
      <t>(i)</t>
    </r>
    <r>
      <rPr>
        <sz val="7"/>
        <color theme="1"/>
        <rFont val="Times New Roman"/>
        <family val="1"/>
      </rPr>
      <t xml:space="preserve">                   </t>
    </r>
    <r>
      <rPr>
        <sz val="11"/>
        <color theme="1"/>
        <rFont val="Calibri"/>
        <family val="2"/>
        <scheme val="minor"/>
      </rPr>
      <t xml:space="preserve">The fair value initially recognised for these assets; </t>
    </r>
  </si>
  <si>
    <r>
      <t>(ii)</t>
    </r>
    <r>
      <rPr>
        <sz val="7"/>
        <color theme="1"/>
        <rFont val="Times New Roman"/>
        <family val="1"/>
      </rPr>
      <t xml:space="preserve">                  </t>
    </r>
    <r>
      <rPr>
        <sz val="11"/>
        <color theme="1"/>
        <rFont val="Calibri"/>
        <family val="2"/>
        <scheme val="minor"/>
      </rPr>
      <t xml:space="preserve">Their carrying amount; and </t>
    </r>
  </si>
  <si>
    <r>
      <t>(iii)</t>
    </r>
    <r>
      <rPr>
        <sz val="7"/>
        <color theme="1"/>
        <rFont val="Times New Roman"/>
        <family val="1"/>
      </rPr>
      <t xml:space="preserve">                 </t>
    </r>
    <r>
      <rPr>
        <sz val="11"/>
        <color theme="1"/>
        <rFont val="Calibri"/>
        <family val="2"/>
        <scheme val="minor"/>
      </rPr>
      <t xml:space="preserve">Whether they are measured after recognition under the cost model or the revaluation model. </t>
    </r>
  </si>
  <si>
    <r>
      <t>·</t>
    </r>
    <r>
      <rPr>
        <sz val="7"/>
        <color theme="1"/>
        <rFont val="Times New Roman"/>
        <family val="1"/>
      </rPr>
      <t xml:space="preserve">     </t>
    </r>
    <r>
      <rPr>
        <sz val="11"/>
        <color theme="1"/>
        <rFont val="Arial"/>
        <family val="2"/>
      </rPr>
      <t xml:space="preserve">The amount of contractual commitments for the acquisition of intangible assets. </t>
    </r>
  </si>
  <si>
    <r>
      <t>1)</t>
    </r>
    <r>
      <rPr>
        <sz val="7"/>
        <color theme="1"/>
        <rFont val="Times New Roman"/>
        <family val="1"/>
      </rPr>
      <t xml:space="preserve">       </t>
    </r>
    <r>
      <rPr>
        <sz val="8"/>
        <color theme="1"/>
        <rFont val="Arial"/>
        <family val="2"/>
      </rPr>
      <t>The municipality must study the applicable sections of IAS 39.</t>
    </r>
  </si>
  <si>
    <r>
      <t>2)</t>
    </r>
    <r>
      <rPr>
        <sz val="7"/>
        <color theme="1"/>
        <rFont val="Times New Roman"/>
        <family val="1"/>
      </rPr>
      <t xml:space="preserve">       </t>
    </r>
    <r>
      <rPr>
        <sz val="8"/>
        <color theme="1"/>
        <rFont val="Arial"/>
        <family val="2"/>
      </rPr>
      <t>The fair values of these financial instruments will have to be determined, based on the type of financial instrument as per IAS 39.9.</t>
    </r>
  </si>
  <si>
    <r>
      <t>3)</t>
    </r>
    <r>
      <rPr>
        <sz val="7"/>
        <color theme="1"/>
        <rFont val="Times New Roman"/>
        <family val="1"/>
      </rPr>
      <t xml:space="preserve">       </t>
    </r>
    <r>
      <rPr>
        <sz val="8"/>
        <color theme="1"/>
        <rFont val="Arial"/>
        <family val="2"/>
      </rPr>
      <t>Discounting of certain financial instruments will have to be performed if the discounted value differs materially from its cost/ face value.</t>
    </r>
  </si>
  <si>
    <r>
      <t>1)</t>
    </r>
    <r>
      <rPr>
        <sz val="7"/>
        <color theme="1"/>
        <rFont val="Times New Roman"/>
        <family val="1"/>
      </rPr>
      <t xml:space="preserve">       </t>
    </r>
    <r>
      <rPr>
        <sz val="8"/>
        <color theme="1"/>
        <rFont val="Arial"/>
        <family val="2"/>
      </rPr>
      <t>Prepare a list of all possible names under which property belonging to the municipality could have been registered in the past.</t>
    </r>
  </si>
  <si>
    <r>
      <t>2)</t>
    </r>
    <r>
      <rPr>
        <sz val="7"/>
        <color theme="1"/>
        <rFont val="Times New Roman"/>
        <family val="1"/>
      </rPr>
      <t xml:space="preserve">       </t>
    </r>
    <r>
      <rPr>
        <sz val="8"/>
        <color theme="1"/>
        <rFont val="Arial"/>
        <family val="2"/>
      </rPr>
      <t>Perform a title deeds search using all these names mentioned in 1) above to identify all land and buildings under the control of the municipality.</t>
    </r>
  </si>
  <si>
    <r>
      <t>·</t>
    </r>
    <r>
      <rPr>
        <sz val="7"/>
        <color theme="1"/>
        <rFont val="Times New Roman"/>
        <family val="1"/>
      </rPr>
      <t xml:space="preserve">          </t>
    </r>
    <r>
      <rPr>
        <sz val="8"/>
        <color theme="1"/>
        <rFont val="Arial"/>
        <family val="2"/>
      </rPr>
      <t>The criteria developed by the municipality to distinguish investment property from owner-occupied property and from property held for sale in the ordinary course of operations;</t>
    </r>
  </si>
  <si>
    <r>
      <t>3)</t>
    </r>
    <r>
      <rPr>
        <sz val="7"/>
        <color theme="1"/>
        <rFont val="Times New Roman"/>
        <family val="1"/>
      </rPr>
      <t xml:space="preserve">       </t>
    </r>
    <r>
      <rPr>
        <sz val="8"/>
        <color theme="1"/>
        <rFont val="Arial"/>
        <family val="2"/>
      </rPr>
      <t>Compare the results of the title deeds search to the Fixed Asset Register and the Valuation roll and adjust the FAR to reflect all land and buildings under the control of the municipality.</t>
    </r>
  </si>
  <si>
    <r>
      <t>·</t>
    </r>
    <r>
      <rPr>
        <sz val="7"/>
        <color theme="1"/>
        <rFont val="Times New Roman"/>
        <family val="1"/>
      </rPr>
      <t xml:space="preserve">          </t>
    </r>
    <r>
      <rPr>
        <sz val="8"/>
        <color theme="1"/>
        <rFont val="Arial"/>
        <family val="2"/>
      </rPr>
      <t>The methods and significant assumptions applied in determining the fair value of investment property.</t>
    </r>
  </si>
  <si>
    <r>
      <t>4)</t>
    </r>
    <r>
      <rPr>
        <sz val="7"/>
        <color theme="1"/>
        <rFont val="Times New Roman"/>
        <family val="1"/>
      </rPr>
      <t xml:space="preserve">       </t>
    </r>
    <r>
      <rPr>
        <sz val="8"/>
        <color theme="1"/>
        <rFont val="Arial"/>
        <family val="2"/>
      </rPr>
      <t>Value all land and buildings, which were previously not reflected on the FAR at fair value where historical cost prices and acquisition dates are unknown.</t>
    </r>
  </si>
  <si>
    <r>
      <t>·</t>
    </r>
    <r>
      <rPr>
        <sz val="7"/>
        <color theme="1"/>
        <rFont val="Times New Roman"/>
        <family val="1"/>
      </rPr>
      <t xml:space="preserve">          </t>
    </r>
    <r>
      <rPr>
        <sz val="8"/>
        <color theme="1"/>
        <rFont val="Arial"/>
        <family val="2"/>
      </rPr>
      <t>The extent to which the fair value of investment property is based on a valuation by an independent valuer.</t>
    </r>
  </si>
  <si>
    <r>
      <t>5)</t>
    </r>
    <r>
      <rPr>
        <sz val="7"/>
        <color theme="1"/>
        <rFont val="Times New Roman"/>
        <family val="1"/>
      </rPr>
      <t xml:space="preserve">       </t>
    </r>
    <r>
      <rPr>
        <sz val="8"/>
        <color theme="1"/>
        <rFont val="Arial"/>
        <family val="2"/>
      </rPr>
      <t>Identify and reclassify as Investment Property (IP) all land and buildings reflected on the updated FAR meeting the definition of Investment Property as per IAS 40.</t>
    </r>
  </si>
  <si>
    <r>
      <t>·</t>
    </r>
    <r>
      <rPr>
        <sz val="7"/>
        <color theme="1"/>
        <rFont val="Times New Roman"/>
        <family val="1"/>
      </rPr>
      <t xml:space="preserve">          </t>
    </r>
    <r>
      <rPr>
        <sz val="8"/>
        <color theme="1"/>
        <rFont val="Arial"/>
        <family val="2"/>
      </rPr>
      <t>The amounts included in the statement of financial performance for:</t>
    </r>
  </si>
  <si>
    <r>
      <t>6)</t>
    </r>
    <r>
      <rPr>
        <sz val="7"/>
        <color theme="1"/>
        <rFont val="Times New Roman"/>
        <family val="1"/>
      </rPr>
      <t xml:space="preserve">       </t>
    </r>
    <r>
      <rPr>
        <sz val="8"/>
        <color theme="1"/>
        <rFont val="Arial"/>
        <family val="2"/>
      </rPr>
      <t xml:space="preserve">Decide on an accounting policy for the subsequent measurement of IP i.e. cost price less accumulated depreciation or Fair Value. </t>
    </r>
  </si>
  <si>
    <r>
      <t>(a)</t>
    </r>
    <r>
      <rPr>
        <sz val="7"/>
        <color theme="1"/>
        <rFont val="Times New Roman"/>
        <family val="1"/>
      </rPr>
      <t xml:space="preserve">     </t>
    </r>
    <r>
      <rPr>
        <sz val="8"/>
        <color theme="1"/>
        <rFont val="Arial"/>
        <family val="2"/>
      </rPr>
      <t>Rental revenue from investment property;</t>
    </r>
  </si>
  <si>
    <r>
      <t>7)</t>
    </r>
    <r>
      <rPr>
        <sz val="7"/>
        <color theme="1"/>
        <rFont val="Times New Roman"/>
        <family val="1"/>
      </rPr>
      <t xml:space="preserve">       </t>
    </r>
    <r>
      <rPr>
        <sz val="8"/>
        <color theme="1"/>
        <rFont val="Arial"/>
        <family val="2"/>
      </rPr>
      <t>Ensure that the necessary procedures are put in place to ensure the proper accounting treatment of IP after initial recognition  to deal with the accounting for subsequent expenditure, disposal of IP, transfers of IP, Fair value increases etc.</t>
    </r>
  </si>
  <si>
    <r>
      <t>(b)</t>
    </r>
    <r>
      <rPr>
        <sz val="7"/>
        <color theme="1"/>
        <rFont val="Times New Roman"/>
        <family val="1"/>
      </rPr>
      <t xml:space="preserve">     </t>
    </r>
    <r>
      <rPr>
        <sz val="8"/>
        <color theme="1"/>
        <rFont val="Arial"/>
        <family val="2"/>
      </rPr>
      <t xml:space="preserve">Direct operating expenses arising from investment property that </t>
    </r>
    <r>
      <rPr>
        <b/>
        <sz val="8"/>
        <color theme="1"/>
        <rFont val="Arial"/>
        <family val="2"/>
      </rPr>
      <t>generated rental revenue</t>
    </r>
    <r>
      <rPr>
        <sz val="8"/>
        <color theme="1"/>
        <rFont val="Arial"/>
        <family val="2"/>
      </rPr>
      <t xml:space="preserve"> during the period; and</t>
    </r>
  </si>
  <si>
    <r>
      <t>(c)</t>
    </r>
    <r>
      <rPr>
        <sz val="7"/>
        <color theme="1"/>
        <rFont val="Times New Roman"/>
        <family val="1"/>
      </rPr>
      <t xml:space="preserve">     </t>
    </r>
    <r>
      <rPr>
        <sz val="11"/>
        <color theme="1"/>
        <rFont val="Calibri"/>
        <family val="2"/>
        <scheme val="minor"/>
      </rPr>
      <t xml:space="preserve">Direct operating expenses arising from investment property that </t>
    </r>
    <r>
      <rPr>
        <b/>
        <sz val="11"/>
        <color theme="1"/>
        <rFont val="Calibri"/>
        <family val="2"/>
        <scheme val="minor"/>
      </rPr>
      <t>did not generate rental revenue</t>
    </r>
    <r>
      <rPr>
        <sz val="11"/>
        <color theme="1"/>
        <rFont val="Calibri"/>
        <family val="2"/>
        <scheme val="minor"/>
      </rPr>
      <t xml:space="preserve"> during the period;</t>
    </r>
  </si>
  <si>
    <r>
      <t>(d)</t>
    </r>
    <r>
      <rPr>
        <sz val="7"/>
        <color theme="1"/>
        <rFont val="Times New Roman"/>
        <family val="1"/>
      </rPr>
      <t xml:space="preserve">     </t>
    </r>
    <r>
      <rPr>
        <sz val="11"/>
        <color theme="1"/>
        <rFont val="Calibri"/>
        <family val="2"/>
        <scheme val="minor"/>
      </rPr>
      <t>Fair value increases in IP</t>
    </r>
  </si>
  <si>
    <r>
      <t>·</t>
    </r>
    <r>
      <rPr>
        <sz val="7"/>
        <color theme="1"/>
        <rFont val="Times New Roman"/>
        <family val="1"/>
      </rPr>
      <t xml:space="preserve">          </t>
    </r>
    <r>
      <rPr>
        <sz val="11"/>
        <color theme="1"/>
        <rFont val="Arial"/>
        <family val="2"/>
      </rPr>
      <t>The existence and amounts of restrictions on the realisability of investment property or the remittance of revenue and proceeds of disposal;</t>
    </r>
  </si>
  <si>
    <r>
      <t>·</t>
    </r>
    <r>
      <rPr>
        <sz val="7"/>
        <color theme="1"/>
        <rFont val="Times New Roman"/>
        <family val="1"/>
      </rPr>
      <t xml:space="preserve">          </t>
    </r>
    <r>
      <rPr>
        <sz val="11"/>
        <color theme="1"/>
        <rFont val="Arial"/>
        <family val="2"/>
      </rPr>
      <t>Material contractual obligations to purchase, construct or develop investment property or for repairs, maintenance or enhancements;</t>
    </r>
  </si>
  <si>
    <r>
      <t>·</t>
    </r>
    <r>
      <rPr>
        <sz val="7"/>
        <color theme="1"/>
        <rFont val="Times New Roman"/>
        <family val="1"/>
      </rPr>
      <t xml:space="preserve">          </t>
    </r>
    <r>
      <rPr>
        <sz val="11"/>
        <rFont val="Arial"/>
        <family val="2"/>
      </rPr>
      <t>A reconciliation of the carrying</t>
    </r>
    <r>
      <rPr>
        <sz val="11"/>
        <color theme="1"/>
        <rFont val="Arial"/>
        <family val="2"/>
      </rPr>
      <t xml:space="preserve"> </t>
    </r>
    <r>
      <rPr>
        <sz val="11"/>
        <rFont val="Arial"/>
        <family val="2"/>
      </rPr>
      <t>amount of investment property at the beginning and end of</t>
    </r>
    <r>
      <rPr>
        <sz val="11"/>
        <color theme="1"/>
        <rFont val="Arial"/>
        <family val="2"/>
      </rPr>
      <t xml:space="preserve"> </t>
    </r>
    <r>
      <rPr>
        <sz val="11"/>
        <rFont val="Arial"/>
        <family val="2"/>
      </rPr>
      <t xml:space="preserve">the period showing the following </t>
    </r>
  </si>
  <si>
    <r>
      <t>(a)</t>
    </r>
    <r>
      <rPr>
        <sz val="7"/>
        <color theme="1"/>
        <rFont val="Times New Roman"/>
        <family val="1"/>
      </rPr>
      <t xml:space="preserve">     </t>
    </r>
    <r>
      <rPr>
        <sz val="11"/>
        <color theme="1"/>
        <rFont val="Calibri"/>
        <family val="2"/>
        <scheme val="minor"/>
      </rPr>
      <t>Additions, disclosing separately those additions resulting from acquisitions and those resulting from capitalized subsequent expenditure;</t>
    </r>
  </si>
  <si>
    <r>
      <t>(b)</t>
    </r>
    <r>
      <rPr>
        <sz val="7"/>
        <color theme="1"/>
        <rFont val="Times New Roman"/>
        <family val="1"/>
      </rPr>
      <t xml:space="preserve">     </t>
    </r>
    <r>
      <rPr>
        <sz val="11"/>
        <color theme="1"/>
        <rFont val="Calibri"/>
        <family val="2"/>
        <scheme val="minor"/>
      </rPr>
      <t>Additions resulting from acquisitions through municipality combinations;</t>
    </r>
  </si>
  <si>
    <r>
      <t>(c)</t>
    </r>
    <r>
      <rPr>
        <sz val="7"/>
        <color theme="1"/>
        <rFont val="Times New Roman"/>
        <family val="1"/>
      </rPr>
      <t xml:space="preserve">     </t>
    </r>
    <r>
      <rPr>
        <sz val="11"/>
        <color theme="1"/>
        <rFont val="Calibri"/>
        <family val="2"/>
        <scheme val="minor"/>
      </rPr>
      <t>Disposals;</t>
    </r>
  </si>
  <si>
    <r>
      <t>(d)</t>
    </r>
    <r>
      <rPr>
        <sz val="7"/>
        <color theme="1"/>
        <rFont val="Times New Roman"/>
        <family val="1"/>
      </rPr>
      <t xml:space="preserve">     </t>
    </r>
    <r>
      <rPr>
        <sz val="11"/>
        <color theme="1"/>
        <rFont val="Calibri"/>
        <family val="2"/>
        <scheme val="minor"/>
      </rPr>
      <t>Net gains or losses from fair value adjustments;</t>
    </r>
  </si>
  <si>
    <r>
      <t>(e)</t>
    </r>
    <r>
      <rPr>
        <sz val="7"/>
        <color theme="1"/>
        <rFont val="Times New Roman"/>
        <family val="1"/>
      </rPr>
      <t xml:space="preserve">     </t>
    </r>
    <r>
      <rPr>
        <sz val="11"/>
        <color theme="1"/>
        <rFont val="Calibri"/>
        <family val="2"/>
        <scheme val="minor"/>
      </rPr>
      <t>Transfers to and from inventories and owner-occupied property; and</t>
    </r>
  </si>
  <si>
    <r>
      <t>(f)</t>
    </r>
    <r>
      <rPr>
        <sz val="7"/>
        <color theme="1"/>
        <rFont val="Times New Roman"/>
        <family val="1"/>
      </rPr>
      <t xml:space="preserve">      </t>
    </r>
    <r>
      <rPr>
        <sz val="11"/>
        <color theme="1"/>
        <rFont val="Calibri"/>
        <family val="2"/>
        <scheme val="minor"/>
      </rPr>
      <t>Other movements.</t>
    </r>
  </si>
  <si>
    <r>
      <t xml:space="preserve">If the municipality elects to reflect all of its investment properties </t>
    </r>
    <r>
      <rPr>
        <b/>
        <sz val="8"/>
        <color theme="1"/>
        <rFont val="Arial"/>
        <family val="2"/>
      </rPr>
      <t>at cost less accumulated depreciation,</t>
    </r>
    <r>
      <rPr>
        <sz val="8"/>
        <color theme="1"/>
        <rFont val="Arial"/>
        <family val="2"/>
      </rPr>
      <t xml:space="preserve"> ensure disclosure in the AFS of the following information, in addition to any relevant information required by the disclosure requirements relating to IP at fair value as set out above:</t>
    </r>
  </si>
  <si>
    <r>
      <t>·</t>
    </r>
    <r>
      <rPr>
        <sz val="7"/>
        <color theme="1"/>
        <rFont val="Times New Roman"/>
        <family val="1"/>
      </rPr>
      <t xml:space="preserve">          </t>
    </r>
    <r>
      <rPr>
        <sz val="8"/>
        <color theme="1"/>
        <rFont val="Arial"/>
        <family val="2"/>
      </rPr>
      <t>The depreciation methods used;</t>
    </r>
  </si>
  <si>
    <r>
      <t>·</t>
    </r>
    <r>
      <rPr>
        <sz val="7"/>
        <color theme="1"/>
        <rFont val="Times New Roman"/>
        <family val="1"/>
      </rPr>
      <t xml:space="preserve">          </t>
    </r>
    <r>
      <rPr>
        <sz val="8"/>
        <color theme="1"/>
        <rFont val="Arial"/>
        <family val="2"/>
      </rPr>
      <t>The useful lives or the depreciation rates used;</t>
    </r>
  </si>
  <si>
    <r>
      <t>·</t>
    </r>
    <r>
      <rPr>
        <sz val="7"/>
        <color theme="1"/>
        <rFont val="Times New Roman"/>
        <family val="1"/>
      </rPr>
      <t xml:space="preserve">          </t>
    </r>
    <r>
      <rPr>
        <sz val="8"/>
        <color theme="1"/>
        <rFont val="Arial"/>
        <family val="2"/>
      </rPr>
      <t>The gross carrying amount and the accumulated depreciation (aggregated with accumulated impairment losses) at the beginning and end of the period;</t>
    </r>
  </si>
  <si>
    <r>
      <t>·</t>
    </r>
    <r>
      <rPr>
        <sz val="7"/>
        <color theme="1"/>
        <rFont val="Times New Roman"/>
        <family val="1"/>
      </rPr>
      <t xml:space="preserve">          </t>
    </r>
    <r>
      <rPr>
        <sz val="8"/>
        <color theme="1"/>
        <rFont val="Arial"/>
        <family val="2"/>
      </rPr>
      <t>A reconciliation of the carrying amount of investment property at the beginning and end of the period showing the following (comparative information is not required):</t>
    </r>
  </si>
  <si>
    <r>
      <t>(i)</t>
    </r>
    <r>
      <rPr>
        <sz val="7"/>
        <color theme="1"/>
        <rFont val="Times New Roman"/>
        <family val="1"/>
      </rPr>
      <t xml:space="preserve">      </t>
    </r>
    <r>
      <rPr>
        <sz val="8"/>
        <color theme="1"/>
        <rFont val="Arial"/>
        <family val="2"/>
      </rPr>
      <t>Additions, disclosing separately those additions resulting from acquisitions and those resulting from capitalized subsequent expenditure;</t>
    </r>
  </si>
  <si>
    <r>
      <t>(ii)</t>
    </r>
    <r>
      <rPr>
        <sz val="7"/>
        <color theme="1"/>
        <rFont val="Times New Roman"/>
        <family val="1"/>
      </rPr>
      <t xml:space="preserve">     </t>
    </r>
    <r>
      <rPr>
        <sz val="8"/>
        <color theme="1"/>
        <rFont val="Arial"/>
        <family val="2"/>
      </rPr>
      <t>Additions resulting from acquisitions through municipality combinations;</t>
    </r>
  </si>
  <si>
    <r>
      <t>(iii)</t>
    </r>
    <r>
      <rPr>
        <sz val="7"/>
        <color theme="1"/>
        <rFont val="Times New Roman"/>
        <family val="1"/>
      </rPr>
      <t xml:space="preserve">    </t>
    </r>
    <r>
      <rPr>
        <sz val="8"/>
        <color theme="1"/>
        <rFont val="Arial"/>
        <family val="2"/>
      </rPr>
      <t>Disposals;</t>
    </r>
  </si>
  <si>
    <r>
      <t>(iv)</t>
    </r>
    <r>
      <rPr>
        <sz val="7"/>
        <color theme="1"/>
        <rFont val="Times New Roman"/>
        <family val="1"/>
      </rPr>
      <t xml:space="preserve">   </t>
    </r>
    <r>
      <rPr>
        <sz val="8"/>
        <color theme="1"/>
        <rFont val="Arial"/>
        <family val="2"/>
      </rPr>
      <t>Depreciation;</t>
    </r>
  </si>
  <si>
    <r>
      <t>(v)</t>
    </r>
    <r>
      <rPr>
        <sz val="7"/>
        <color theme="1"/>
        <rFont val="Times New Roman"/>
        <family val="1"/>
      </rPr>
      <t xml:space="preserve">    </t>
    </r>
    <r>
      <rPr>
        <sz val="8"/>
        <color theme="1"/>
        <rFont val="Arial"/>
        <family val="2"/>
      </rPr>
      <t>The amount of impairment losses recognized, and the amount of impairment losses reversed, during the period;</t>
    </r>
  </si>
  <si>
    <r>
      <t>(vi)</t>
    </r>
    <r>
      <rPr>
        <sz val="7"/>
        <color theme="1"/>
        <rFont val="Times New Roman"/>
        <family val="1"/>
      </rPr>
      <t xml:space="preserve">   </t>
    </r>
    <r>
      <rPr>
        <sz val="8"/>
        <color theme="1"/>
        <rFont val="Arial"/>
        <family val="2"/>
      </rPr>
      <t>The net exchange differences arising on the translation of the financial statements of a foreign municipality;</t>
    </r>
  </si>
  <si>
    <r>
      <t>(vii)</t>
    </r>
    <r>
      <rPr>
        <sz val="7"/>
        <color theme="1"/>
        <rFont val="Times New Roman"/>
        <family val="1"/>
      </rPr>
      <t xml:space="preserve">  </t>
    </r>
    <r>
      <rPr>
        <sz val="8"/>
        <color theme="1"/>
        <rFont val="Arial"/>
        <family val="2"/>
      </rPr>
      <t>Transfers to and from inventories and owner – occupied property; and</t>
    </r>
  </si>
  <si>
    <r>
      <t>(viii)</t>
    </r>
    <r>
      <rPr>
        <sz val="7"/>
        <color theme="1"/>
        <rFont val="Times New Roman"/>
        <family val="1"/>
      </rPr>
      <t xml:space="preserve"> </t>
    </r>
    <r>
      <rPr>
        <sz val="8"/>
        <color theme="1"/>
        <rFont val="Arial"/>
        <family val="2"/>
      </rPr>
      <t>Other movements; and</t>
    </r>
  </si>
  <si>
    <r>
      <t>·</t>
    </r>
    <r>
      <rPr>
        <sz val="7"/>
        <color theme="1"/>
        <rFont val="Times New Roman"/>
        <family val="1"/>
      </rPr>
      <t xml:space="preserve">          </t>
    </r>
    <r>
      <rPr>
        <sz val="8"/>
        <color theme="1"/>
        <rFont val="Arial"/>
        <family val="2"/>
      </rPr>
      <t>The fair value of investment property. In the exceptional cases , when the municipality cannot determine the fair value of the investment property reliably, the municipality should disclose:</t>
    </r>
  </si>
  <si>
    <r>
      <t>(i)</t>
    </r>
    <r>
      <rPr>
        <sz val="7"/>
        <color theme="1"/>
        <rFont val="Times New Roman"/>
        <family val="1"/>
      </rPr>
      <t xml:space="preserve">                   </t>
    </r>
    <r>
      <rPr>
        <sz val="8"/>
        <color theme="1"/>
        <rFont val="Arial"/>
        <family val="2"/>
      </rPr>
      <t>A description of the investment property;</t>
    </r>
  </si>
  <si>
    <r>
      <t>(ii)</t>
    </r>
    <r>
      <rPr>
        <sz val="7"/>
        <color theme="1"/>
        <rFont val="Times New Roman"/>
        <family val="1"/>
      </rPr>
      <t xml:space="preserve">                  </t>
    </r>
    <r>
      <rPr>
        <sz val="8"/>
        <color theme="1"/>
        <rFont val="Arial"/>
        <family val="2"/>
      </rPr>
      <t>An explanation of why fair value cannot be determined reliably; and</t>
    </r>
  </si>
  <si>
    <r>
      <t>(iii)</t>
    </r>
    <r>
      <rPr>
        <sz val="7"/>
        <color theme="1"/>
        <rFont val="Times New Roman"/>
        <family val="1"/>
      </rPr>
      <t xml:space="preserve">                 </t>
    </r>
    <r>
      <rPr>
        <sz val="8"/>
        <color theme="1"/>
        <rFont val="Arial"/>
        <family val="2"/>
      </rPr>
      <t>If possible, the range of estimates within which fair value is highly likely to lie.</t>
    </r>
  </si>
  <si>
    <r>
      <t>1)</t>
    </r>
    <r>
      <rPr>
        <sz val="7"/>
        <color theme="1"/>
        <rFont val="Times New Roman"/>
        <family val="1"/>
      </rPr>
      <t xml:space="preserve">       </t>
    </r>
    <r>
      <rPr>
        <sz val="8"/>
        <color theme="1"/>
        <rFont val="Arial"/>
        <family val="2"/>
      </rPr>
      <t>Ensure that, even if IP is reflected at cost procedures are put in place to obtain the Fair Value of IP at each Balance Sheet date for inclusion in the notes to the AFS.</t>
    </r>
  </si>
  <si>
    <r>
      <t>1)</t>
    </r>
    <r>
      <rPr>
        <sz val="7"/>
        <color theme="1"/>
        <rFont val="Times New Roman"/>
        <family val="1"/>
      </rPr>
      <t xml:space="preserve">       </t>
    </r>
    <r>
      <rPr>
        <sz val="8"/>
        <color theme="1"/>
        <rFont val="Arial"/>
        <family val="2"/>
      </rPr>
      <t>The disclosure notes relating to IP would provide an indication of the Fair Value of IP which is carried at cost price less accumulated depreciation on the face of the Statement of Financial Position.</t>
    </r>
  </si>
  <si>
    <r>
      <t>1)</t>
    </r>
    <r>
      <rPr>
        <sz val="7"/>
        <color theme="1"/>
        <rFont val="Times New Roman"/>
        <family val="1"/>
      </rPr>
      <t xml:space="preserve">       </t>
    </r>
    <r>
      <rPr>
        <sz val="8"/>
        <color theme="1"/>
        <rFont val="Arial"/>
        <family val="2"/>
      </rPr>
      <t>No adjustments will need to be made to the AFS.</t>
    </r>
  </si>
  <si>
    <r>
      <t>1)</t>
    </r>
    <r>
      <rPr>
        <sz val="7"/>
        <color theme="1"/>
        <rFont val="Times New Roman"/>
        <family val="1"/>
      </rPr>
      <t xml:space="preserve">       </t>
    </r>
    <r>
      <rPr>
        <sz val="8"/>
        <color theme="1"/>
        <rFont val="Arial"/>
        <family val="2"/>
      </rPr>
      <t>Print-outs of the FAR per department must be made and distributed to the Heads of every department.  The Heads of departments must scrutinise the FAR applicable to their department and identify assets that meet the criteria for non-current assets held for sale as set out by IFRS5.6 to 11.</t>
    </r>
  </si>
  <si>
    <r>
      <t>1)</t>
    </r>
    <r>
      <rPr>
        <sz val="7"/>
        <color theme="1"/>
        <rFont val="Times New Roman"/>
        <family val="1"/>
      </rPr>
      <t xml:space="preserve">       </t>
    </r>
    <r>
      <rPr>
        <sz val="8"/>
        <color theme="1"/>
        <rFont val="Arial"/>
        <family val="2"/>
      </rPr>
      <t>Non Current Assets held for sale will no longer be recorded as part of PPE and will not necessarily be carried at cost less accumulated depreciation.</t>
    </r>
  </si>
  <si>
    <r>
      <t>2)</t>
    </r>
    <r>
      <rPr>
        <sz val="7"/>
        <color theme="1"/>
        <rFont val="Times New Roman"/>
        <family val="1"/>
      </rPr>
      <t xml:space="preserve">       </t>
    </r>
    <r>
      <rPr>
        <sz val="8"/>
        <color theme="1"/>
        <rFont val="Arial"/>
        <family val="2"/>
      </rPr>
      <t>The Heads of departments must return the departmental FAR, to the CFO and indicate the assets that meet the above mentioned criteria.</t>
    </r>
  </si>
  <si>
    <r>
      <t>2)</t>
    </r>
    <r>
      <rPr>
        <sz val="7"/>
        <color theme="1"/>
        <rFont val="Times New Roman"/>
        <family val="1"/>
      </rPr>
      <t xml:space="preserve">       </t>
    </r>
    <r>
      <rPr>
        <sz val="8"/>
        <color theme="1"/>
        <rFont val="Arial"/>
        <family val="2"/>
      </rPr>
      <t>No current assets held for sale will be recorded as such as part of current assets and will be recorded at the lower of carrying amount and fair value less costs to sell.</t>
    </r>
  </si>
  <si>
    <r>
      <t>3)</t>
    </r>
    <r>
      <rPr>
        <sz val="7"/>
        <color theme="1"/>
        <rFont val="Times New Roman"/>
        <family val="1"/>
      </rPr>
      <t xml:space="preserve">       </t>
    </r>
    <r>
      <rPr>
        <sz val="8"/>
        <color theme="1"/>
        <rFont val="Arial"/>
        <family val="2"/>
      </rPr>
      <t xml:space="preserve"> CFO must ensure that every department returned the departmental-FAR and ensure that it has been signed-off as proof that it has been reviewed. </t>
    </r>
  </si>
  <si>
    <r>
      <t>3)</t>
    </r>
    <r>
      <rPr>
        <sz val="7"/>
        <color theme="1"/>
        <rFont val="Times New Roman"/>
        <family val="1"/>
      </rPr>
      <t xml:space="preserve">       </t>
    </r>
    <r>
      <rPr>
        <sz val="8"/>
        <color theme="1"/>
        <rFont val="Arial"/>
        <family val="2"/>
      </rPr>
      <t>Impairment losses in respect of non current assets held for sale will be recorded in the Statement of Financial Performance if such impairment losses exist.</t>
    </r>
  </si>
  <si>
    <r>
      <t>4)</t>
    </r>
    <r>
      <rPr>
        <sz val="7"/>
        <color theme="1"/>
        <rFont val="Times New Roman"/>
        <family val="1"/>
      </rPr>
      <t xml:space="preserve">       </t>
    </r>
    <r>
      <rPr>
        <sz val="8"/>
        <color theme="1"/>
        <rFont val="Arial"/>
        <family val="2"/>
      </rPr>
      <t>Scrutinise the fixed asset votes in the GL after year-end up to the date when the financial statements are prepared, to identify assets that are sold after year-end and meet the IFRS 5.6 to 11 requirements at year end. Ensure that these assets are classified as Non-current assets held for sale in the Financial Statements for the year under review.</t>
    </r>
  </si>
  <si>
    <r>
      <t>5)</t>
    </r>
    <r>
      <rPr>
        <sz val="7"/>
        <color theme="1"/>
        <rFont val="Times New Roman"/>
        <family val="1"/>
      </rPr>
      <t xml:space="preserve">       </t>
    </r>
    <r>
      <rPr>
        <sz val="8"/>
        <color theme="1"/>
        <rFont val="Arial"/>
        <family val="2"/>
      </rPr>
      <t>Measure and disclose the Non Current Assets held for Sale in accordance with IFRS 5 requirements.</t>
    </r>
  </si>
  <si>
    <r>
      <rPr>
        <b/>
        <sz val="8"/>
        <color theme="1"/>
        <rFont val="Arial"/>
        <family val="2"/>
      </rPr>
      <t>35.</t>
    </r>
    <r>
      <rPr>
        <b/>
        <sz val="6"/>
        <color theme="1"/>
        <rFont val="Arial"/>
        <family val="2"/>
      </rPr>
      <t xml:space="preserve">               </t>
    </r>
    <r>
      <rPr>
        <b/>
        <sz val="8"/>
        <color theme="1"/>
        <rFont val="Arial"/>
        <family val="2"/>
      </rPr>
      <t>(continue)</t>
    </r>
  </si>
  <si>
    <t>*  Note 10 A</t>
  </si>
  <si>
    <t>*  Note 44</t>
  </si>
  <si>
    <t>*  Note 45</t>
  </si>
  <si>
    <t>*  Note 46</t>
  </si>
  <si>
    <t>*  Note 47</t>
  </si>
  <si>
    <t>INCOME FORGONE</t>
  </si>
  <si>
    <t>ELECTRICITY AND PRE-PAID POWER CARDS</t>
  </si>
  <si>
    <t>POST RETIREMENT MEDICAL AND BENEFITS</t>
  </si>
  <si>
    <t>DETAILED SEGMENTAL ANALYSIS OF FINANCIAL PERFORMANCE</t>
  </si>
  <si>
    <t>10 A</t>
  </si>
  <si>
    <t>10 B</t>
  </si>
  <si>
    <t>ANALYSIS OF INTANGIBLE ASSETS</t>
  </si>
  <si>
    <t>SEGMENTAL ANALYSIS OF INTANGIBLE ASSETS</t>
  </si>
  <si>
    <t>SEGMENTAL ANALYSIS OF INVESTMENT ASSETS</t>
  </si>
  <si>
    <t>ANALYSIS OF INVESTMENT ASSETS</t>
  </si>
  <si>
    <t>* APPENDIX B (1)</t>
  </si>
  <si>
    <t>* APPENDIX B (2)</t>
  </si>
  <si>
    <t>* APPENDIX C (1)</t>
  </si>
  <si>
    <t>* APPENDIX C (2)</t>
  </si>
  <si>
    <t>INVESTMENT ASSETS</t>
  </si>
  <si>
    <t>*  Note 10 B</t>
  </si>
  <si>
    <r>
      <t xml:space="preserve">I am responsible for the preparation of these annual financial statements </t>
    </r>
    <r>
      <rPr>
        <sz val="11"/>
        <color theme="1"/>
        <rFont val="Calibri"/>
        <family val="2"/>
        <scheme val="minor"/>
      </rPr>
      <t>in terms of Section 126(1) of the Municipal Finance Management Act and which I have signed on behalf of the Municipality.</t>
    </r>
  </si>
  <si>
    <t>SARS</t>
  </si>
  <si>
    <t>No Councillors had arrear accounts outstanding for more than 90 days as at 30 June 2007.</t>
  </si>
  <si>
    <t>Total provision leave</t>
  </si>
  <si>
    <t>Calculation of the amount payable by Vhembe District Municipality to Musina Local Municipality, (Promis votes ledger</t>
  </si>
  <si>
    <t>Creditors Provision</t>
  </si>
  <si>
    <t>I certify that the salaries, allowances and benefits of Councillors as disclosed in note 25 and 26 of these annual financial statements are within the upper limits of the framework envisaged in Section 219 of the Constitution, read with the Remuneration of Public Officer Bearers Act and the Minister of Provincial and Local Government’s determination in accordance with this Act.</t>
  </si>
  <si>
    <t>Variance</t>
  </si>
  <si>
    <t>R'm</t>
  </si>
  <si>
    <t xml:space="preserve">The net pension benefit expense is included in employee remuneration. </t>
  </si>
  <si>
    <t>The actuarial value is valid for three years and therefore no previoud year figures is shown as the actuarial valuation was doen in 2006 and is still valid.</t>
  </si>
  <si>
    <t>deel van implementation plan</t>
  </si>
  <si>
    <t>Description of implementation plans that still need to be implemented to achieve full compliance with exempted standards.</t>
  </si>
  <si>
    <t>The following GRAP standards have been issued but are not yet effective. The implementation plans that still need to be implemented to achieve full compliance with the standards are set out below. The GRAP standards have been issued and MLM is still exempt from full compliance until 2010/2011. MLM continue with the implementation plan as set out below:</t>
  </si>
  <si>
    <t>GRAP 4, 5, 6, 7, 8, 9,10, 11, 12, 13, 14, 16, 17, 19, 100, 101, 102</t>
  </si>
  <si>
    <t xml:space="preserve">     - Zelpy Pty (Ltd) - Shares</t>
  </si>
  <si>
    <t xml:space="preserve">     - Zelpy Pty (Ltd) - Premium</t>
  </si>
  <si>
    <t>Contributions to Provision for Leave</t>
  </si>
  <si>
    <t>APPENDIX B (2)</t>
  </si>
  <si>
    <t>APPENDIX B (1)</t>
  </si>
  <si>
    <t>ACCUMULATED (SURPLUS)/DEFICIT</t>
  </si>
  <si>
    <t>180</t>
  </si>
  <si>
    <t>084/440/12541</t>
  </si>
  <si>
    <t>081/700/9001</t>
  </si>
  <si>
    <t>/9001</t>
  </si>
  <si>
    <t>Vhembe agency fee payable by Vhembe District Municipality to Musina Local Municipality 10% of total income</t>
  </si>
  <si>
    <t>Prior year adjustment</t>
  </si>
  <si>
    <t>Prepaid electricity (power cards)</t>
  </si>
  <si>
    <t>Account number :  4073762047</t>
  </si>
  <si>
    <t>Type : call  account</t>
  </si>
  <si>
    <t>Current account (call account)</t>
  </si>
  <si>
    <t>Consumable stores, raw materials, work in progress, unused water, and finished goods are valued at the lower of cost and net realisable value.  In general, the basis of determining cost is on the first in first out basis and net realisable value.</t>
  </si>
  <si>
    <t>Receips in advance (Sale of stands)</t>
  </si>
  <si>
    <t>Unmetered Consumption</t>
  </si>
  <si>
    <t>010/440/1403</t>
  </si>
  <si>
    <t>081/440/1432</t>
  </si>
  <si>
    <t>unmetered meters</t>
  </si>
  <si>
    <t>040</t>
  </si>
  <si>
    <t>0048</t>
  </si>
  <si>
    <t>1432</t>
  </si>
  <si>
    <t>Unspent grant revenue</t>
  </si>
  <si>
    <t>Unmetered Consumptions</t>
  </si>
  <si>
    <t>Electricity Unmetered Consumptions</t>
  </si>
  <si>
    <t>unmetered consumptions</t>
  </si>
  <si>
    <t>Unmetered consumptions</t>
  </si>
  <si>
    <t>Increase/(decrease) in long term loans/lease</t>
  </si>
  <si>
    <t>Bulk purchases Electricity</t>
  </si>
  <si>
    <t>cash flow</t>
  </si>
  <si>
    <t>nota 32</t>
  </si>
  <si>
    <t>Tshunani Construction CC</t>
  </si>
  <si>
    <t>JP (Hannes) du Toit</t>
  </si>
  <si>
    <t>Impairement of Zelpy</t>
  </si>
  <si>
    <t>Pre  GAMAP Funds and Reserves</t>
  </si>
  <si>
    <t>Donation &amp; Public Contribution Reserve</t>
  </si>
  <si>
    <t xml:space="preserve">loss on disposal of property plant </t>
  </si>
  <si>
    <t>IRREGULAR  EXPENDITURE</t>
  </si>
  <si>
    <t>Gain on Non exchange transactions</t>
  </si>
  <si>
    <t>OBJECTIVE</t>
  </si>
  <si>
    <t>The objective of the annual financial statements is to be a source of information on the financial position, performance and changes in financial status of the Musina Local Municipality and demonstrates accountability useful to a wide range of users in making economic or political decisions.</t>
  </si>
  <si>
    <t>The financial statements have been prepared on an accrual basis of accounting and are in accordance with the historical cost basis unless otherwise stated.  Under this basis the effects of transactions and other events are recognised when they occur and are recorded in the financial statements within the period to which they relate.</t>
  </si>
  <si>
    <t>The annual financial statements have been prepared in accordance with the Standards of Generally Recognised Accounting Practices (GRAP) and the Standards of Generally Accepted Municipal Accounting Practices (GAMAP) prescribed by the Minister of Finance in terms of General Notices 991 and 992 of 2005.</t>
  </si>
  <si>
    <t>GAMAP 4: Effects of changes in foreign exchange rates.</t>
  </si>
  <si>
    <t>GAMAP 6: Consolidated financial statements and accounting for controlled entities.</t>
  </si>
  <si>
    <t>GAMAP 9: Revenue.</t>
  </si>
  <si>
    <t>GAMAP 7: Accounting for investments in associates.</t>
  </si>
  <si>
    <t>GAMAP 8: Financial reporting of interests in joint ventures.</t>
  </si>
  <si>
    <t>GAMAP 12: Inventories.</t>
  </si>
  <si>
    <t>GAMAP 17: Property, plant and equipment.</t>
  </si>
  <si>
    <t>GAMAP 19: Provisions, contingent liabilities and contingent assets.</t>
  </si>
  <si>
    <t>GAMAP 6, 7 and 8 have been complied with to the extent that the requirements in these standards related to the municipality’s separate financial statements.</t>
  </si>
  <si>
    <t>Accounting policies for material transactions, events or conditions not covered by the above GRAP and/or GAMAP Standards have been developed in accordance with paragraphs 7, 11 and 12 of GRAP 3.  These accounting policies and the applicable disclosures have been based on the South African Statements of Generally Accepted Accounting Practices (SA GAAP) including any interpretations of such statements issued by the Accounting Practices Board.</t>
  </si>
  <si>
    <t xml:space="preserve">Assets, liabilities, revenues and expenses have not been offset except when offsetting is required or permitted by a standard of GAMAP or GRAP. </t>
  </si>
  <si>
    <t xml:space="preserve"> PRESENTATION CURRENCY</t>
  </si>
  <si>
    <t>Years</t>
  </si>
  <si>
    <t>Where items of property, plant and equipment have been impaired, the carrying value is adjusted by the impairment loss, which is recognised as an expense in the period that the impairment is identified, except where the impairment reverses a previous revaluation.</t>
  </si>
  <si>
    <t>Where the carrying amount of an item of property, plant and equipment is larger than the estimated recoverable amount, it is written down immediately to its recoverable amount and an impairment loss is charged to the Statement of Financial Performance.</t>
  </si>
  <si>
    <t>Where items of property, plant and equipment have been impaired, the carrying value is adjusted by the impairment loss, which is recognised as an expense in the period that the impairment is identified.</t>
  </si>
  <si>
    <t>These are assets that are defined as culturally significant resources and are not depreciated as they are regarded as having an infinite life.  However, if improvements to heritage assets are conducted and registered as sub-assets and the useful life of the improvements can be determined, the depreciation charge of the relevant property, plant and equipment category is used for the depreciation of the sub-asset which was capitalised against the heritage asset.</t>
  </si>
  <si>
    <t>The depreciation rate on an asset will change when the useful life is extended.</t>
  </si>
  <si>
    <t>050/455/4135</t>
  </si>
  <si>
    <t>Prov doubtful debt - sundry debtors</t>
  </si>
  <si>
    <t>Prov Envorimental</t>
  </si>
  <si>
    <t>Provision Enviromental</t>
  </si>
  <si>
    <t>Enviromental</t>
  </si>
  <si>
    <t>Prov sundry debtors</t>
  </si>
  <si>
    <t>Unsold Municipal land</t>
  </si>
  <si>
    <t>Prior year mispost of lease expense</t>
  </si>
  <si>
    <t>Prior year misclassification of operating lease as finance lease</t>
  </si>
  <si>
    <t>Prior year mispost of expenses to stocks</t>
  </si>
  <si>
    <t>Incorrect revenue  recognition</t>
  </si>
  <si>
    <t>Land depreciated in prior year</t>
  </si>
  <si>
    <t>Prior year understatement of debtors</t>
  </si>
  <si>
    <t>2008-09 grants (MIG and INEP) transferred from acc. Surplus</t>
  </si>
  <si>
    <t xml:space="preserve">Correction of error </t>
  </si>
  <si>
    <t>According to National Treasury Guideline on GRAP 12 - Inventories, Example 6 (If a municipality has the intention to develop land and sell it to a third party, and it is probable that this event will occur within the short term (one year), the cost of development should be classified as inventories rather than fixed assets.</t>
  </si>
  <si>
    <t>GRAP 12 Par 16 states that "Where inventories are acquired at no cost, or for nominal consideration, their costs shall be their fair value as at the date of acquisition,"</t>
  </si>
  <si>
    <t>Corrections prior year (note 31)</t>
  </si>
  <si>
    <t>Prior year Provision for  Performance Managers</t>
  </si>
  <si>
    <t>Correction of Xerox operating lease incorrectly recorded as PPE in 07/08 book year per Jnl 203946.</t>
  </si>
  <si>
    <t>GRN number 6574 raised to adjust for previous year stocks not delivered.</t>
  </si>
  <si>
    <t>Transfer to accumulated surplus Capital grants used to purchase PPE</t>
  </si>
  <si>
    <t>The following adjustments were made to correct prior year errors</t>
  </si>
  <si>
    <t>Musina local Municipality classified these stands according to GRAP 12, GRAP 17 and National Treasury Guideline on GRAP 12</t>
  </si>
  <si>
    <t>Adjustment for Zelpy in grant incorrectly accountant for as investment</t>
  </si>
  <si>
    <t>Nett effect on surplus/deficit for the year</t>
  </si>
  <si>
    <t>·         The book values of assets are written off on disposal.</t>
  </si>
  <si>
    <t>·         The difference between the net book value of assets (cost less accumulated depreciation) and the sales proceeds is reflected as a gain or loss in the Statement of Financial Performance.</t>
  </si>
  <si>
    <t>·  The amount of revenue can be measured reliably;</t>
  </si>
  <si>
    <t>·  It is probable that the economic benefits or services potential associated with the transaction will       flow to the entity;</t>
  </si>
  <si>
    <t>· The stage of completion of the transaction at the reporting date can be measured reliably;  and</t>
  </si>
  <si>
    <t>· The cost incurred for the transaction and the cost to complete the transaction can be measured         reliably.</t>
  </si>
  <si>
    <t>·  The municipality has transferred to the purchaser the significant risks and rewards of ownership of       goods;</t>
  </si>
  <si>
    <t>· The municipality retains neither continuing managerial involvement to the degree associated with         ownership nor effective control over the goods sold;</t>
  </si>
  <si>
    <t>·  The amount of revenue can be measured reliably;</t>
  </si>
  <si>
    <t xml:space="preserve">·  It is probable that the economic benefits or service potential associated with the transaction will flow     to the municipality;  and </t>
  </si>
  <si>
    <t>·  The cost incurred or to be incurred in respect of the transaction can be measured reliably.</t>
  </si>
  <si>
    <t>· The amount of revenue can be measured reliably;</t>
  </si>
  <si>
    <t xml:space="preserve">· It is probable that the economic benefits or service potential associated with the transaction will flow    to the municipality;  and </t>
  </si>
  <si>
    <t>· There has been compliance with the relevant legal requirements.</t>
  </si>
  <si>
    <t xml:space="preserve">· It is probable that the economic benefits or service potential associated with the transaction will flow to the municipality;  and </t>
  </si>
  <si>
    <t>· The amount of the revenue can be measured reliably.</t>
  </si>
  <si>
    <t xml:space="preserve">· It is probable that the economic benefits or service potential associated with the transaction will flow    to the municipality;  and </t>
  </si>
  <si>
    <t>· The amount of the revenue can be measured reliably.</t>
  </si>
  <si>
    <t>· It is probable that the economic benefits or service potential associated with the transaction will flow to the municipality;</t>
  </si>
  <si>
    <t>· The amount of the revenue can be measured reliably;   and</t>
  </si>
  <si>
    <t>· To the extent that there has been compliance with any restrictions associated with the grant.</t>
  </si>
  <si>
    <t xml:space="preserve">· It is probable that the economic benefits or service potential associated with the transaction will flow    to the municipality;  </t>
  </si>
  <si>
    <t>· The amount of the revenue can be measured reliably; and</t>
  </si>
  <si>
    <t>·         Joint Municipal Pension Fund</t>
  </si>
  <si>
    <t>·         Municipal Employees Pension Fund</t>
  </si>
  <si>
    <t>·         Municipal Gratuity Fund</t>
  </si>
  <si>
    <t>·         SALA Pension Fund</t>
  </si>
  <si>
    <t>Consumer deposits are a partial security for a future payment of an account.  All consumers are therefore required to pay a deposit equal to an average consumption of electricity and water services.  Deposits are considered a liability as the deposit is only refunded once the service is terminated.  No interest is paid on deposits.</t>
  </si>
  <si>
    <t>010/020/0005</t>
  </si>
  <si>
    <t>gonernment</t>
  </si>
  <si>
    <t>010/020/0011</t>
  </si>
  <si>
    <t>small holdings</t>
  </si>
  <si>
    <t>revenue forgone</t>
  </si>
  <si>
    <t>010/041/0255</t>
  </si>
  <si>
    <t>010/041/0258</t>
  </si>
  <si>
    <t>Tenders</t>
  </si>
  <si>
    <t>010/041/0259</t>
  </si>
  <si>
    <t>Com Old Mutual</t>
  </si>
  <si>
    <t>010/161/0118</t>
  </si>
  <si>
    <t>Humanitarian Grant</t>
  </si>
  <si>
    <t>010/300/1013</t>
  </si>
  <si>
    <t>010/310/1021</t>
  </si>
  <si>
    <t>020/440/1301</t>
  </si>
  <si>
    <t>027/440/1350</t>
  </si>
  <si>
    <t>030/440/1301</t>
  </si>
  <si>
    <t>031/300/1009</t>
  </si>
  <si>
    <t>Acting allow</t>
  </si>
  <si>
    <t>031/440/1337</t>
  </si>
  <si>
    <t>special activities</t>
  </si>
  <si>
    <t>050/161/0102</t>
  </si>
  <si>
    <t>050/300/1005</t>
  </si>
  <si>
    <t>050/350/1072</t>
  </si>
  <si>
    <t>064/300/1013</t>
  </si>
  <si>
    <t>065/700/0305</t>
  </si>
  <si>
    <t>066/380/1318</t>
  </si>
  <si>
    <t>080/300/1017</t>
  </si>
  <si>
    <t>081/040/0140</t>
  </si>
  <si>
    <t>081/161/0073</t>
  </si>
  <si>
    <t>mig</t>
  </si>
  <si>
    <t>081/440/1369</t>
  </si>
  <si>
    <t>081/700/7634</t>
  </si>
  <si>
    <t>082/070/0134</t>
  </si>
  <si>
    <t>084/040/0124</t>
  </si>
  <si>
    <t>084/704/7635</t>
  </si>
  <si>
    <t>100/041/0260</t>
  </si>
  <si>
    <t>for the year ended 30 June 2010</t>
  </si>
  <si>
    <t>2010</t>
  </si>
  <si>
    <t>ACTUAL 09/10</t>
  </si>
  <si>
    <t>BUDGET 09/10</t>
  </si>
  <si>
    <t>2010              Actual</t>
  </si>
  <si>
    <t>2010            Budget</t>
  </si>
  <si>
    <t>2010         Variance</t>
  </si>
  <si>
    <t>2010 Variance</t>
  </si>
  <si>
    <t>2010          Variance</t>
  </si>
  <si>
    <t>2010   Variance</t>
  </si>
  <si>
    <t>EMPLOYEE RELATED COST</t>
  </si>
  <si>
    <t>RUMERATION COUNCILLORS</t>
  </si>
  <si>
    <t>PROV BAD DEBT</t>
  </si>
  <si>
    <t>LOSS ON DISPOSAL</t>
  </si>
  <si>
    <t>PROV ENVIRONMENTAL</t>
  </si>
  <si>
    <t>30 JUNE 2010</t>
  </si>
  <si>
    <t>MOVEMENTS DEBITS 09/10</t>
  </si>
  <si>
    <t>MOVEMENTS CREDITS 09/10</t>
  </si>
  <si>
    <t>Electrification project</t>
  </si>
  <si>
    <t>Sport Centre Madimbo (Mig)</t>
  </si>
  <si>
    <t>Community Hall Malale (Mig)</t>
  </si>
  <si>
    <t>Sport Centre Nancefield Ext 6 (Mig)</t>
  </si>
  <si>
    <t>Refund SWL Augustyn</t>
  </si>
  <si>
    <t>Boabab Petrolium</t>
  </si>
  <si>
    <t>Cashier money</t>
  </si>
  <si>
    <t>2009/2010</t>
  </si>
  <si>
    <t>Humanitarial Relief Grant</t>
  </si>
  <si>
    <t>IEC Voting Station</t>
  </si>
  <si>
    <t>Commision Old Mutual</t>
  </si>
  <si>
    <t>Traffic Training</t>
  </si>
  <si>
    <t>actual</t>
  </si>
  <si>
    <t>budget</t>
  </si>
  <si>
    <t>medical</t>
  </si>
  <si>
    <t>pension</t>
  </si>
  <si>
    <t>uif</t>
  </si>
  <si>
    <t>group</t>
  </si>
  <si>
    <t>acting</t>
  </si>
  <si>
    <t>full time</t>
  </si>
  <si>
    <t>mayor</t>
  </si>
  <si>
    <t>travel</t>
  </si>
  <si>
    <t>30 June 2010</t>
  </si>
  <si>
    <t>Outstanding 30 June 2010</t>
  </si>
  <si>
    <t>as at 30 June 2010</t>
  </si>
  <si>
    <t xml:space="preserve"> Balance at  30 June 2009</t>
  </si>
  <si>
    <t>Balance at  30 June 2010</t>
  </si>
  <si>
    <t>ANNUAL FINANCIAL STATEMENTS                                               FOR THE YEAR ENDED 30 JUNE 2010</t>
  </si>
  <si>
    <t>081/161/1299</t>
  </si>
  <si>
    <t>DISCRIPTION</t>
  </si>
  <si>
    <t>REVENUE FORGONE</t>
  </si>
  <si>
    <t>TOTALS LINKED TO TRIAL BALANCE</t>
  </si>
  <si>
    <t>UNSPEND</t>
  </si>
  <si>
    <t>084/040/0048</t>
  </si>
  <si>
    <t>UNMETERED</t>
  </si>
  <si>
    <t>USER</t>
  </si>
  <si>
    <t>PRE-PAID</t>
  </si>
  <si>
    <t>TRAFFIC</t>
  </si>
  <si>
    <t>LESLEY MANYATHELA</t>
  </si>
  <si>
    <t>Membership Library</t>
  </si>
  <si>
    <t>Grave fees</t>
  </si>
  <si>
    <t>clearance</t>
  </si>
  <si>
    <t>traffic</t>
  </si>
  <si>
    <t>Gain on sale of stands</t>
  </si>
  <si>
    <t>081/040/0150</t>
  </si>
  <si>
    <t>rent other council</t>
  </si>
  <si>
    <t>Rent other council prop</t>
  </si>
  <si>
    <t>ELEC PRE-PAID</t>
  </si>
  <si>
    <t>GRANT</t>
  </si>
  <si>
    <t>Tariff increase</t>
  </si>
  <si>
    <t>Consumers Deposits other</t>
  </si>
  <si>
    <t>Consumers Deposits elec</t>
  </si>
  <si>
    <t>6469</t>
  </si>
  <si>
    <t>Lesley Manyathela I(Mig)</t>
  </si>
  <si>
    <t>052</t>
  </si>
  <si>
    <t>Zelpy3</t>
  </si>
  <si>
    <t>Other debtors are recognised at cost as permitted in terms of directive 4.</t>
  </si>
  <si>
    <t>A</t>
  </si>
  <si>
    <t>D</t>
  </si>
  <si>
    <t>E</t>
  </si>
  <si>
    <t>EB</t>
  </si>
  <si>
    <t>EN</t>
  </si>
  <si>
    <t>IN</t>
  </si>
  <si>
    <t>L</t>
  </si>
  <si>
    <t>LI</t>
  </si>
  <si>
    <t>LM</t>
  </si>
  <si>
    <t>LN</t>
  </si>
  <si>
    <t>P</t>
  </si>
  <si>
    <t>PQ</t>
  </si>
  <si>
    <t>RR</t>
  </si>
  <si>
    <t>SP</t>
  </si>
  <si>
    <t>ST</t>
  </si>
  <si>
    <t>SU</t>
  </si>
  <si>
    <t>W</t>
  </si>
  <si>
    <t>WB</t>
  </si>
  <si>
    <t>WN</t>
  </si>
  <si>
    <t>X</t>
  </si>
  <si>
    <t>--- --</t>
  </si>
  <si>
    <t>----------------</t>
  </si>
  <si>
    <t>TOT</t>
  </si>
  <si>
    <t>Cat Tf</t>
  </si>
  <si>
    <t>Pre-paid</t>
  </si>
  <si>
    <t>30 Days</t>
  </si>
  <si>
    <t>60 Days</t>
  </si>
  <si>
    <t>90 Days</t>
  </si>
  <si>
    <t>120 Days</t>
  </si>
  <si>
    <t>150+ Days</t>
  </si>
  <si>
    <t>Parked Arrears</t>
  </si>
  <si>
    <t>Advanced Payments</t>
  </si>
  <si>
    <t>Advanced payments transfer to Vhembe</t>
  </si>
  <si>
    <t>Carrying values at 1 July 2009</t>
  </si>
  <si>
    <t>Carrying values at 30 June 2010</t>
  </si>
  <si>
    <t xml:space="preserve">Advanced payments transfer </t>
  </si>
  <si>
    <t>Guarantees held in lieu of electricity deposits</t>
  </si>
  <si>
    <t>082/180/5100</t>
  </si>
  <si>
    <t>Less non monetary transactions;</t>
  </si>
  <si>
    <t>Less;</t>
  </si>
  <si>
    <t>Non monetary exchange gain on Municipal Land</t>
  </si>
  <si>
    <t>Unmetered consumption</t>
  </si>
  <si>
    <t>Decrease in debtors</t>
  </si>
  <si>
    <t>prov environmental</t>
  </si>
  <si>
    <t>advanced pre-paid</t>
  </si>
  <si>
    <t>Account number :  4074881456</t>
  </si>
  <si>
    <t>Type : Traffic</t>
  </si>
  <si>
    <t>interest outstanding debtors</t>
  </si>
  <si>
    <t>Prior year correction foreign transaction stock</t>
  </si>
  <si>
    <t>Prior year correction trade creditors</t>
  </si>
  <si>
    <t>Prior year correction creditors provisions</t>
  </si>
  <si>
    <t>Prior year correction debtors</t>
  </si>
  <si>
    <t>Prior year correction creditors general</t>
  </si>
  <si>
    <t>Prior year correction vat receivable</t>
  </si>
  <si>
    <t>010</t>
  </si>
  <si>
    <t>066</t>
  </si>
  <si>
    <t>110</t>
  </si>
  <si>
    <t>080</t>
  </si>
  <si>
    <t>081</t>
  </si>
  <si>
    <t>050</t>
  </si>
  <si>
    <t>025</t>
  </si>
  <si>
    <t>020</t>
  </si>
  <si>
    <t>120</t>
  </si>
  <si>
    <t>100</t>
  </si>
  <si>
    <t>082</t>
  </si>
  <si>
    <t>032</t>
  </si>
  <si>
    <t xml:space="preserve">Patrick Mushathana </t>
  </si>
  <si>
    <t>Jenita's Tent for Hire</t>
  </si>
  <si>
    <t>Tsa Bophelo media</t>
  </si>
  <si>
    <t>NTK</t>
  </si>
  <si>
    <t xml:space="preserve">P &amp; L Hardeware </t>
  </si>
  <si>
    <t>The Cleaning Campaign</t>
  </si>
  <si>
    <t xml:space="preserve">Smartline General Trading </t>
  </si>
  <si>
    <t xml:space="preserve">The Computer Shop </t>
  </si>
  <si>
    <t xml:space="preserve">FT Boikanyo's </t>
  </si>
  <si>
    <t>Sethabisi sa Africa</t>
  </si>
  <si>
    <t>Staplex 529 CC</t>
  </si>
  <si>
    <t xml:space="preserve">MES Engineering </t>
  </si>
  <si>
    <t>JK Trading</t>
  </si>
  <si>
    <t>Dr S Rudolph</t>
  </si>
  <si>
    <t>Musina Community Radio</t>
  </si>
  <si>
    <t>Mercurius Motors</t>
  </si>
  <si>
    <t>Advocate Mudungu</t>
  </si>
  <si>
    <t xml:space="preserve">Vista Kliniek </t>
  </si>
  <si>
    <t xml:space="preserve">Solly's Discount World </t>
  </si>
  <si>
    <t>Price Waterhouse Cooper</t>
  </si>
  <si>
    <t xml:space="preserve">Stars Drama Group </t>
  </si>
  <si>
    <t>Community  Theatre</t>
  </si>
  <si>
    <t xml:space="preserve">Singo TP </t>
  </si>
  <si>
    <t xml:space="preserve">Impala Lily Lodge </t>
  </si>
  <si>
    <t>Buffulo Ridge Spur</t>
  </si>
  <si>
    <t>Trans Atlantic Entertainment</t>
  </si>
  <si>
    <t xml:space="preserve">Pumps for Afrika </t>
  </si>
  <si>
    <t xml:space="preserve">Static Electrical </t>
  </si>
  <si>
    <t>Ravi's Discount world</t>
  </si>
  <si>
    <t xml:space="preserve">Limpopo Enterprizes </t>
  </si>
  <si>
    <t>Dr Ramjee Vista</t>
  </si>
  <si>
    <t xml:space="preserve">Workshop Electronics </t>
  </si>
  <si>
    <t>Pechi Hospitality Serv</t>
  </si>
  <si>
    <t xml:space="preserve">Central Africa Crushers </t>
  </si>
  <si>
    <t xml:space="preserve">Gunthers Country Lodge </t>
  </si>
  <si>
    <t>JP Boshoff</t>
  </si>
  <si>
    <t xml:space="preserve">VM Diamond Transport </t>
  </si>
  <si>
    <t xml:space="preserve">TC Verkoeling </t>
  </si>
  <si>
    <t>The Bushmen Inn</t>
  </si>
  <si>
    <t>Provision of enough transport</t>
  </si>
  <si>
    <t>Provision of chairs,tables, Sound</t>
  </si>
  <si>
    <t>Advertisement needed for  spesific publication</t>
  </si>
  <si>
    <t xml:space="preserve">Tents &amp; Chairs </t>
  </si>
  <si>
    <t>MLM - financial crisis</t>
  </si>
  <si>
    <t>Toilets were required while in progress</t>
  </si>
  <si>
    <t>Mayors new office needed elec. Equipm.</t>
  </si>
  <si>
    <t>Printers Nancefield Cashier broke down</t>
  </si>
  <si>
    <t xml:space="preserve">Safety boots &amp; protective clothing </t>
  </si>
  <si>
    <t>Municipal Sound not strong enough</t>
  </si>
  <si>
    <t>Band was requested to perform at show, to attract more people</t>
  </si>
  <si>
    <t>Late A Munzhele, tents chairs, tables</t>
  </si>
  <si>
    <t>Transport for Snr. Citizens to Makhado</t>
  </si>
  <si>
    <t xml:space="preserve">Repairs to Tech. Dep. Vehicles </t>
  </si>
  <si>
    <t>Urgent Shelves Required</t>
  </si>
  <si>
    <t>MLM busy with valuations, Rudolph avail</t>
  </si>
  <si>
    <t>Advertised annual Show for max publisity</t>
  </si>
  <si>
    <t>Services of mercedes motor cars</t>
  </si>
  <si>
    <t>Investigation on wrong info sent to media</t>
  </si>
  <si>
    <t xml:space="preserve">Official referred to specific clinic </t>
  </si>
  <si>
    <t xml:space="preserve">Camera fell, had to be replaced </t>
  </si>
  <si>
    <t xml:space="preserve">MLM requested presentation </t>
  </si>
  <si>
    <t>Prize for Arts&amp;Culture festival Compet.</t>
  </si>
  <si>
    <t>Guests placed according to availabilty</t>
  </si>
  <si>
    <t xml:space="preserve">Restaurant visited to availabilty </t>
  </si>
  <si>
    <t>Advertorial on Profile and achievement Mun</t>
  </si>
  <si>
    <t>Repairs Limpopo bulk water transfer pump</t>
  </si>
  <si>
    <t>Only company to repair vehicles in Musina</t>
  </si>
  <si>
    <t>New bicycles for meter readers</t>
  </si>
  <si>
    <t>Compressor, Jack hammer Pipes needed</t>
  </si>
  <si>
    <t>Only Company to calibrate end set machine</t>
  </si>
  <si>
    <t>Very short notice for catering</t>
  </si>
  <si>
    <t>Urgent Remedial work for re-opening</t>
  </si>
  <si>
    <t>Creating of Boabab trees for Tourism</t>
  </si>
  <si>
    <t>Transport needed for Late Mokabane JP</t>
  </si>
  <si>
    <t>No spares for old aircon - need replacement</t>
  </si>
  <si>
    <t xml:space="preserve">Urgent transportation required urgently </t>
  </si>
  <si>
    <t xml:space="preserve">Urgent toilets needed to be placed at show grounds for Show </t>
  </si>
  <si>
    <t>Arrangements for payments on debtors accounts</t>
  </si>
  <si>
    <t>Accounting policy for 2009/2010 financial year</t>
  </si>
  <si>
    <t>Accounting policy for the 2009/2010 financial year</t>
  </si>
  <si>
    <t>Finance Cost</t>
  </si>
  <si>
    <t>Correction</t>
  </si>
  <si>
    <t>SUB TOTAL REVENUE</t>
  </si>
  <si>
    <t>Finance Income</t>
  </si>
  <si>
    <t>TOTAL REVENUE</t>
  </si>
  <si>
    <t>EXPENDITURE BEFORE FINANCE COST</t>
  </si>
  <si>
    <t>TOTAL EXPENDITURE</t>
  </si>
  <si>
    <t>Original Budget</t>
  </si>
  <si>
    <t>Budget Adjustment</t>
  </si>
  <si>
    <t>Virement</t>
  </si>
  <si>
    <t>010/300/1014</t>
  </si>
  <si>
    <t>010/440/1389</t>
  </si>
  <si>
    <t>020/300/1006</t>
  </si>
  <si>
    <t>022/440/1301</t>
  </si>
  <si>
    <t>025/440/1369</t>
  </si>
  <si>
    <t>VALUATION ROLL</t>
  </si>
  <si>
    <t>050/300/1006</t>
  </si>
  <si>
    <t>OPERATIONAL</t>
  </si>
  <si>
    <t>050/440/1301</t>
  </si>
  <si>
    <t>ADVERTISING</t>
  </si>
  <si>
    <t>ALLOWANCE</t>
  </si>
  <si>
    <t>052/440/1301</t>
  </si>
  <si>
    <t>052/440/1367</t>
  </si>
  <si>
    <t>063/440/1301</t>
  </si>
  <si>
    <t>031/440/1301</t>
  </si>
  <si>
    <t>065/300/1012</t>
  </si>
  <si>
    <t>housing</t>
  </si>
  <si>
    <t>064/440/1366</t>
  </si>
  <si>
    <t>telephone</t>
  </si>
  <si>
    <t>100/440/1301</t>
  </si>
  <si>
    <t>advertising</t>
  </si>
  <si>
    <t>080/300/1006</t>
  </si>
  <si>
    <t>080/440/1301</t>
  </si>
  <si>
    <t>080/440/1340</t>
  </si>
  <si>
    <t>080/380/1112</t>
  </si>
  <si>
    <t>IDP Workshop</t>
  </si>
  <si>
    <t>090/300/1001</t>
  </si>
  <si>
    <t>090/300/1002</t>
  </si>
  <si>
    <t>090/300/1004</t>
  </si>
  <si>
    <t>092/300/1001</t>
  </si>
  <si>
    <t>ORIGINAL 09/10</t>
  </si>
  <si>
    <t>ADJUSTMENT 09/10</t>
  </si>
  <si>
    <t>APPENDIX E (1)a</t>
  </si>
  <si>
    <t>STATEMENT OF COMPARATIVE AND ACTUAL INFORMATION</t>
  </si>
  <si>
    <t>Final Budget</t>
  </si>
  <si>
    <t>Actual Outcome</t>
  </si>
  <si>
    <t>Unauthorised Expenditure</t>
  </si>
  <si>
    <t>Actual Outcome as % of Final Budget</t>
  </si>
  <si>
    <t>temporary</t>
  </si>
  <si>
    <t>ORIGINAL BUDGET</t>
  </si>
  <si>
    <t>ADJ BUDGET</t>
  </si>
  <si>
    <t>FINAL</t>
  </si>
  <si>
    <t>Actual Outcome as % of Original Budget</t>
  </si>
  <si>
    <t>3 &amp; 4</t>
  </si>
  <si>
    <t>Monthly instalments of R106,569 each are payable on the last day of each month. Interest is payable at 15% per annum. The final instalment is payable on 08/03/2011. The agreement does not provide for contingent rental payments.</t>
  </si>
  <si>
    <t>Sub Total creditors</t>
  </si>
  <si>
    <t>Valuations on land and buildings are performed every four years.  The last valuation came into effect on 1 July 2007.  Interim valuations are processed on a quarterly basis to take into account changes in individual property values due to alterations and subdivisions.  A general rate of R0.008627 is applied to property valuations to determine assessment rates.    Rates are levied on an annual basis on state and De Beers property owners, or rates are levied monthly.  Interest at prime + 1% per annum are levied on outstanding rates.</t>
  </si>
  <si>
    <t>Opening Balance 08/09</t>
  </si>
  <si>
    <t>Closing Balance 09/10</t>
  </si>
  <si>
    <t>Budget Additions 2010</t>
  </si>
  <si>
    <t>082/360/5100</t>
  </si>
  <si>
    <t>overtime</t>
  </si>
  <si>
    <t>annual</t>
  </si>
  <si>
    <t>Rental</t>
  </si>
  <si>
    <t>Medical Examination</t>
  </si>
  <si>
    <t>Ptotectiva clothing</t>
  </si>
  <si>
    <t>Computer Hardware</t>
  </si>
  <si>
    <t>Township establish</t>
  </si>
  <si>
    <t>Research</t>
  </si>
  <si>
    <t>Transaction fees</t>
  </si>
  <si>
    <t>Production Drivers</t>
  </si>
  <si>
    <t>Transaction Fees</t>
  </si>
  <si>
    <t>Township Establishment</t>
  </si>
  <si>
    <t>Protective clothing</t>
  </si>
  <si>
    <t>Internal study</t>
  </si>
  <si>
    <t>Internal Auditors</t>
  </si>
  <si>
    <t>External Auditors</t>
  </si>
  <si>
    <t>Bank Admin Fee</t>
  </si>
  <si>
    <t>Campaign Cleaning</t>
  </si>
  <si>
    <t>Community Liason</t>
  </si>
  <si>
    <t>Conference &amp; Convention</t>
  </si>
  <si>
    <t>Mayoral exellence award</t>
  </si>
  <si>
    <t>It Lease</t>
  </si>
  <si>
    <t>Internal Study</t>
  </si>
  <si>
    <t>Job Evaluation</t>
  </si>
  <si>
    <t>Medical examination</t>
  </si>
  <si>
    <t>Membership fees</t>
  </si>
  <si>
    <t>Musina Annual Show</t>
  </si>
  <si>
    <t>Printing &amp; Stationary</t>
  </si>
  <si>
    <t>Production Drivers Cards</t>
  </si>
  <si>
    <t>Protective Clothing</t>
  </si>
  <si>
    <t>Special Activities</t>
  </si>
  <si>
    <t>Subsistance &amp; Travel</t>
  </si>
  <si>
    <t>Youth Assistance</t>
  </si>
  <si>
    <t>Certify that the remuneration of councillors (as disclosed in note 26) is in accordance with the Public Office Bearers Act, Act 20 of 1998 and the Minister of Provincial and Local Government’s determination of the upper limits of the salaries, allowances and benefits as promulgated annually.</t>
  </si>
  <si>
    <t>Audit Fees (Internal &amp; External)</t>
  </si>
  <si>
    <t>Sundry Debtors &amp; Environmental</t>
  </si>
  <si>
    <t>Revenue unspend grant - Capital</t>
  </si>
  <si>
    <t>(Increase)/decrease in creditors</t>
  </si>
  <si>
    <t>(Increase)/decrease in Unspent conditional Grants and Receipts</t>
  </si>
  <si>
    <t>RELATED PARTY DISCLOSURE</t>
  </si>
  <si>
    <t>Intangible assets are recognised at cost.  Cost is defined as the amount of cash or cash equivalents paid or the fair value of the other considerations given to acquire the asset at the time of its acquisition or construction.  Only cost incurred on computer software and websites that meet the definition of an intangible asset are recognised as permitted in terms of Derective 4.  All other cost incurred on intangible assets during the exemption period has been expensed.</t>
  </si>
  <si>
    <t>Unsold properties are valued at market value.</t>
  </si>
  <si>
    <t>There are no key assumptions concerning the future and other uncertainty on the reporting date that have a signaficant risk of causing material adjustments in subsequent for future financial years</t>
  </si>
  <si>
    <t xml:space="preserve">     Total 30 June 2009</t>
  </si>
  <si>
    <t xml:space="preserve">     Total July 2009 to June 2010</t>
  </si>
  <si>
    <t xml:space="preserve">     Total July 2010</t>
  </si>
  <si>
    <t xml:space="preserve">Expenditure Amount  Allocated to Zelpy </t>
  </si>
  <si>
    <t>Open Edge Tech (Web- site)</t>
  </si>
  <si>
    <t>GD Marketing</t>
  </si>
  <si>
    <t>Auditor General</t>
  </si>
  <si>
    <t>Funds Transfer</t>
  </si>
  <si>
    <t>Salaris</t>
  </si>
  <si>
    <t>Eskom</t>
  </si>
  <si>
    <t>creditors</t>
  </si>
  <si>
    <t>Registration</t>
  </si>
  <si>
    <t>TRADE AND OTHER RECEIVABLES FROM</t>
  </si>
  <si>
    <t>EXCHANGE TRANSACTIONS</t>
  </si>
  <si>
    <t>All reserves are include under the Asccumulated surplus in the Statement of Financial Position.</t>
  </si>
  <si>
    <t>15a.</t>
  </si>
  <si>
    <t>NON EXCHANGE TRANSACTIONS</t>
  </si>
  <si>
    <t>Propery Rates</t>
  </si>
  <si>
    <t>Licences and Permits</t>
  </si>
  <si>
    <t>Government Grants and Subsidies</t>
  </si>
  <si>
    <t>Rentals of Facilities</t>
  </si>
  <si>
    <t>Interest earned - External Investment</t>
  </si>
  <si>
    <t>Interest earned - Outstanding Debtors</t>
  </si>
  <si>
    <t>BALANCE</t>
  </si>
  <si>
    <t>15b</t>
  </si>
  <si>
    <t>Debtors are recognised at cost as permitted in terms of derective 4</t>
  </si>
  <si>
    <t>INTEREST PAID DBSA</t>
  </si>
  <si>
    <t xml:space="preserve">(DBSA) MUN BUILDING </t>
  </si>
  <si>
    <t xml:space="preserve">(DBSA) REFUSE COMPACTER </t>
  </si>
  <si>
    <t>(DBSA) ROADS 1</t>
  </si>
  <si>
    <t>(DBSA) MANAGERS OFFICE PROJECT</t>
  </si>
  <si>
    <t>(DBSA) ROADS 2</t>
  </si>
  <si>
    <t>(DBSA) NEW BUILDING PHASE 1</t>
  </si>
  <si>
    <t>(DBSA) INFRASTRUCTURE</t>
  </si>
  <si>
    <t>(DBSA) LESLEY MANHATHELA</t>
  </si>
  <si>
    <t>(DBSA) MUN BUILDING PHASE 2</t>
  </si>
  <si>
    <t>(DBSA) WORKSHOP</t>
  </si>
  <si>
    <t>(BANKFIN) TOYOTA HILUX 2.5D-4D</t>
  </si>
  <si>
    <t>(BANKFIN) 2008 S.A.M.E EXPLORER 85 SPE</t>
  </si>
  <si>
    <t>(BANKFIN) 2008 TOYOTA DYNA 7-105 4.5 TO</t>
  </si>
  <si>
    <t>(BANKFIN) TOYOTA HILUX 4.0 D/C RAI</t>
  </si>
  <si>
    <t>(BANKFIN) AVESIS 2.0 ADVAN</t>
  </si>
  <si>
    <t>(BANKFIN) 2008 RCEDES BENZ MO350(W164)</t>
  </si>
  <si>
    <t>(BANKFIN) 2008 HINO 13-237</t>
  </si>
  <si>
    <t xml:space="preserve">(INCA) ELECTRICITY </t>
  </si>
  <si>
    <t>*  Note 15A</t>
  </si>
  <si>
    <t>TRADE AND OTHER RECEIVABLES FROM EXCHANGE TRANSACTIONS</t>
  </si>
  <si>
    <t>TRADE AND OTHER RECEIVABLES FROM NON EXCHANGE TRANSACTIONS</t>
  </si>
  <si>
    <t>* APPENDIX E(1)A</t>
  </si>
  <si>
    <t>STATEMENT OF COMPARITIVE AND ACTUAL INFORMATION</t>
  </si>
  <si>
    <t xml:space="preserve">              Closing Balance 09/10</t>
  </si>
  <si>
    <t xml:space="preserve">                Opening Balance 08/09</t>
  </si>
  <si>
    <t xml:space="preserve">                  Opening Balance </t>
  </si>
  <si>
    <t xml:space="preserve">                  Opening Balance 08/09</t>
  </si>
  <si>
    <t xml:space="preserve">Opening Balance </t>
  </si>
  <si>
    <t>CLOSING BAL 09/10</t>
  </si>
  <si>
    <t>Zelpy 1903 (Pty) Ltd is a entity ot the Municipality and the municipality is the only share holder</t>
  </si>
  <si>
    <t>A N LURULI</t>
  </si>
  <si>
    <t>Balance at 30 June 2010</t>
  </si>
  <si>
    <t>Sub Accumulated surplus:  end of year</t>
  </si>
  <si>
    <t xml:space="preserve"> 1 year</t>
  </si>
  <si>
    <t>The Municipality has taken advantage of the transitional provisions set out in Directive 4. The Municipality is in the process of itemizing all infrastructure and community assets and will recalculate accumulated depreciation once this exercise has been completed by 30 June 2010. At present depreciation on these assets is calculated on an averaging basis whereby an average useful life has been estimated for each category of infrastructure and community assets, using global historical costs recorded in the accounting records. Futhermore, the Municipality has not assessed whether items of property, plant and equipment are impaired. It is expected that an assessment of impairments will be done by 30June 2010.</t>
  </si>
  <si>
    <t>Creditors are recognised at cost and no interest was recognised as a result of any time value of money adjustments as permitted per directive 4</t>
  </si>
  <si>
    <t>The Minister of Finance has, in terms of General Notice 552 of 2007 exempted compliance with certain of the above-mentioned standards and aspects or parts of these standards.  Details of the exemptions applicable to the municipality have been provided in the notes to the annual statements, except for IAS 19 / AC 116.  An application for deviating from Gazette 30013 of 29 June 2007 to fully comply with IAS 19 / AC 116 for the 2006/2007 financial year was granted by National Treasury.</t>
  </si>
  <si>
    <t>Incomplete construction work is stated at historical cost and depreciated only when the asset is commissioned into use, and are accounted for in accordance with the exemptions in terms of Directive 4.</t>
  </si>
  <si>
    <t>The useful life or depreciation method for items of property, plant and equipment that have been recognised was not reviewed as permitted in terms of Directive 4.</t>
  </si>
  <si>
    <t>The testing for and impairing of any items of property, plant and equipment were not accounted for as permitted in terms of Directive 4</t>
  </si>
  <si>
    <t>The process for identifying investment property had not been finalised and items that may meet the definition was accounted for in terms of GAMAP 17 under property, plant and equipment as permitted in terms of Directive 4.</t>
  </si>
  <si>
    <t>Financial instruments include cash and bank balance, investments, trade receivables and borrowings.  The municipality classifies its financial assets as loans and receivables.  Financial instruments are accounted for in accordance with the exemptions in terms of Directive 4.</t>
  </si>
  <si>
    <t>Operating leases are those leases that do not fall within the scope of the above definition.  Operating lease payments are recognised according to actual cash outflows as per the lease contract as permited in terms of Directive 4. There is no existance and terms of renewal or purchase options and excalation clauses in the contract</t>
  </si>
  <si>
    <t>Trade creditors are recognise initially at cost price as permitted in terms of Directive 4.</t>
  </si>
  <si>
    <t>Revenue are initially recognised at cost as permitted in terms of Directive 4.</t>
  </si>
  <si>
    <t>Bad provision are not accounted for under IAS39 and thus that was not tested for impairment in terms of  Directive 4.</t>
  </si>
  <si>
    <t>Consultance &amp; Professional</t>
  </si>
  <si>
    <t>Consumable Domestic items</t>
  </si>
  <si>
    <t>Paupers Burials</t>
  </si>
  <si>
    <t>VAT is payable on the receipt basis. VAT is paid over to SARS once payments are received from debtors.  VAT input receivables and VAT output receivable are shown in notes 16 and 8 respectively.  All VAT returns have been submitted by the due date throughout the year.</t>
  </si>
  <si>
    <t xml:space="preserve">ADDITIONAL DISCLOSURES IN TERMS OF SECTION 125 OF MUNICIPAL FINANCE MANAGEMENT ACT, 2003 </t>
  </si>
  <si>
    <t>Less Collected</t>
  </si>
  <si>
    <t>Collected more</t>
  </si>
  <si>
    <t>Decreased interest rate</t>
  </si>
  <si>
    <t>Lack of staff</t>
  </si>
  <si>
    <t>More Applications</t>
  </si>
  <si>
    <t>Dispute with Vhembe</t>
  </si>
  <si>
    <t>Unspend portion 2010/2011</t>
  </si>
  <si>
    <t>Sale of stands not realized in 09/10 only 10/11</t>
  </si>
  <si>
    <t>Addision of stands on PPE</t>
  </si>
  <si>
    <t>Not a cash transaction</t>
  </si>
  <si>
    <t>Leave calculation corrected</t>
  </si>
  <si>
    <t>Accumulated (surplus)/Deficit:  beginning of year</t>
  </si>
  <si>
    <t>Operating (surplus)/deficit for the year</t>
  </si>
  <si>
    <t>HED</t>
  </si>
  <si>
    <t>E-MAIL : MSNAFINANCE@LIMPOPO.CO.ZA</t>
  </si>
  <si>
    <t>Contracted services (Security)</t>
  </si>
  <si>
    <t>·         National fund for Municipal workers</t>
  </si>
  <si>
    <t>Government Grant transfer to reserve</t>
  </si>
  <si>
    <t>Unspend Grant amount transfer to Liability</t>
  </si>
  <si>
    <t>Stock stands</t>
  </si>
  <si>
    <t>See note 20 for reconciliation of grants. Funds is committed to projects. Some of projects was completed in 2009/2010. The funds still need to be paid, e.g. Retention money.</t>
  </si>
  <si>
    <r>
      <t xml:space="preserve">I, </t>
    </r>
    <r>
      <rPr>
        <b/>
        <sz val="10"/>
        <rFont val="Arial"/>
        <family val="2"/>
      </rPr>
      <t>Abram Ntshavheni Luruli</t>
    </r>
    <r>
      <rPr>
        <sz val="10"/>
        <rFont val="Arial"/>
        <family val="2"/>
      </rPr>
      <t>, Municipal Manager, certify that the remuneration of councillors are in accordance with the Public Office Bearers Act, Act 20 of 1998 and the Minister of Provincial and Local Government’s determination of the upper limits of the salaries, allowances and benefits as promulgated by Government Gazette 32833, dated  21 December 2009 under Notice number R 1225.</t>
    </r>
  </si>
  <si>
    <t>Total interest earned external investment &amp; outstanding debtors (Nota 22 &amp; 23)</t>
  </si>
  <si>
    <t>Amount paid current year sars</t>
  </si>
  <si>
    <t>Total outstanding debtors for 01 July 2009 to 30 June 2010</t>
  </si>
  <si>
    <t>Total amount  as on 30 June 2010</t>
  </si>
  <si>
    <t>Total billings for the year 01 July 2009 to 30 June 2010 for :</t>
  </si>
  <si>
    <t>Total amount of stock in stores as on 30 June 2010</t>
  </si>
  <si>
    <t>Assets bought 09/10</t>
  </si>
  <si>
    <t>The cost of indigent subsidy for water and sewerage for the financial year ended 1 July 2009 - 30 June 2010</t>
  </si>
  <si>
    <t>Total provision for bad debt July 2004 - June 2010</t>
  </si>
  <si>
    <t>Value of cards as at 30 June 2010</t>
  </si>
  <si>
    <t>Pest Control</t>
  </si>
  <si>
    <t>Project Farmers</t>
  </si>
  <si>
    <t>Prior year price adj issues</t>
  </si>
  <si>
    <t>SUNLYN RENTALS (PTY) LTD</t>
  </si>
  <si>
    <t>TECHNOLOGIES ACCEPTANCE</t>
  </si>
  <si>
    <t>*  ACCOUNTING STANDARD BOARD</t>
  </si>
  <si>
    <t>DIRECTIVE 4</t>
  </si>
  <si>
    <t>BANK &amp; CASH BALANCES</t>
  </si>
  <si>
    <t>Traffic Fines</t>
  </si>
  <si>
    <t>As Vhembe District Municipality is the Water Services Authority and Musina Local Municipality is the water services provider , how ever the service level agreement was in dispute and the dispute was lodged with National Treasury for a final decision. The final decision from National Treasury states that all assets should be in the books of Vhembe Districtt Municipality therefor Musina Local Municipality will not include any water transations or assets in there Annual Financial Statements. The following transactions are involved:</t>
  </si>
  <si>
    <t>CFO</t>
  </si>
  <si>
    <t xml:space="preserve">MUNICIPAL MANAGER                                                    </t>
  </si>
  <si>
    <t>T MOCKE</t>
  </si>
  <si>
    <t>*  Note 15B</t>
  </si>
  <si>
    <t>47-48</t>
  </si>
  <si>
    <t>Solly Noor</t>
  </si>
  <si>
    <t>Sunlyn Rentals</t>
  </si>
  <si>
    <t>Accumulated Depretiation Itangible</t>
  </si>
  <si>
    <t>Stale cheques not cancelled</t>
  </si>
  <si>
    <t>Movement</t>
  </si>
  <si>
    <t>correction</t>
  </si>
  <si>
    <t xml:space="preserve">During the current financial year the following grant was made in Zelpy 1903 Pty Ltd.  </t>
  </si>
  <si>
    <t>Software</t>
  </si>
  <si>
    <t>Depreciation Correction</t>
  </si>
  <si>
    <t>Depreciation correction</t>
  </si>
  <si>
    <t>010/440/1404</t>
  </si>
  <si>
    <t>Cutt off revenue billing elec</t>
  </si>
  <si>
    <t>Cutt off revenue billing</t>
  </si>
  <si>
    <t>COMMITMENTS</t>
  </si>
  <si>
    <t>Commitments in respect of expenditure:</t>
  </si>
  <si>
    <t>Open Edge</t>
  </si>
  <si>
    <t>Audit fees internal</t>
  </si>
  <si>
    <t>Contractors</t>
  </si>
  <si>
    <t>Security</t>
  </si>
  <si>
    <t>See Note 10B, Appendix B(2) and Appendix C(2)</t>
  </si>
  <si>
    <t>Prior year unspend grant</t>
  </si>
  <si>
    <t>082/450/1502</t>
  </si>
  <si>
    <t>082/170/0259</t>
  </si>
  <si>
    <t>prov paid</t>
  </si>
  <si>
    <t>cashflow</t>
  </si>
  <si>
    <t>Increase/(decrease) in investments</t>
  </si>
  <si>
    <r>
      <t>(</t>
    </r>
    <r>
      <rPr>
        <i/>
        <sz val="10"/>
        <rFont val="Arial"/>
        <family val="2"/>
      </rPr>
      <t>see note 8</t>
    </r>
    <r>
      <rPr>
        <sz val="10"/>
        <rFont val="Arial"/>
        <family val="2"/>
      </rPr>
      <t>)</t>
    </r>
  </si>
  <si>
    <r>
      <t>Made up as follows</t>
    </r>
    <r>
      <rPr>
        <b/>
        <i/>
        <sz val="10"/>
        <rFont val="Arial"/>
        <family val="2"/>
      </rPr>
      <t>:</t>
    </r>
  </si>
  <si>
    <t>Humanitarian relief Grant</t>
  </si>
  <si>
    <t xml:space="preserve">DBSA GRANT </t>
  </si>
  <si>
    <t>The municipality funded the entity with a grant which was paid to the entity on a monthly basis</t>
  </si>
  <si>
    <t>Due to insurgance of Zimbabwean citizens into Musina, all services rendered to the town were under enormous strain.  We were therefore neccesitated to use the goverment grants, for unforeseen expences</t>
  </si>
  <si>
    <t>Due to contracts that were extended or renewed to such an extent that competitive bidding processes were being circumvented.</t>
  </si>
  <si>
    <t>Due to deviations from the procurement processes (invitations of three written quotations, increase to bidding price, and no relevant contract or tender documentation) that were approved on the basis of it being an emergency, while it was possible to comply with the requirements or where proper planning would have prevented the deviations.</t>
  </si>
  <si>
    <t>Retention Lesley Manyathela</t>
  </si>
  <si>
    <t xml:space="preserve">FRUITLESS AND WASTEFUL EXPENDITURE </t>
  </si>
  <si>
    <t>Due to interest paid off a result off late payments to suppliers</t>
  </si>
  <si>
    <t>TOTAL IRREGULAR EXPENDITURE</t>
  </si>
  <si>
    <t>*  Note 45.1</t>
  </si>
  <si>
    <t>KPBM</t>
  </si>
  <si>
    <t>Freedom T. Boikanyo</t>
  </si>
  <si>
    <t>Morokolo Communications</t>
  </si>
  <si>
    <t>African Renaissance</t>
  </si>
  <si>
    <t>Open Edge Finance</t>
  </si>
  <si>
    <t>contracts</t>
  </si>
  <si>
    <t>Micromath</t>
  </si>
  <si>
    <t>Plankonsult</t>
  </si>
  <si>
    <t>formal quotations</t>
  </si>
  <si>
    <t>084</t>
  </si>
  <si>
    <t>Mbatini Electrical CC</t>
  </si>
  <si>
    <t>Other receivables</t>
  </si>
  <si>
    <t>(Increase)/decrease in bank equivalent</t>
  </si>
  <si>
    <t>Zelpy 1903 pty ltd</t>
  </si>
  <si>
    <t>Dbsa</t>
  </si>
  <si>
    <t xml:space="preserve">TOTAL FRUITLESS AND WASTEFUL EXPENDITURE </t>
  </si>
  <si>
    <t>Prior year correction environmental</t>
  </si>
  <si>
    <t>SUB TOTAL</t>
  </si>
  <si>
    <t>Municipal Infrastructure</t>
  </si>
  <si>
    <t>first draft</t>
  </si>
  <si>
    <t>difference first draft &amp; final</t>
  </si>
  <si>
    <t>Vonitel Radio</t>
  </si>
  <si>
    <t>Ramadwa building construction</t>
  </si>
  <si>
    <t>Council Resulotion 04/10/2010 "That Spirulina continue to operate as a LED Project" and steps be put in place to transfer ownership 30 June 2011</t>
  </si>
  <si>
    <t>The defined contribution plan was established for all employees (National Fund for Municipal Workers).  The assets of the plan are administered separately from those of the Municipality and are under the control of trustees.  Where employees leave the plan prior to full vesting of the contributions, these amounts are the fund value.  The total contributions of R2,848,138, which are in terms of the rules of the plan, are included in employee remuneration in note 25.</t>
  </si>
  <si>
    <t>9-20</t>
  </si>
  <si>
    <t>30-32</t>
  </si>
  <si>
    <t>34-35</t>
  </si>
  <si>
    <t>37-38</t>
  </si>
  <si>
    <t>43-45</t>
  </si>
  <si>
    <t>50-51</t>
  </si>
  <si>
    <t>53</t>
  </si>
  <si>
    <t>INVESTMENT PROPERTIES</t>
  </si>
</sst>
</file>

<file path=xl/styles.xml><?xml version="1.0" encoding="utf-8"?>
<styleSheet xmlns="http://schemas.openxmlformats.org/spreadsheetml/2006/main">
  <numFmts count="14">
    <numFmt numFmtId="43" formatCode="_ * #,##0.00_ ;_ * \-#,##0.00_ ;_ * &quot;-&quot;??_ ;_ @_ "/>
    <numFmt numFmtId="164" formatCode="_(* #,##0.00_);_(* \(#,##0.00\);_(* &quot;-&quot;??_);_(@_)"/>
    <numFmt numFmtId="165" formatCode="_ * #,##0_ ;_ * \-#,##0_ ;_ * &quot;-&quot;??_ ;_ @_ "/>
    <numFmt numFmtId="166" formatCode="#\ ###\ ##0;\(#\ ###\ ##0\)"/>
    <numFmt numFmtId="167" formatCode="0.0\ &quot;million&quot;;\(0.0\ &quot;million&quot;\)"/>
    <numFmt numFmtId="168" formatCode="_(* #,##0_);_(* \(#,##0\);_(* &quot;-&quot;??_);_(@_)"/>
    <numFmt numFmtId="169" formatCode="_(* #,##0.00000_);_(* \(#,##0.00000\);_(* &quot;-&quot;??_);_(@_)"/>
    <numFmt numFmtId="170" formatCode="_(* #,##0.0_);_(* \(#,##0.0\);_(* &quot;-&quot;??_);_(@_)"/>
    <numFmt numFmtId="171" formatCode="0.0%"/>
    <numFmt numFmtId="172" formatCode="&quot;R&quot;0.0\ &quot;million&quot;;\(0.0\ &quot;million&quot;\)"/>
    <numFmt numFmtId="173" formatCode="_(* #\ ###\ ##0_);_(* \(#\ ###\ ##0\);_(* &quot;-&quot;??_);_(@_)"/>
    <numFmt numFmtId="174" formatCode="#\ ###\ ###\ ##0_);\(#\ ###\ ##0\)"/>
    <numFmt numFmtId="175" formatCode="#\ ###\ ##0_);\(#\ ###\ ##0\)"/>
    <numFmt numFmtId="176" formatCode="&quot;R&quot;\ #,##0.00"/>
  </numFmts>
  <fonts count="110">
    <font>
      <sz val="11"/>
      <color theme="1"/>
      <name val="Calibri"/>
      <family val="2"/>
      <scheme val="minor"/>
    </font>
    <font>
      <sz val="10"/>
      <name val="Arial"/>
      <family val="2"/>
    </font>
    <font>
      <sz val="10"/>
      <name val="Arial"/>
      <family val="2"/>
    </font>
    <font>
      <sz val="10"/>
      <color theme="1"/>
      <name val="Arial"/>
      <family val="2"/>
    </font>
    <font>
      <sz val="10"/>
      <color theme="1"/>
      <name val="Arial"/>
      <family val="2"/>
    </font>
    <font>
      <sz val="8"/>
      <color indexed="81"/>
      <name val="Tahoma"/>
      <family val="2"/>
    </font>
    <font>
      <b/>
      <sz val="8"/>
      <color indexed="81"/>
      <name val="Tahoma"/>
      <family val="2"/>
    </font>
    <font>
      <sz val="11"/>
      <color indexed="8"/>
      <name val="Calibri"/>
      <family val="2"/>
    </font>
    <font>
      <b/>
      <sz val="10"/>
      <color indexed="8"/>
      <name val="Arial"/>
      <family val="2"/>
    </font>
    <font>
      <sz val="10"/>
      <color indexed="8"/>
      <name val="Arial"/>
      <family val="2"/>
    </font>
    <font>
      <sz val="11"/>
      <color indexed="8"/>
      <name val="Arial"/>
      <family val="2"/>
    </font>
    <font>
      <sz val="8"/>
      <color indexed="8"/>
      <name val="Arial"/>
      <family val="2"/>
    </font>
    <font>
      <b/>
      <sz val="11"/>
      <color indexed="8"/>
      <name val="Arial"/>
      <family val="2"/>
    </font>
    <font>
      <sz val="9"/>
      <color indexed="81"/>
      <name val="Tahoma"/>
      <family val="2"/>
    </font>
    <font>
      <b/>
      <sz val="9"/>
      <color indexed="81"/>
      <name val="Tahoma"/>
      <family val="2"/>
    </font>
    <font>
      <sz val="8"/>
      <name val="Calibri"/>
      <family val="2"/>
    </font>
    <font>
      <sz val="10"/>
      <name val="Arial"/>
      <family val="2"/>
    </font>
    <font>
      <b/>
      <sz val="12"/>
      <name val="Arial"/>
      <family val="2"/>
    </font>
    <font>
      <sz val="11"/>
      <color indexed="8"/>
      <name val="Calibri"/>
      <family val="2"/>
    </font>
    <font>
      <b/>
      <sz val="11"/>
      <color indexed="10"/>
      <name val="Calibri"/>
      <family val="2"/>
    </font>
    <font>
      <sz val="12"/>
      <name val="Arial"/>
      <family val="2"/>
    </font>
    <font>
      <sz val="11"/>
      <name val="Arial"/>
      <family val="2"/>
    </font>
    <font>
      <sz val="11"/>
      <color indexed="10"/>
      <name val="Calibri"/>
      <family val="2"/>
    </font>
    <font>
      <sz val="11"/>
      <name val="Calibri"/>
      <family val="2"/>
    </font>
    <font>
      <b/>
      <sz val="11"/>
      <name val="Calibri"/>
      <family val="2"/>
    </font>
    <font>
      <sz val="10"/>
      <color indexed="8"/>
      <name val="Calibri"/>
      <family val="2"/>
    </font>
    <font>
      <b/>
      <sz val="10"/>
      <color indexed="10"/>
      <name val="Calibri"/>
      <family val="2"/>
    </font>
    <font>
      <b/>
      <sz val="10"/>
      <color theme="1"/>
      <name val="Arial"/>
      <family val="2"/>
    </font>
    <font>
      <sz val="11"/>
      <color rgb="FFFF0000"/>
      <name val="Calibri"/>
      <family val="2"/>
      <scheme val="minor"/>
    </font>
    <font>
      <sz val="11"/>
      <color rgb="FFFF0000"/>
      <name val="Calibri"/>
      <family val="2"/>
    </font>
    <font>
      <b/>
      <sz val="11"/>
      <color rgb="FFFF0000"/>
      <name val="Calibri"/>
      <family val="2"/>
    </font>
    <font>
      <b/>
      <sz val="10"/>
      <name val="Calibri"/>
      <family val="2"/>
    </font>
    <font>
      <b/>
      <sz val="11"/>
      <color theme="1"/>
      <name val="Calibri"/>
      <family val="2"/>
      <scheme val="minor"/>
    </font>
    <font>
      <sz val="10"/>
      <color rgb="FFFF0000"/>
      <name val="Calibri"/>
      <family val="2"/>
    </font>
    <font>
      <sz val="11"/>
      <name val="Calibri"/>
      <family val="2"/>
      <scheme val="minor"/>
    </font>
    <font>
      <sz val="26"/>
      <color theme="1"/>
      <name val="Calibri"/>
      <family val="2"/>
      <scheme val="minor"/>
    </font>
    <font>
      <b/>
      <sz val="12"/>
      <color theme="1"/>
      <name val="ARIAL"/>
      <family val="2"/>
    </font>
    <font>
      <i/>
      <sz val="10"/>
      <color theme="1"/>
      <name val="Arial"/>
      <family val="2"/>
    </font>
    <font>
      <b/>
      <u/>
      <sz val="10"/>
      <color theme="1"/>
      <name val="Arial"/>
      <family val="2"/>
    </font>
    <font>
      <sz val="11"/>
      <color theme="1"/>
      <name val="Arial"/>
      <family val="2"/>
    </font>
    <font>
      <sz val="14"/>
      <color theme="1"/>
      <name val="Arial"/>
      <family val="2"/>
    </font>
    <font>
      <b/>
      <i/>
      <sz val="10"/>
      <color theme="1"/>
      <name val="Arial"/>
      <family val="2"/>
    </font>
    <font>
      <b/>
      <sz val="11"/>
      <color theme="1"/>
      <name val="Arial"/>
      <family val="2"/>
    </font>
    <font>
      <b/>
      <sz val="9"/>
      <color theme="1"/>
      <name val="Arial"/>
      <family val="2"/>
    </font>
    <font>
      <b/>
      <sz val="7.5"/>
      <color theme="1"/>
      <name val="Arial"/>
      <family val="2"/>
    </font>
    <font>
      <sz val="7.5"/>
      <color theme="1"/>
      <name val="Arial"/>
      <family val="2"/>
    </font>
    <font>
      <sz val="2"/>
      <color theme="1"/>
      <name val="Arial"/>
      <family val="2"/>
    </font>
    <font>
      <b/>
      <sz val="2"/>
      <color theme="1"/>
      <name val="Times New Roman"/>
      <family val="1"/>
    </font>
    <font>
      <sz val="11"/>
      <color theme="1"/>
      <name val="Calibri"/>
      <family val="2"/>
    </font>
    <font>
      <sz val="12"/>
      <color theme="1"/>
      <name val="Arial"/>
      <family val="2"/>
    </font>
    <font>
      <sz val="10"/>
      <color theme="1"/>
      <name val="Calibri"/>
      <family val="2"/>
    </font>
    <font>
      <b/>
      <sz val="10"/>
      <color theme="1"/>
      <name val="Arial Narrow"/>
      <family val="2"/>
    </font>
    <font>
      <sz val="10"/>
      <color theme="1"/>
      <name val="Arial Narrow"/>
      <family val="2"/>
    </font>
    <font>
      <b/>
      <sz val="8"/>
      <color theme="1"/>
      <name val="Arial"/>
      <family val="2"/>
    </font>
    <font>
      <sz val="8"/>
      <color theme="1"/>
      <name val="Arial"/>
      <family val="2"/>
    </font>
    <font>
      <sz val="7"/>
      <color theme="1"/>
      <name val="Times New Roman"/>
      <family val="1"/>
    </font>
    <font>
      <sz val="8"/>
      <color theme="1"/>
      <name val="Wingdings"/>
      <charset val="2"/>
    </font>
    <font>
      <sz val="8"/>
      <color theme="1"/>
      <name val="Symbol"/>
      <family val="1"/>
      <charset val="2"/>
    </font>
    <font>
      <b/>
      <sz val="6"/>
      <color theme="1"/>
      <name val="Arial"/>
      <family val="2"/>
    </font>
    <font>
      <b/>
      <sz val="14"/>
      <color theme="1"/>
      <name val="Arial"/>
      <family val="2"/>
    </font>
    <font>
      <b/>
      <u/>
      <sz val="12"/>
      <color theme="1"/>
      <name val="ARIAL"/>
      <family val="2"/>
    </font>
    <font>
      <b/>
      <sz val="16"/>
      <color theme="1"/>
      <name val="Calibri"/>
      <family val="2"/>
    </font>
    <font>
      <b/>
      <sz val="12"/>
      <color theme="1"/>
      <name val="Calibri"/>
      <family val="2"/>
    </font>
    <font>
      <b/>
      <sz val="36"/>
      <color theme="1"/>
      <name val="Arial"/>
      <family val="2"/>
    </font>
    <font>
      <b/>
      <sz val="26"/>
      <color theme="1"/>
      <name val="Calibri"/>
      <family val="2"/>
    </font>
    <font>
      <b/>
      <sz val="20"/>
      <color theme="1"/>
      <name val="Arial"/>
      <family val="2"/>
    </font>
    <font>
      <b/>
      <sz val="12"/>
      <color theme="1"/>
      <name val="Calibri"/>
      <family val="2"/>
      <scheme val="minor"/>
    </font>
    <font>
      <sz val="10"/>
      <name val="Calibri"/>
      <family val="2"/>
    </font>
    <font>
      <b/>
      <sz val="11"/>
      <name val="Calibri"/>
      <family val="2"/>
      <scheme val="minor"/>
    </font>
    <font>
      <sz val="14"/>
      <name val="Calibri"/>
      <family val="2"/>
    </font>
    <font>
      <sz val="14"/>
      <name val="Calibri"/>
      <family val="2"/>
      <scheme val="minor"/>
    </font>
    <font>
      <sz val="14"/>
      <color indexed="10"/>
      <name val="Calibri"/>
      <family val="2"/>
    </font>
    <font>
      <sz val="14"/>
      <color theme="1"/>
      <name val="Calibri"/>
      <family val="2"/>
      <scheme val="minor"/>
    </font>
    <font>
      <sz val="14"/>
      <color rgb="FFFF0000"/>
      <name val="Calibri"/>
      <family val="2"/>
      <scheme val="minor"/>
    </font>
    <font>
      <sz val="10"/>
      <color theme="1"/>
      <name val="Calibri"/>
      <family val="2"/>
      <scheme val="minor"/>
    </font>
    <font>
      <b/>
      <sz val="10"/>
      <name val="Arial"/>
      <family val="2"/>
    </font>
    <font>
      <b/>
      <sz val="14"/>
      <color theme="1"/>
      <name val="Calibri"/>
      <family val="2"/>
      <scheme val="minor"/>
    </font>
    <font>
      <b/>
      <i/>
      <u/>
      <sz val="12"/>
      <name val="Arial"/>
      <family val="2"/>
    </font>
    <font>
      <i/>
      <u/>
      <sz val="12"/>
      <name val="Arial"/>
      <family val="2"/>
    </font>
    <font>
      <sz val="11"/>
      <color theme="1"/>
      <name val="Calibri"/>
      <family val="2"/>
      <scheme val="minor"/>
    </font>
    <font>
      <sz val="14"/>
      <name val="Arial"/>
      <family val="2"/>
    </font>
    <font>
      <b/>
      <u/>
      <sz val="14"/>
      <name val="Calibri"/>
      <family val="2"/>
    </font>
    <font>
      <b/>
      <i/>
      <sz val="10"/>
      <name val="Arial"/>
      <family val="2"/>
    </font>
    <font>
      <sz val="11"/>
      <color rgb="FF00B050"/>
      <name val="Calibri"/>
      <family val="2"/>
      <scheme val="minor"/>
    </font>
    <font>
      <sz val="12"/>
      <color rgb="FFFF0000"/>
      <name val="Arial"/>
      <family val="2"/>
    </font>
    <font>
      <b/>
      <sz val="12"/>
      <color rgb="FFFF0000"/>
      <name val="Arial"/>
      <family val="2"/>
    </font>
    <font>
      <sz val="12"/>
      <color rgb="FF00B0F0"/>
      <name val="Arial"/>
      <family val="2"/>
    </font>
    <font>
      <sz val="12"/>
      <color rgb="FFC00000"/>
      <name val="Arial"/>
      <family val="2"/>
    </font>
    <font>
      <b/>
      <sz val="12"/>
      <color rgb="FFC00000"/>
      <name val="Arial"/>
      <family val="2"/>
    </font>
    <font>
      <i/>
      <sz val="10"/>
      <name val="Arial"/>
      <family val="2"/>
    </font>
    <font>
      <b/>
      <u/>
      <sz val="10"/>
      <name val="Arial"/>
      <family val="2"/>
    </font>
    <font>
      <b/>
      <sz val="11"/>
      <name val="Arial"/>
      <family val="2"/>
    </font>
    <font>
      <sz val="6"/>
      <name val="Arial"/>
      <family val="2"/>
    </font>
    <font>
      <sz val="10"/>
      <name val="Courier New"/>
      <family val="3"/>
    </font>
    <font>
      <b/>
      <sz val="14"/>
      <name val="Arial"/>
      <family val="2"/>
    </font>
    <font>
      <u/>
      <sz val="10"/>
      <name val="Arial"/>
      <family val="2"/>
    </font>
    <font>
      <b/>
      <sz val="9.5"/>
      <name val="Arial"/>
      <family val="2"/>
    </font>
    <font>
      <b/>
      <sz val="9.5"/>
      <name val="Calibri"/>
      <family val="2"/>
      <scheme val="minor"/>
    </font>
    <font>
      <sz val="9.5"/>
      <name val="Arial"/>
      <family val="2"/>
    </font>
    <font>
      <sz val="9.5"/>
      <name val="Calibri"/>
      <family val="2"/>
    </font>
    <font>
      <b/>
      <sz val="9.5"/>
      <name val="Calibri"/>
      <family val="2"/>
    </font>
    <font>
      <b/>
      <u val="singleAccounting"/>
      <sz val="10"/>
      <name val="Arial"/>
      <family val="2"/>
    </font>
    <font>
      <b/>
      <sz val="9"/>
      <name val="Arial"/>
      <family val="2"/>
    </font>
    <font>
      <b/>
      <sz val="7.5"/>
      <name val="Arial"/>
      <family val="2"/>
    </font>
    <font>
      <sz val="7.5"/>
      <name val="Arial"/>
      <family val="2"/>
    </font>
    <font>
      <sz val="2"/>
      <name val="Arial"/>
      <family val="2"/>
    </font>
    <font>
      <b/>
      <sz val="2"/>
      <name val="Times New Roman"/>
      <family val="1"/>
    </font>
    <font>
      <u/>
      <sz val="11"/>
      <name val="Arial"/>
      <family val="2"/>
    </font>
    <font>
      <b/>
      <u/>
      <sz val="11"/>
      <name val="Arial"/>
      <family val="2"/>
    </font>
    <font>
      <b/>
      <i/>
      <sz val="11"/>
      <name val="Arial"/>
      <family val="2"/>
    </font>
  </fonts>
  <fills count="12">
    <fill>
      <patternFill patternType="none"/>
    </fill>
    <fill>
      <patternFill patternType="gray125"/>
    </fill>
    <fill>
      <patternFill patternType="solid">
        <fgColor indexed="10"/>
        <bgColor indexed="64"/>
      </patternFill>
    </fill>
    <fill>
      <patternFill patternType="solid">
        <fgColor indexed="13"/>
        <bgColor indexed="64"/>
      </patternFill>
    </fill>
    <fill>
      <patternFill patternType="solid">
        <fgColor indexed="52"/>
        <bgColor indexed="64"/>
      </patternFill>
    </fill>
    <fill>
      <patternFill patternType="solid">
        <fgColor rgb="FFFFC000"/>
        <bgColor indexed="64"/>
      </patternFill>
    </fill>
    <fill>
      <patternFill patternType="solid">
        <fgColor rgb="FFFFFF00"/>
        <bgColor indexed="64"/>
      </patternFill>
    </fill>
    <fill>
      <patternFill patternType="solid">
        <fgColor rgb="FF92D050"/>
        <bgColor indexed="64"/>
      </patternFill>
    </fill>
    <fill>
      <patternFill patternType="solid">
        <fgColor rgb="FF00B050"/>
        <bgColor indexed="64"/>
      </patternFill>
    </fill>
    <fill>
      <patternFill patternType="solid">
        <fgColor rgb="FFFF0000"/>
        <bgColor indexed="64"/>
      </patternFill>
    </fill>
    <fill>
      <patternFill patternType="solid">
        <fgColor rgb="FF00B0F0"/>
        <bgColor indexed="64"/>
      </patternFill>
    </fill>
    <fill>
      <patternFill patternType="solid">
        <fgColor theme="8"/>
        <bgColor indexed="64"/>
      </patternFill>
    </fill>
  </fills>
  <borders count="102">
    <border>
      <left/>
      <right/>
      <top/>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double">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right/>
      <top style="thin">
        <color indexed="64"/>
      </top>
      <bottom style="double">
        <color indexed="64"/>
      </bottom>
      <diagonal/>
    </border>
    <border>
      <left style="thin">
        <color indexed="64"/>
      </left>
      <right/>
      <top/>
      <bottom style="thin">
        <color indexed="64"/>
      </bottom>
      <diagonal/>
    </border>
    <border>
      <left style="thin">
        <color indexed="64"/>
      </left>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medium">
        <color indexed="64"/>
      </bottom>
      <diagonal/>
    </border>
    <border>
      <left style="medium">
        <color indexed="64"/>
      </left>
      <right/>
      <top/>
      <bottom/>
      <diagonal/>
    </border>
    <border>
      <left/>
      <right style="medium">
        <color indexed="64"/>
      </right>
      <top/>
      <bottom/>
      <diagonal/>
    </border>
    <border>
      <left/>
      <right style="medium">
        <color indexed="64"/>
      </right>
      <top style="thin">
        <color indexed="64"/>
      </top>
      <bottom style="double">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thin">
        <color indexed="64"/>
      </top>
      <bottom style="thin">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8"/>
      </right>
      <top/>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double">
        <color indexed="8"/>
      </left>
      <right/>
      <top style="double">
        <color indexed="8"/>
      </top>
      <bottom/>
      <diagonal/>
    </border>
    <border>
      <left/>
      <right/>
      <top style="double">
        <color indexed="8"/>
      </top>
      <bottom/>
      <diagonal/>
    </border>
    <border>
      <left/>
      <right style="double">
        <color indexed="8"/>
      </right>
      <top style="double">
        <color indexed="8"/>
      </top>
      <bottom/>
      <diagonal/>
    </border>
    <border>
      <left style="double">
        <color indexed="8"/>
      </left>
      <right/>
      <top/>
      <bottom style="double">
        <color indexed="8"/>
      </bottom>
      <diagonal/>
    </border>
    <border>
      <left/>
      <right/>
      <top/>
      <bottom style="double">
        <color indexed="8"/>
      </bottom>
      <diagonal/>
    </border>
    <border>
      <left/>
      <right style="double">
        <color indexed="8"/>
      </right>
      <top/>
      <bottom style="double">
        <color indexed="8"/>
      </bottom>
      <diagonal/>
    </border>
    <border>
      <left style="dotted">
        <color indexed="64"/>
      </left>
      <right style="dotted">
        <color indexed="64"/>
      </right>
      <top style="dotted">
        <color indexed="64"/>
      </top>
      <bottom style="dotted">
        <color indexed="64"/>
      </bottom>
      <diagonal/>
    </border>
    <border>
      <left style="thin">
        <color indexed="64"/>
      </left>
      <right/>
      <top style="thin">
        <color indexed="64"/>
      </top>
      <bottom style="thin">
        <color indexed="64"/>
      </bottom>
      <diagonal/>
    </border>
    <border>
      <left style="double">
        <color indexed="64"/>
      </left>
      <right style="double">
        <color indexed="64"/>
      </right>
      <top style="double">
        <color indexed="64"/>
      </top>
      <bottom style="double">
        <color indexed="64"/>
      </bottom>
      <diagonal/>
    </border>
    <border>
      <left/>
      <right/>
      <top style="double">
        <color indexed="64"/>
      </top>
      <bottom/>
      <diagonal/>
    </border>
    <border>
      <left/>
      <right/>
      <top/>
      <bottom style="double">
        <color indexed="64"/>
      </bottom>
      <diagonal/>
    </border>
    <border>
      <left style="double">
        <color indexed="8"/>
      </left>
      <right/>
      <top/>
      <bottom/>
      <diagonal/>
    </border>
    <border>
      <left/>
      <right style="double">
        <color indexed="8"/>
      </right>
      <top/>
      <bottom/>
      <diagonal/>
    </border>
    <border>
      <left/>
      <right style="thin">
        <color indexed="8"/>
      </right>
      <top style="thin">
        <color indexed="64"/>
      </top>
      <bottom/>
      <diagonal/>
    </border>
    <border>
      <left style="medium">
        <color indexed="64"/>
      </left>
      <right/>
      <top style="medium">
        <color indexed="64"/>
      </top>
      <bottom/>
      <diagonal/>
    </border>
    <border>
      <left/>
      <right/>
      <top style="medium">
        <color indexed="64"/>
      </top>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style="thick">
        <color auto="1"/>
      </left>
      <right style="thick">
        <color auto="1"/>
      </right>
      <top style="thick">
        <color auto="1"/>
      </top>
      <bottom style="thick">
        <color auto="1"/>
      </bottom>
      <diagonal/>
    </border>
    <border>
      <left style="thick">
        <color auto="1"/>
      </left>
      <right/>
      <top style="thick">
        <color auto="1"/>
      </top>
      <bottom style="thick">
        <color auto="1"/>
      </bottom>
      <diagonal/>
    </border>
    <border>
      <left/>
      <right/>
      <top style="thick">
        <color auto="1"/>
      </top>
      <bottom style="thick">
        <color auto="1"/>
      </bottom>
      <diagonal/>
    </border>
    <border>
      <left/>
      <right style="thick">
        <color auto="1"/>
      </right>
      <top style="thick">
        <color auto="1"/>
      </top>
      <bottom style="thick">
        <color auto="1"/>
      </bottom>
      <diagonal/>
    </border>
    <border>
      <left style="double">
        <color indexed="64"/>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style="double">
        <color indexed="64"/>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double">
        <color indexed="64"/>
      </left>
      <right style="double">
        <color indexed="64"/>
      </right>
      <top/>
      <bottom style="double">
        <color indexed="64"/>
      </bottom>
      <diagonal/>
    </border>
    <border>
      <left style="thin">
        <color indexed="64"/>
      </left>
      <right/>
      <top style="thin">
        <color indexed="64"/>
      </top>
      <bottom style="double">
        <color indexed="64"/>
      </bottom>
      <diagonal/>
    </border>
    <border>
      <left/>
      <right style="thin">
        <color indexed="64"/>
      </right>
      <top/>
      <bottom style="double">
        <color indexed="64"/>
      </bottom>
      <diagonal/>
    </border>
    <border>
      <left/>
      <right style="medium">
        <color indexed="64"/>
      </right>
      <top/>
      <bottom style="thin">
        <color indexed="64"/>
      </bottom>
      <diagonal/>
    </border>
    <border>
      <left/>
      <right style="medium">
        <color indexed="64"/>
      </right>
      <top style="thin">
        <color indexed="64"/>
      </top>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diagonal/>
    </border>
    <border>
      <left/>
      <right style="thick">
        <color indexed="64"/>
      </right>
      <top/>
      <bottom/>
      <diagonal/>
    </border>
    <border>
      <left style="thin">
        <color indexed="64"/>
      </left>
      <right style="thick">
        <color indexed="64"/>
      </right>
      <top style="thin">
        <color indexed="64"/>
      </top>
      <bottom style="thin">
        <color indexed="64"/>
      </bottom>
      <diagonal/>
    </border>
    <border>
      <left/>
      <right style="thick">
        <color indexed="64"/>
      </right>
      <top/>
      <bottom style="thin">
        <color indexed="64"/>
      </bottom>
      <diagonal/>
    </border>
    <border>
      <left style="thin">
        <color indexed="64"/>
      </left>
      <right style="thick">
        <color indexed="64"/>
      </right>
      <top/>
      <bottom/>
      <diagonal/>
    </border>
    <border>
      <left style="thin">
        <color indexed="64"/>
      </left>
      <right style="thick">
        <color indexed="64"/>
      </right>
      <top/>
      <bottom style="thin">
        <color indexed="64"/>
      </bottom>
      <diagonal/>
    </border>
    <border>
      <left style="thin">
        <color indexed="64"/>
      </left>
      <right style="thick">
        <color indexed="64"/>
      </right>
      <top style="thin">
        <color indexed="64"/>
      </top>
      <bottom/>
      <diagonal/>
    </border>
    <border>
      <left style="thick">
        <color indexed="64"/>
      </left>
      <right/>
      <top/>
      <bottom style="thick">
        <color indexed="64"/>
      </bottom>
      <diagonal/>
    </border>
    <border>
      <left/>
      <right/>
      <top/>
      <bottom style="thick">
        <color indexed="64"/>
      </bottom>
      <diagonal/>
    </border>
    <border>
      <left/>
      <right style="thick">
        <color indexed="64"/>
      </right>
      <top/>
      <bottom style="thick">
        <color indexed="64"/>
      </bottom>
      <diagonal/>
    </border>
    <border>
      <left style="thick">
        <color indexed="64"/>
      </left>
      <right/>
      <top style="thin">
        <color indexed="64"/>
      </top>
      <bottom/>
      <diagonal/>
    </border>
    <border>
      <left style="thick">
        <color indexed="64"/>
      </left>
      <right/>
      <top style="thin">
        <color indexed="64"/>
      </top>
      <bottom style="thin">
        <color indexed="64"/>
      </bottom>
      <diagonal/>
    </border>
    <border>
      <left/>
      <right style="thick">
        <color indexed="64"/>
      </right>
      <top style="thin">
        <color indexed="64"/>
      </top>
      <bottom style="double">
        <color indexed="64"/>
      </bottom>
      <diagonal/>
    </border>
    <border>
      <left style="thick">
        <color indexed="64"/>
      </left>
      <right/>
      <top/>
      <bottom style="thin">
        <color indexed="64"/>
      </bottom>
      <diagonal/>
    </border>
    <border>
      <left style="thin">
        <color indexed="64"/>
      </left>
      <right/>
      <top style="thick">
        <color indexed="64"/>
      </top>
      <bottom/>
      <diagonal/>
    </border>
    <border>
      <left style="thin">
        <color indexed="64"/>
      </left>
      <right/>
      <top/>
      <bottom style="thick">
        <color indexed="64"/>
      </bottom>
      <diagonal/>
    </border>
    <border>
      <left/>
      <right style="thin">
        <color indexed="64"/>
      </right>
      <top style="thick">
        <color indexed="64"/>
      </top>
      <bottom/>
      <diagonal/>
    </border>
    <border>
      <left/>
      <right style="thin">
        <color indexed="64"/>
      </right>
      <top/>
      <bottom style="thick">
        <color indexed="64"/>
      </bottom>
      <diagonal/>
    </border>
    <border>
      <left style="thick">
        <color indexed="64"/>
      </left>
      <right style="thin">
        <color indexed="64"/>
      </right>
      <top/>
      <bottom style="thin">
        <color indexed="64"/>
      </bottom>
      <diagonal/>
    </border>
    <border>
      <left style="thick">
        <color indexed="64"/>
      </left>
      <right style="thin">
        <color indexed="64"/>
      </right>
      <top style="thin">
        <color indexed="64"/>
      </top>
      <bottom/>
      <diagonal/>
    </border>
    <border>
      <left style="thick">
        <color indexed="64"/>
      </left>
      <right style="thin">
        <color indexed="64"/>
      </right>
      <top/>
      <bottom/>
      <diagonal/>
    </border>
    <border>
      <left style="thin">
        <color indexed="64"/>
      </left>
      <right style="thick">
        <color indexed="64"/>
      </right>
      <top style="thin">
        <color indexed="64"/>
      </top>
      <bottom style="double">
        <color indexed="64"/>
      </bottom>
      <diagonal/>
    </border>
    <border>
      <left style="thick">
        <color indexed="64"/>
      </left>
      <right style="thin">
        <color indexed="64"/>
      </right>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right style="thick">
        <color indexed="64"/>
      </right>
      <top style="thin">
        <color indexed="64"/>
      </top>
      <bottom/>
      <diagonal/>
    </border>
    <border>
      <left/>
      <right style="thick">
        <color indexed="64"/>
      </right>
      <top/>
      <bottom style="double">
        <color indexed="64"/>
      </bottom>
      <diagonal/>
    </border>
    <border>
      <left/>
      <right style="thick">
        <color indexed="64"/>
      </right>
      <top style="thin">
        <color indexed="64"/>
      </top>
      <bottom style="thin">
        <color indexed="64"/>
      </bottom>
      <diagonal/>
    </border>
  </borders>
  <cellStyleXfs count="11">
    <xf numFmtId="0" fontId="0" fillId="0" borderId="0"/>
    <xf numFmtId="164" fontId="7" fillId="0" borderId="0" applyFont="0" applyFill="0" applyBorder="0" applyAlignment="0" applyProtection="0"/>
    <xf numFmtId="0" fontId="16" fillId="0" borderId="0"/>
    <xf numFmtId="0" fontId="16" fillId="0" borderId="0"/>
    <xf numFmtId="0" fontId="16" fillId="0" borderId="0"/>
    <xf numFmtId="9" fontId="7" fillId="0" borderId="0" applyFont="0" applyFill="0" applyBorder="0" applyAlignment="0" applyProtection="0"/>
    <xf numFmtId="0" fontId="16" fillId="0" borderId="0"/>
    <xf numFmtId="0" fontId="7" fillId="0" borderId="0"/>
    <xf numFmtId="43" fontId="7" fillId="0" borderId="0" applyFont="0" applyFill="0" applyBorder="0" applyAlignment="0" applyProtection="0"/>
    <xf numFmtId="0" fontId="79" fillId="0" borderId="0"/>
    <xf numFmtId="164" fontId="16" fillId="0" borderId="0" applyFont="0" applyFill="0" applyBorder="0" applyAlignment="0" applyProtection="0"/>
  </cellStyleXfs>
  <cellXfs count="1977">
    <xf numFmtId="0" fontId="0" fillId="0" borderId="0" xfId="0"/>
    <xf numFmtId="0" fontId="8" fillId="0" borderId="0" xfId="0" applyFont="1" applyAlignment="1">
      <alignment horizontal="center"/>
    </xf>
    <xf numFmtId="168" fontId="8" fillId="0" borderId="2" xfId="1" quotePrefix="1" applyNumberFormat="1" applyFont="1" applyBorder="1" applyAlignment="1">
      <alignment horizontal="center"/>
    </xf>
    <xf numFmtId="0" fontId="9" fillId="0" borderId="0" xfId="0" applyFont="1"/>
    <xf numFmtId="0" fontId="9" fillId="0" borderId="0" xfId="0" applyFont="1" applyFill="1"/>
    <xf numFmtId="168" fontId="9" fillId="0" borderId="0" xfId="1" applyNumberFormat="1" applyFont="1" applyFill="1"/>
    <xf numFmtId="0" fontId="8" fillId="0" borderId="0" xfId="0" applyFont="1" applyFill="1"/>
    <xf numFmtId="0" fontId="10" fillId="0" borderId="0" xfId="0" applyFont="1"/>
    <xf numFmtId="0" fontId="8" fillId="0" borderId="0" xfId="0" applyFont="1" applyBorder="1" applyAlignment="1">
      <alignment horizontal="center"/>
    </xf>
    <xf numFmtId="168" fontId="9" fillId="0" borderId="0" xfId="1" applyNumberFormat="1" applyFont="1"/>
    <xf numFmtId="0" fontId="9" fillId="0" borderId="0" xfId="0" applyFont="1" applyBorder="1"/>
    <xf numFmtId="165" fontId="10" fillId="0" borderId="0" xfId="1" applyNumberFormat="1" applyFont="1" applyAlignment="1"/>
    <xf numFmtId="168" fontId="10" fillId="0" borderId="0" xfId="1" applyNumberFormat="1" applyFont="1" applyAlignment="1"/>
    <xf numFmtId="0" fontId="10" fillId="0" borderId="0" xfId="0" applyFont="1" applyAlignment="1"/>
    <xf numFmtId="165" fontId="10" fillId="0" borderId="0" xfId="1" applyNumberFormat="1" applyFont="1" applyAlignment="1">
      <alignment horizontal="right" vertical="top"/>
    </xf>
    <xf numFmtId="0" fontId="10" fillId="0" borderId="0" xfId="0" applyFont="1" applyAlignment="1">
      <alignment horizontal="justify" vertical="top"/>
    </xf>
    <xf numFmtId="0" fontId="10" fillId="0" borderId="0" xfId="0" applyFont="1" applyBorder="1" applyAlignment="1">
      <alignment horizontal="left" vertical="top"/>
    </xf>
    <xf numFmtId="0" fontId="10" fillId="0" borderId="0" xfId="0" applyFont="1" applyBorder="1" applyAlignment="1">
      <alignment horizontal="right" vertical="top"/>
    </xf>
    <xf numFmtId="0" fontId="10" fillId="0" borderId="0" xfId="0" applyFont="1" applyBorder="1" applyAlignment="1"/>
    <xf numFmtId="0" fontId="10" fillId="0" borderId="0" xfId="0" applyFont="1" applyBorder="1" applyAlignment="1">
      <alignment horizontal="justify" vertical="top"/>
    </xf>
    <xf numFmtId="0" fontId="10" fillId="0" borderId="12" xfId="0" applyFont="1" applyBorder="1" applyAlignment="1">
      <alignment horizontal="justify" vertical="top"/>
    </xf>
    <xf numFmtId="0" fontId="10" fillId="0" borderId="13" xfId="0" applyFont="1" applyBorder="1" applyAlignment="1">
      <alignment horizontal="right" vertical="top"/>
    </xf>
    <xf numFmtId="168" fontId="10" fillId="0" borderId="14" xfId="1" applyNumberFormat="1" applyFont="1" applyBorder="1" applyAlignment="1"/>
    <xf numFmtId="0" fontId="10" fillId="0" borderId="9" xfId="0" applyFont="1" applyBorder="1" applyAlignment="1">
      <alignment horizontal="justify" vertical="top"/>
    </xf>
    <xf numFmtId="168" fontId="10" fillId="0" borderId="4" xfId="1" applyNumberFormat="1" applyFont="1" applyBorder="1" applyAlignment="1"/>
    <xf numFmtId="0" fontId="10" fillId="0" borderId="8" xfId="0" applyFont="1" applyBorder="1" applyAlignment="1">
      <alignment horizontal="justify" vertical="top"/>
    </xf>
    <xf numFmtId="0" fontId="10" fillId="0" borderId="5" xfId="0" applyFont="1" applyBorder="1" applyAlignment="1">
      <alignment horizontal="right" vertical="top"/>
    </xf>
    <xf numFmtId="168" fontId="10" fillId="0" borderId="6" xfId="1" applyNumberFormat="1" applyFont="1" applyBorder="1" applyAlignment="1"/>
    <xf numFmtId="0" fontId="10" fillId="0" borderId="0" xfId="0" applyFont="1" applyAlignment="1">
      <alignment horizontal="right" vertical="top"/>
    </xf>
    <xf numFmtId="168" fontId="10" fillId="0" borderId="5" xfId="1" applyNumberFormat="1" applyFont="1" applyBorder="1" applyAlignment="1"/>
    <xf numFmtId="0" fontId="12" fillId="0" borderId="0" xfId="0" applyFont="1" applyAlignment="1"/>
    <xf numFmtId="0" fontId="12" fillId="0" borderId="0" xfId="0" applyFont="1" applyAlignment="1">
      <alignment horizontal="justify" vertical="top"/>
    </xf>
    <xf numFmtId="0" fontId="12" fillId="0" borderId="0" xfId="0" applyFont="1" applyAlignment="1">
      <alignment horizontal="right" vertical="top"/>
    </xf>
    <xf numFmtId="168" fontId="12" fillId="0" borderId="0" xfId="1" applyNumberFormat="1" applyFont="1" applyAlignment="1"/>
    <xf numFmtId="165" fontId="12" fillId="0" borderId="0" xfId="0" applyNumberFormat="1" applyFont="1" applyAlignment="1"/>
    <xf numFmtId="0" fontId="12" fillId="0" borderId="0" xfId="0" applyFont="1" applyAlignment="1">
      <alignment vertical="top"/>
    </xf>
    <xf numFmtId="165" fontId="10" fillId="0" borderId="0" xfId="0" applyNumberFormat="1" applyFont="1" applyAlignment="1"/>
    <xf numFmtId="0" fontId="12" fillId="0" borderId="7" xfId="0" applyFont="1" applyBorder="1" applyAlignment="1">
      <alignment horizontal="right" vertical="top"/>
    </xf>
    <xf numFmtId="168" fontId="12" fillId="0" borderId="7" xfId="1" applyNumberFormat="1" applyFont="1" applyBorder="1" applyAlignment="1">
      <alignment horizontal="right" vertical="top"/>
    </xf>
    <xf numFmtId="0" fontId="10" fillId="0" borderId="0" xfId="0" applyFont="1" applyAlignment="1">
      <alignment horizontal="right"/>
    </xf>
    <xf numFmtId="166" fontId="10" fillId="0" borderId="0" xfId="0" applyNumberFormat="1" applyFont="1" applyAlignment="1"/>
    <xf numFmtId="166" fontId="10" fillId="0" borderId="0" xfId="1" applyNumberFormat="1" applyFont="1" applyAlignment="1"/>
    <xf numFmtId="0" fontId="10" fillId="0" borderId="0" xfId="0" applyFont="1" applyAlignment="1">
      <alignment vertical="top"/>
    </xf>
    <xf numFmtId="167" fontId="10" fillId="0" borderId="0" xfId="1" applyNumberFormat="1" applyFont="1" applyAlignment="1"/>
    <xf numFmtId="0" fontId="10" fillId="0" borderId="12" xfId="0" applyFont="1" applyBorder="1" applyAlignment="1">
      <alignment vertical="top"/>
    </xf>
    <xf numFmtId="0" fontId="10" fillId="0" borderId="13" xfId="0" applyFont="1" applyBorder="1" applyAlignment="1">
      <alignment vertical="top"/>
    </xf>
    <xf numFmtId="167" fontId="10" fillId="0" borderId="14" xfId="1" applyNumberFormat="1" applyFont="1" applyBorder="1" applyAlignment="1"/>
    <xf numFmtId="0" fontId="10" fillId="0" borderId="9" xfId="0" applyFont="1" applyBorder="1" applyAlignment="1">
      <alignment vertical="top"/>
    </xf>
    <xf numFmtId="0" fontId="10" fillId="0" borderId="0" xfId="0" applyFont="1" applyBorder="1" applyAlignment="1">
      <alignment vertical="top"/>
    </xf>
    <xf numFmtId="167" fontId="10" fillId="0" borderId="4" xfId="1" applyNumberFormat="1" applyFont="1" applyBorder="1" applyAlignment="1"/>
    <xf numFmtId="0" fontId="10" fillId="0" borderId="8" xfId="0" applyFont="1" applyBorder="1" applyAlignment="1">
      <alignment vertical="top"/>
    </xf>
    <xf numFmtId="0" fontId="10" fillId="0" borderId="5" xfId="0" applyFont="1" applyBorder="1" applyAlignment="1">
      <alignment vertical="top"/>
    </xf>
    <xf numFmtId="167" fontId="10" fillId="0" borderId="6" xfId="1" applyNumberFormat="1" applyFont="1" applyBorder="1" applyAlignment="1"/>
    <xf numFmtId="0" fontId="10" fillId="0" borderId="0" xfId="0" applyFont="1" applyAlignment="1">
      <alignment horizontal="center"/>
    </xf>
    <xf numFmtId="0" fontId="10" fillId="0" borderId="0" xfId="0" applyFont="1" applyAlignment="1">
      <alignment wrapText="1"/>
    </xf>
    <xf numFmtId="0" fontId="10" fillId="0" borderId="0" xfId="0" applyFont="1" applyAlignment="1">
      <alignment horizontal="justify"/>
    </xf>
    <xf numFmtId="0" fontId="10" fillId="0" borderId="2" xfId="0" applyFont="1" applyBorder="1" applyAlignment="1">
      <alignment vertical="top" wrapText="1"/>
    </xf>
    <xf numFmtId="168" fontId="10" fillId="0" borderId="2" xfId="1" applyNumberFormat="1" applyFont="1" applyBorder="1" applyAlignment="1">
      <alignment vertical="top" wrapText="1"/>
    </xf>
    <xf numFmtId="10" fontId="10" fillId="0" borderId="2" xfId="5" applyNumberFormat="1" applyFont="1" applyBorder="1" applyAlignment="1">
      <alignment vertical="top" wrapText="1"/>
    </xf>
    <xf numFmtId="168" fontId="10" fillId="0" borderId="3" xfId="1" applyNumberFormat="1" applyFont="1" applyBorder="1" applyAlignment="1">
      <alignment vertical="top" wrapText="1"/>
    </xf>
    <xf numFmtId="10" fontId="10" fillId="0" borderId="3" xfId="5" applyNumberFormat="1" applyFont="1" applyBorder="1" applyAlignment="1">
      <alignment vertical="top" wrapText="1"/>
    </xf>
    <xf numFmtId="0" fontId="10" fillId="0" borderId="15" xfId="0" applyFont="1" applyBorder="1" applyAlignment="1">
      <alignment horizontal="center" vertical="top" wrapText="1"/>
    </xf>
    <xf numFmtId="0" fontId="10" fillId="0" borderId="16" xfId="0" applyFont="1" applyBorder="1" applyAlignment="1">
      <alignment vertical="top" wrapText="1"/>
    </xf>
    <xf numFmtId="0" fontId="10" fillId="0" borderId="0" xfId="0" applyFont="1" applyBorder="1"/>
    <xf numFmtId="168" fontId="10" fillId="0" borderId="0" xfId="1" applyNumberFormat="1" applyFont="1" applyBorder="1"/>
    <xf numFmtId="168" fontId="12" fillId="0" borderId="7" xfId="1" applyNumberFormat="1" applyFont="1" applyBorder="1"/>
    <xf numFmtId="0" fontId="12" fillId="0" borderId="0" xfId="0" applyFont="1" applyBorder="1"/>
    <xf numFmtId="0" fontId="10" fillId="0" borderId="0" xfId="0" applyFont="1" applyBorder="1" applyAlignment="1">
      <alignment horizontal="right"/>
    </xf>
    <xf numFmtId="0" fontId="10" fillId="0" borderId="0" xfId="0" applyFont="1" applyBorder="1" applyAlignment="1">
      <alignment horizontal="center"/>
    </xf>
    <xf numFmtId="0" fontId="10" fillId="0" borderId="5" xfId="0" applyFont="1" applyBorder="1" applyAlignment="1">
      <alignment horizontal="center"/>
    </xf>
    <xf numFmtId="168" fontId="10" fillId="0" borderId="0" xfId="1" applyNumberFormat="1" applyFont="1" applyBorder="1" applyAlignment="1"/>
    <xf numFmtId="0" fontId="10" fillId="0" borderId="0" xfId="0" applyFont="1" applyFill="1" applyBorder="1" applyAlignment="1">
      <alignment horizontal="center"/>
    </xf>
    <xf numFmtId="169" fontId="10" fillId="0" borderId="0" xfId="1" applyNumberFormat="1" applyFont="1" applyFill="1" applyBorder="1" applyAlignment="1">
      <alignment horizontal="center"/>
    </xf>
    <xf numFmtId="168" fontId="9" fillId="0" borderId="0" xfId="1" applyNumberFormat="1" applyFont="1" applyBorder="1"/>
    <xf numFmtId="0" fontId="9" fillId="2" borderId="0" xfId="0" applyFont="1" applyFill="1"/>
    <xf numFmtId="168" fontId="9" fillId="2" borderId="0" xfId="1" applyNumberFormat="1" applyFont="1" applyFill="1"/>
    <xf numFmtId="168" fontId="8" fillId="0" borderId="7" xfId="1" applyNumberFormat="1" applyFont="1" applyBorder="1"/>
    <xf numFmtId="0" fontId="9" fillId="0" borderId="18" xfId="0" applyFont="1" applyBorder="1"/>
    <xf numFmtId="168" fontId="9" fillId="0" borderId="19" xfId="1" applyNumberFormat="1" applyFont="1" applyBorder="1"/>
    <xf numFmtId="168" fontId="9" fillId="0" borderId="19" xfId="1" applyNumberFormat="1" applyFont="1" applyFill="1" applyBorder="1"/>
    <xf numFmtId="168" fontId="8" fillId="0" borderId="20" xfId="1" applyNumberFormat="1" applyFont="1" applyBorder="1"/>
    <xf numFmtId="168" fontId="8" fillId="3" borderId="19" xfId="1" applyNumberFormat="1" applyFont="1" applyFill="1" applyBorder="1"/>
    <xf numFmtId="0" fontId="9" fillId="0" borderId="21" xfId="0" applyFont="1" applyBorder="1"/>
    <xf numFmtId="168" fontId="9" fillId="0" borderId="22" xfId="1" applyNumberFormat="1" applyFont="1" applyBorder="1"/>
    <xf numFmtId="0" fontId="8" fillId="0" borderId="18" xfId="0" applyFont="1" applyBorder="1" applyAlignment="1">
      <alignment horizontal="center"/>
    </xf>
    <xf numFmtId="0" fontId="8" fillId="0" borderId="19" xfId="0" applyFont="1" applyBorder="1" applyAlignment="1">
      <alignment horizontal="center"/>
    </xf>
    <xf numFmtId="0" fontId="8" fillId="0" borderId="23" xfId="0" quotePrefix="1" applyFont="1" applyBorder="1" applyAlignment="1">
      <alignment horizontal="center"/>
    </xf>
    <xf numFmtId="168" fontId="8" fillId="0" borderId="24" xfId="1" applyNumberFormat="1" applyFont="1" applyBorder="1"/>
    <xf numFmtId="168" fontId="8" fillId="0" borderId="25" xfId="1" applyNumberFormat="1" applyFont="1" applyBorder="1"/>
    <xf numFmtId="168" fontId="8" fillId="0" borderId="19" xfId="1" applyNumberFormat="1" applyFont="1" applyBorder="1" applyAlignment="1">
      <alignment horizontal="center"/>
    </xf>
    <xf numFmtId="10" fontId="9" fillId="0" borderId="0" xfId="5" applyNumberFormat="1" applyFont="1" applyBorder="1"/>
    <xf numFmtId="10" fontId="9" fillId="0" borderId="19" xfId="5" applyNumberFormat="1" applyFont="1" applyBorder="1"/>
    <xf numFmtId="9" fontId="9" fillId="0" borderId="18" xfId="0" applyNumberFormat="1" applyFont="1" applyBorder="1"/>
    <xf numFmtId="0" fontId="9" fillId="0" borderId="18" xfId="0" applyNumberFormat="1" applyFont="1" applyBorder="1"/>
    <xf numFmtId="0" fontId="11" fillId="4" borderId="0" xfId="0" applyFont="1" applyFill="1"/>
    <xf numFmtId="168" fontId="11" fillId="0" borderId="0" xfId="1" applyNumberFormat="1" applyFont="1"/>
    <xf numFmtId="0" fontId="11" fillId="0" borderId="0" xfId="0" applyFont="1"/>
    <xf numFmtId="171" fontId="11" fillId="0" borderId="0" xfId="5" applyNumberFormat="1" applyFont="1"/>
    <xf numFmtId="168" fontId="11" fillId="0" borderId="2" xfId="1" applyNumberFormat="1" applyFont="1" applyBorder="1"/>
    <xf numFmtId="0" fontId="11" fillId="0" borderId="0" xfId="0" applyFont="1" applyFill="1"/>
    <xf numFmtId="170" fontId="11" fillId="0" borderId="0" xfId="0" applyNumberFormat="1" applyFont="1" applyFill="1"/>
    <xf numFmtId="167" fontId="11" fillId="0" borderId="0" xfId="1" applyNumberFormat="1" applyFont="1" applyFill="1" applyAlignment="1"/>
    <xf numFmtId="172" fontId="11" fillId="0" borderId="0" xfId="1" applyNumberFormat="1" applyFont="1" applyFill="1" applyAlignment="1"/>
    <xf numFmtId="171" fontId="11" fillId="0" borderId="0" xfId="0" applyNumberFormat="1" applyFont="1" applyFill="1"/>
    <xf numFmtId="171" fontId="11" fillId="0" borderId="0" xfId="5" applyNumberFormat="1" applyFont="1" applyFill="1"/>
    <xf numFmtId="10" fontId="11" fillId="0" borderId="0" xfId="0" applyNumberFormat="1" applyFont="1" applyFill="1"/>
    <xf numFmtId="168" fontId="9" fillId="0" borderId="0" xfId="0" applyNumberFormat="1" applyFont="1"/>
    <xf numFmtId="168" fontId="27" fillId="0" borderId="2" xfId="1" quotePrefix="1" applyNumberFormat="1" applyFont="1" applyFill="1" applyBorder="1" applyAlignment="1">
      <alignment horizontal="center" vertical="center"/>
    </xf>
    <xf numFmtId="168" fontId="27" fillId="0" borderId="0" xfId="1" applyNumberFormat="1" applyFont="1" applyFill="1" applyAlignment="1">
      <alignment vertical="center"/>
    </xf>
    <xf numFmtId="173" fontId="27" fillId="0" borderId="0" xfId="3" applyNumberFormat="1" applyFont="1" applyFill="1" applyBorder="1" applyAlignment="1">
      <alignment horizontal="right" vertical="center"/>
    </xf>
    <xf numFmtId="170" fontId="27" fillId="0" borderId="0" xfId="1" applyNumberFormat="1" applyFont="1" applyFill="1" applyBorder="1" applyAlignment="1">
      <alignment horizontal="center" vertical="center"/>
    </xf>
    <xf numFmtId="0" fontId="27" fillId="0" borderId="0" xfId="3" applyFont="1" applyFill="1" applyBorder="1" applyAlignment="1">
      <alignment horizontal="justify" vertical="center" wrapText="1"/>
    </xf>
    <xf numFmtId="168" fontId="27" fillId="0" borderId="13" xfId="1" applyNumberFormat="1" applyFont="1" applyFill="1" applyBorder="1" applyAlignment="1">
      <alignment horizontal="right" vertical="center"/>
    </xf>
    <xf numFmtId="168" fontId="27" fillId="0" borderId="0" xfId="1" applyNumberFormat="1" applyFont="1" applyFill="1" applyBorder="1" applyAlignment="1">
      <alignment horizontal="right" vertical="center"/>
    </xf>
    <xf numFmtId="168" fontId="27" fillId="0" borderId="5" xfId="1" applyNumberFormat="1" applyFont="1" applyFill="1" applyBorder="1" applyAlignment="1">
      <alignment horizontal="right" vertical="center"/>
    </xf>
    <xf numFmtId="168" fontId="27" fillId="0" borderId="2" xfId="1" applyNumberFormat="1" applyFont="1" applyFill="1" applyBorder="1" applyAlignment="1">
      <alignment horizontal="right" vertical="center"/>
    </xf>
    <xf numFmtId="0" fontId="27" fillId="0" borderId="0" xfId="3" applyFont="1" applyFill="1" applyBorder="1" applyAlignment="1">
      <alignment horizontal="left" vertical="center" wrapText="1"/>
    </xf>
    <xf numFmtId="168" fontId="27" fillId="0" borderId="3" xfId="1" applyNumberFormat="1" applyFont="1" applyFill="1" applyBorder="1" applyAlignment="1">
      <alignment horizontal="right" vertical="center"/>
    </xf>
    <xf numFmtId="173" fontId="27" fillId="0" borderId="0" xfId="4" applyNumberFormat="1" applyFont="1" applyFill="1" applyBorder="1" applyAlignment="1">
      <alignment horizontal="right" vertical="center"/>
    </xf>
    <xf numFmtId="168" fontId="27" fillId="0" borderId="16" xfId="1" applyNumberFormat="1" applyFont="1" applyFill="1" applyBorder="1" applyAlignment="1">
      <alignment horizontal="right" vertical="center"/>
    </xf>
    <xf numFmtId="168" fontId="27" fillId="0" borderId="15" xfId="1" applyNumberFormat="1" applyFont="1" applyFill="1" applyBorder="1" applyAlignment="1">
      <alignment horizontal="right" vertical="center"/>
    </xf>
    <xf numFmtId="170" fontId="27" fillId="0" borderId="5" xfId="1" applyNumberFormat="1" applyFont="1" applyFill="1" applyBorder="1" applyAlignment="1">
      <alignment horizontal="center" vertical="center"/>
    </xf>
    <xf numFmtId="173" fontId="27" fillId="0" borderId="5" xfId="3" applyNumberFormat="1" applyFont="1" applyFill="1" applyBorder="1" applyAlignment="1">
      <alignment horizontal="right" vertical="center"/>
    </xf>
    <xf numFmtId="168" fontId="27" fillId="0" borderId="10" xfId="1" applyNumberFormat="1" applyFont="1" applyFill="1" applyBorder="1" applyAlignment="1">
      <alignment horizontal="right" vertical="center"/>
    </xf>
    <xf numFmtId="170" fontId="27" fillId="0" borderId="13" xfId="1" applyNumberFormat="1" applyFont="1" applyFill="1" applyBorder="1" applyAlignment="1">
      <alignment horizontal="center" vertical="center"/>
    </xf>
    <xf numFmtId="0" fontId="27" fillId="0" borderId="13" xfId="3" applyFont="1" applyFill="1" applyBorder="1" applyAlignment="1">
      <alignment horizontal="justify" vertical="center" wrapText="1"/>
    </xf>
    <xf numFmtId="173" fontId="27" fillId="0" borderId="13" xfId="3" applyNumberFormat="1" applyFont="1" applyFill="1" applyBorder="1" applyAlignment="1">
      <alignment horizontal="right" vertical="center"/>
    </xf>
    <xf numFmtId="0" fontId="20" fillId="0" borderId="2" xfId="0" applyFont="1" applyFill="1" applyBorder="1" applyAlignment="1">
      <alignment horizontal="center" vertical="center"/>
    </xf>
    <xf numFmtId="0" fontId="20" fillId="0" borderId="2" xfId="0" applyFont="1" applyFill="1" applyBorder="1" applyAlignment="1">
      <alignment vertical="center"/>
    </xf>
    <xf numFmtId="164" fontId="20" fillId="0" borderId="2" xfId="1" applyFont="1" applyFill="1" applyBorder="1" applyAlignment="1">
      <alignment vertical="center"/>
    </xf>
    <xf numFmtId="0" fontId="20" fillId="0" borderId="2" xfId="0" quotePrefix="1" applyFont="1" applyFill="1" applyBorder="1" applyAlignment="1">
      <alignment horizontal="center" vertical="center"/>
    </xf>
    <xf numFmtId="164" fontId="17" fillId="0" borderId="2" xfId="1" applyFont="1" applyFill="1" applyBorder="1" applyAlignment="1">
      <alignment vertical="center"/>
    </xf>
    <xf numFmtId="0" fontId="20" fillId="0" borderId="0" xfId="0" applyFont="1" applyFill="1" applyAlignment="1">
      <alignment vertical="center"/>
    </xf>
    <xf numFmtId="164" fontId="20" fillId="0" borderId="2" xfId="1" applyFont="1" applyFill="1" applyBorder="1" applyAlignment="1">
      <alignment horizontal="right" vertical="center"/>
    </xf>
    <xf numFmtId="164" fontId="17" fillId="0" borderId="41" xfId="1" applyFont="1" applyFill="1" applyBorder="1" applyAlignment="1">
      <alignment vertical="center"/>
    </xf>
    <xf numFmtId="0" fontId="17" fillId="0" borderId="41" xfId="0" applyFont="1" applyFill="1" applyBorder="1" applyAlignment="1">
      <alignment vertical="center"/>
    </xf>
    <xf numFmtId="0" fontId="17" fillId="0" borderId="51" xfId="0" applyFont="1" applyFill="1" applyBorder="1" applyAlignment="1">
      <alignment vertical="center"/>
    </xf>
    <xf numFmtId="0" fontId="17" fillId="0" borderId="49" xfId="0" applyFont="1" applyFill="1" applyBorder="1" applyAlignment="1">
      <alignment vertical="center"/>
    </xf>
    <xf numFmtId="0" fontId="17" fillId="0" borderId="50" xfId="0" applyFont="1" applyFill="1" applyBorder="1" applyAlignment="1">
      <alignment vertical="center"/>
    </xf>
    <xf numFmtId="4" fontId="0" fillId="0" borderId="0" xfId="0" applyNumberFormat="1" applyFill="1" applyBorder="1"/>
    <xf numFmtId="4" fontId="25" fillId="0" borderId="0" xfId="0" applyNumberFormat="1" applyFont="1" applyFill="1" applyBorder="1"/>
    <xf numFmtId="164" fontId="7" fillId="0" borderId="0" xfId="1" applyFont="1" applyFill="1" applyBorder="1"/>
    <xf numFmtId="164" fontId="18" fillId="0" borderId="0" xfId="1" applyFont="1" applyFill="1" applyBorder="1"/>
    <xf numFmtId="4" fontId="18" fillId="0" borderId="0" xfId="1" applyNumberFormat="1" applyFont="1" applyFill="1" applyBorder="1"/>
    <xf numFmtId="4" fontId="19" fillId="0" borderId="0" xfId="0" applyNumberFormat="1" applyFont="1" applyFill="1" applyBorder="1"/>
    <xf numFmtId="4" fontId="26" fillId="0" borderId="0" xfId="0" applyNumberFormat="1" applyFont="1" applyFill="1" applyBorder="1"/>
    <xf numFmtId="4" fontId="22" fillId="0" borderId="0" xfId="0" applyNumberFormat="1" applyFont="1" applyFill="1" applyBorder="1"/>
    <xf numFmtId="4" fontId="24" fillId="0" borderId="0" xfId="0" applyNumberFormat="1" applyFont="1" applyFill="1" applyBorder="1"/>
    <xf numFmtId="4" fontId="31" fillId="0" borderId="0" xfId="0" applyNumberFormat="1" applyFont="1" applyFill="1" applyBorder="1"/>
    <xf numFmtId="164" fontId="24" fillId="0" borderId="0" xfId="1" applyFont="1" applyFill="1" applyBorder="1"/>
    <xf numFmtId="4" fontId="23" fillId="0" borderId="0" xfId="1" applyNumberFormat="1" applyFont="1" applyFill="1" applyBorder="1"/>
    <xf numFmtId="4" fontId="24" fillId="0" borderId="0" xfId="1" applyNumberFormat="1" applyFont="1" applyFill="1" applyBorder="1"/>
    <xf numFmtId="4" fontId="18" fillId="5" borderId="0" xfId="1" applyNumberFormat="1" applyFont="1" applyFill="1" applyBorder="1"/>
    <xf numFmtId="4" fontId="23" fillId="5" borderId="0" xfId="1" applyNumberFormat="1" applyFont="1" applyFill="1" applyBorder="1"/>
    <xf numFmtId="0" fontId="20" fillId="0" borderId="0" xfId="0" applyFont="1" applyFill="1" applyBorder="1" applyAlignment="1">
      <alignment horizontal="center" vertical="center"/>
    </xf>
    <xf numFmtId="0" fontId="20" fillId="0" borderId="0" xfId="0" applyFont="1" applyFill="1" applyBorder="1" applyAlignment="1">
      <alignment vertical="center"/>
    </xf>
    <xf numFmtId="164" fontId="20" fillId="0" borderId="0" xfId="1" applyFont="1" applyFill="1" applyBorder="1" applyAlignment="1">
      <alignment vertical="center"/>
    </xf>
    <xf numFmtId="4" fontId="0" fillId="5" borderId="0" xfId="0" applyNumberFormat="1" applyFill="1" applyBorder="1"/>
    <xf numFmtId="4" fontId="0" fillId="7" borderId="0" xfId="0" applyNumberFormat="1" applyFill="1" applyBorder="1"/>
    <xf numFmtId="4" fontId="32" fillId="6" borderId="0" xfId="0" applyNumberFormat="1" applyFont="1" applyFill="1" applyBorder="1"/>
    <xf numFmtId="4" fontId="28" fillId="0" borderId="0" xfId="0" applyNumberFormat="1" applyFont="1" applyFill="1" applyBorder="1"/>
    <xf numFmtId="4" fontId="0" fillId="8" borderId="0" xfId="0" applyNumberFormat="1" applyFill="1" applyBorder="1"/>
    <xf numFmtId="4" fontId="25" fillId="8" borderId="0" xfId="0" applyNumberFormat="1" applyFont="1" applyFill="1" applyBorder="1"/>
    <xf numFmtId="4" fontId="18" fillId="8" borderId="0" xfId="1" applyNumberFormat="1" applyFont="1" applyFill="1" applyBorder="1"/>
    <xf numFmtId="164" fontId="18" fillId="8" borderId="0" xfId="1" applyFont="1" applyFill="1" applyBorder="1"/>
    <xf numFmtId="4" fontId="32" fillId="0" borderId="0" xfId="0" applyNumberFormat="1" applyFont="1" applyFill="1" applyBorder="1"/>
    <xf numFmtId="4" fontId="33" fillId="0" borderId="0" xfId="0" applyNumberFormat="1" applyFont="1" applyFill="1" applyBorder="1"/>
    <xf numFmtId="4" fontId="30" fillId="0" borderId="0" xfId="0" applyNumberFormat="1" applyFont="1" applyFill="1" applyBorder="1"/>
    <xf numFmtId="4" fontId="34" fillId="0" borderId="0" xfId="0" applyNumberFormat="1" applyFont="1" applyFill="1" applyBorder="1"/>
    <xf numFmtId="4" fontId="34" fillId="6" borderId="0" xfId="0" applyNumberFormat="1" applyFont="1" applyFill="1" applyBorder="1"/>
    <xf numFmtId="0" fontId="27" fillId="0" borderId="0" xfId="0" applyFont="1" applyFill="1" applyBorder="1" applyAlignment="1">
      <alignment horizontal="center" vertical="center"/>
    </xf>
    <xf numFmtId="0" fontId="27" fillId="0" borderId="4" xfId="0" applyFont="1" applyFill="1" applyBorder="1" applyAlignment="1">
      <alignment horizontal="center" vertical="center"/>
    </xf>
    <xf numFmtId="0" fontId="27" fillId="0" borderId="0" xfId="0" applyFont="1" applyFill="1" applyBorder="1" applyAlignment="1">
      <alignment vertical="center"/>
    </xf>
    <xf numFmtId="0" fontId="27" fillId="0" borderId="0" xfId="0" applyFont="1" applyFill="1" applyAlignment="1">
      <alignment vertical="center"/>
    </xf>
    <xf numFmtId="0" fontId="27" fillId="0" borderId="0" xfId="0" applyFont="1" applyFill="1" applyBorder="1" applyAlignment="1">
      <alignment vertical="center" wrapText="1"/>
    </xf>
    <xf numFmtId="168" fontId="27" fillId="0" borderId="7" xfId="1" applyNumberFormat="1" applyFont="1" applyFill="1" applyBorder="1" applyAlignment="1">
      <alignment vertical="center"/>
    </xf>
    <xf numFmtId="168" fontId="27" fillId="0" borderId="1" xfId="1" applyNumberFormat="1" applyFont="1" applyFill="1" applyBorder="1" applyAlignment="1">
      <alignment vertical="center"/>
    </xf>
    <xf numFmtId="168" fontId="27" fillId="0" borderId="2" xfId="1" applyNumberFormat="1" applyFont="1" applyFill="1" applyBorder="1" applyAlignment="1">
      <alignment vertical="center" wrapText="1"/>
    </xf>
    <xf numFmtId="0" fontId="27" fillId="0" borderId="0" xfId="0" applyFont="1" applyFill="1" applyAlignment="1">
      <alignment horizontal="center" vertical="center"/>
    </xf>
    <xf numFmtId="0" fontId="27" fillId="0" borderId="2" xfId="0" applyFont="1" applyFill="1" applyBorder="1" applyAlignment="1">
      <alignment horizontal="center" vertical="center" wrapText="1"/>
    </xf>
    <xf numFmtId="168" fontId="27" fillId="0" borderId="0" xfId="1" applyNumberFormat="1" applyFont="1" applyFill="1" applyBorder="1" applyAlignment="1">
      <alignment vertical="center" wrapText="1"/>
    </xf>
    <xf numFmtId="0" fontId="42" fillId="0" borderId="0" xfId="0" applyFont="1" applyFill="1" applyBorder="1" applyAlignment="1">
      <alignment vertical="center" wrapText="1"/>
    </xf>
    <xf numFmtId="0" fontId="39" fillId="0" borderId="0" xfId="0" applyFont="1" applyFill="1" applyBorder="1" applyAlignment="1">
      <alignment vertical="center" wrapText="1"/>
    </xf>
    <xf numFmtId="168" fontId="27" fillId="0" borderId="0" xfId="1" applyNumberFormat="1" applyFont="1" applyFill="1" applyBorder="1" applyAlignment="1">
      <alignment horizontal="center" vertical="center" wrapText="1"/>
    </xf>
    <xf numFmtId="168" fontId="27" fillId="0" borderId="0" xfId="0" applyNumberFormat="1" applyFont="1" applyFill="1" applyBorder="1" applyAlignment="1">
      <alignment vertical="center"/>
    </xf>
    <xf numFmtId="0" fontId="27" fillId="0" borderId="9" xfId="0" applyFont="1" applyFill="1" applyBorder="1" applyAlignment="1">
      <alignment vertical="center" wrapText="1"/>
    </xf>
    <xf numFmtId="0" fontId="43" fillId="0" borderId="9" xfId="0" applyFont="1" applyFill="1" applyBorder="1" applyAlignment="1">
      <alignment horizontal="center" vertical="center" wrapText="1"/>
    </xf>
    <xf numFmtId="168" fontId="43" fillId="0" borderId="0" xfId="1" applyNumberFormat="1" applyFont="1" applyFill="1" applyBorder="1" applyAlignment="1">
      <alignment horizontal="center" vertical="center" wrapText="1"/>
    </xf>
    <xf numFmtId="0" fontId="43" fillId="0" borderId="0" xfId="0" applyFont="1" applyFill="1" applyBorder="1" applyAlignment="1">
      <alignment horizontal="center" vertical="center" wrapText="1"/>
    </xf>
    <xf numFmtId="0" fontId="43" fillId="0" borderId="4" xfId="0" applyFont="1" applyFill="1" applyBorder="1" applyAlignment="1">
      <alignment vertical="center" wrapText="1"/>
    </xf>
    <xf numFmtId="164" fontId="43" fillId="0" borderId="0" xfId="1" applyFont="1" applyFill="1" applyBorder="1" applyAlignment="1">
      <alignment vertical="center" wrapText="1"/>
    </xf>
    <xf numFmtId="164" fontId="44" fillId="0" borderId="0" xfId="1" applyFont="1" applyFill="1" applyBorder="1" applyAlignment="1">
      <alignment vertical="center" wrapText="1"/>
    </xf>
    <xf numFmtId="164" fontId="44" fillId="0" borderId="0" xfId="1" applyFont="1" applyFill="1" applyBorder="1" applyAlignment="1">
      <alignment horizontal="center" vertical="center" wrapText="1"/>
    </xf>
    <xf numFmtId="164" fontId="44" fillId="0" borderId="0" xfId="1" applyFont="1" applyFill="1" applyBorder="1" applyAlignment="1">
      <alignment horizontal="right" vertical="center" wrapText="1"/>
    </xf>
    <xf numFmtId="164" fontId="45" fillId="0" borderId="0" xfId="1" applyFont="1" applyFill="1" applyBorder="1" applyAlignment="1">
      <alignment horizontal="right" vertical="center" wrapText="1"/>
    </xf>
    <xf numFmtId="164" fontId="45" fillId="0" borderId="0" xfId="1" applyFont="1" applyFill="1" applyAlignment="1">
      <alignment vertical="center"/>
    </xf>
    <xf numFmtId="0" fontId="45" fillId="0" borderId="0" xfId="0" applyFont="1" applyFill="1" applyAlignment="1">
      <alignment vertical="center"/>
    </xf>
    <xf numFmtId="164" fontId="46" fillId="0" borderId="0" xfId="1" applyFont="1" applyFill="1" applyBorder="1" applyAlignment="1">
      <alignment horizontal="right" vertical="center" wrapText="1"/>
    </xf>
    <xf numFmtId="164" fontId="47" fillId="0" borderId="0" xfId="1" applyFont="1" applyFill="1" applyBorder="1" applyAlignment="1">
      <alignment horizontal="right" vertical="center" wrapText="1"/>
    </xf>
    <xf numFmtId="168" fontId="27" fillId="0" borderId="2" xfId="1" applyNumberFormat="1" applyFont="1" applyFill="1" applyBorder="1" applyAlignment="1">
      <alignment horizontal="center" vertical="center" wrapText="1"/>
    </xf>
    <xf numFmtId="168" fontId="27" fillId="0" borderId="0" xfId="1" applyNumberFormat="1" applyFont="1" applyFill="1" applyBorder="1" applyAlignment="1">
      <alignment horizontal="right" vertical="center" wrapText="1"/>
    </xf>
    <xf numFmtId="168" fontId="27" fillId="0" borderId="4" xfId="1" applyNumberFormat="1" applyFont="1" applyFill="1" applyBorder="1" applyAlignment="1">
      <alignment horizontal="right" vertical="center" wrapText="1"/>
    </xf>
    <xf numFmtId="168" fontId="27" fillId="0" borderId="9" xfId="1" applyNumberFormat="1" applyFont="1" applyFill="1" applyBorder="1" applyAlignment="1">
      <alignment vertical="center" wrapText="1"/>
    </xf>
    <xf numFmtId="168" fontId="27" fillId="0" borderId="9" xfId="1" applyNumberFormat="1" applyFont="1" applyFill="1" applyBorder="1" applyAlignment="1">
      <alignment horizontal="center" vertical="center" wrapText="1"/>
    </xf>
    <xf numFmtId="168" fontId="27" fillId="0" borderId="4" xfId="1" applyNumberFormat="1" applyFont="1" applyFill="1" applyBorder="1" applyAlignment="1">
      <alignment horizontal="center" vertical="center" wrapText="1"/>
    </xf>
    <xf numFmtId="168" fontId="27" fillId="0" borderId="6" xfId="1" applyNumberFormat="1" applyFont="1" applyFill="1" applyBorder="1" applyAlignment="1">
      <alignment horizontal="right" vertical="center" wrapText="1"/>
    </xf>
    <xf numFmtId="0" fontId="43" fillId="0" borderId="12" xfId="0" applyFont="1" applyFill="1" applyBorder="1" applyAlignment="1">
      <alignment horizontal="center" vertical="center" wrapText="1"/>
    </xf>
    <xf numFmtId="168" fontId="27" fillId="0" borderId="4" xfId="1" applyNumberFormat="1" applyFont="1" applyFill="1" applyBorder="1" applyAlignment="1">
      <alignment vertical="center" wrapText="1"/>
    </xf>
    <xf numFmtId="168" fontId="27" fillId="0" borderId="8" xfId="1" applyNumberFormat="1" applyFont="1" applyFill="1" applyBorder="1" applyAlignment="1">
      <alignment vertical="center" wrapText="1"/>
    </xf>
    <xf numFmtId="0" fontId="0" fillId="0" borderId="0" xfId="0" applyFill="1"/>
    <xf numFmtId="0" fontId="27" fillId="0" borderId="0" xfId="0" applyFont="1" applyFill="1" applyBorder="1" applyAlignment="1">
      <alignment vertical="top" wrapText="1"/>
    </xf>
    <xf numFmtId="0" fontId="35" fillId="0" borderId="9" xfId="0" applyFont="1" applyFill="1" applyBorder="1"/>
    <xf numFmtId="0" fontId="35" fillId="0" borderId="4" xfId="0" applyFont="1" applyFill="1" applyBorder="1"/>
    <xf numFmtId="0" fontId="36" fillId="0" borderId="0" xfId="0" applyFont="1" applyFill="1" applyBorder="1" applyAlignment="1">
      <alignment vertical="center"/>
    </xf>
    <xf numFmtId="168" fontId="4" fillId="0" borderId="0" xfId="1" applyNumberFormat="1" applyFont="1" applyFill="1" applyBorder="1" applyAlignment="1">
      <alignment vertical="center"/>
    </xf>
    <xf numFmtId="0" fontId="4" fillId="0" borderId="0" xfId="0" applyFont="1" applyFill="1" applyBorder="1" applyAlignment="1">
      <alignment horizontal="center" vertical="center"/>
    </xf>
    <xf numFmtId="0" fontId="4" fillId="0" borderId="4" xfId="0" applyFont="1" applyFill="1" applyBorder="1" applyAlignment="1">
      <alignment vertical="center"/>
    </xf>
    <xf numFmtId="164" fontId="4" fillId="0" borderId="0" xfId="1" applyFont="1" applyFill="1" applyBorder="1" applyAlignment="1">
      <alignment vertical="center"/>
    </xf>
    <xf numFmtId="0" fontId="4" fillId="0" borderId="0" xfId="0" applyFont="1" applyFill="1" applyBorder="1" applyAlignment="1">
      <alignment vertical="center"/>
    </xf>
    <xf numFmtId="168" fontId="4" fillId="0" borderId="1" xfId="1" applyNumberFormat="1" applyFont="1" applyFill="1" applyBorder="1" applyAlignment="1">
      <alignment vertical="center"/>
    </xf>
    <xf numFmtId="168" fontId="4" fillId="0" borderId="15" xfId="1" applyNumberFormat="1" applyFont="1" applyFill="1" applyBorder="1" applyAlignment="1">
      <alignment vertical="center"/>
    </xf>
    <xf numFmtId="168" fontId="4" fillId="0" borderId="16" xfId="1" applyNumberFormat="1" applyFont="1" applyFill="1" applyBorder="1" applyAlignment="1">
      <alignment vertical="center"/>
    </xf>
    <xf numFmtId="168" fontId="4" fillId="0" borderId="5" xfId="1" applyNumberFormat="1" applyFont="1" applyFill="1" applyBorder="1" applyAlignment="1">
      <alignment vertical="center"/>
    </xf>
    <xf numFmtId="0" fontId="36" fillId="0" borderId="0" xfId="0" applyFont="1" applyFill="1" applyBorder="1" applyAlignment="1">
      <alignment vertical="center" wrapText="1"/>
    </xf>
    <xf numFmtId="0" fontId="49" fillId="0" borderId="0" xfId="0" applyFont="1" applyFill="1" applyBorder="1" applyAlignment="1">
      <alignment vertical="center" wrapText="1"/>
    </xf>
    <xf numFmtId="0" fontId="49" fillId="0" borderId="0" xfId="0" applyFont="1" applyFill="1" applyBorder="1" applyAlignment="1">
      <alignment vertical="center"/>
    </xf>
    <xf numFmtId="0" fontId="4" fillId="0" borderId="0" xfId="0" applyFont="1" applyFill="1" applyBorder="1" applyAlignment="1">
      <alignment horizontal="center" vertical="center" wrapText="1"/>
    </xf>
    <xf numFmtId="0" fontId="4" fillId="0" borderId="0" xfId="0" applyFont="1" applyFill="1" applyBorder="1" applyAlignment="1">
      <alignment vertical="center" wrapText="1"/>
    </xf>
    <xf numFmtId="0" fontId="27" fillId="0" borderId="2" xfId="0" applyFont="1" applyFill="1" applyBorder="1" applyAlignment="1">
      <alignment horizontal="left" vertical="center" wrapText="1"/>
    </xf>
    <xf numFmtId="0" fontId="27" fillId="0" borderId="2" xfId="0" applyFont="1" applyFill="1" applyBorder="1" applyAlignment="1">
      <alignment vertical="center" wrapText="1"/>
    </xf>
    <xf numFmtId="164" fontId="27" fillId="0" borderId="2" xfId="1" applyFont="1" applyFill="1" applyBorder="1" applyAlignment="1">
      <alignment horizontal="center" vertical="center" wrapText="1"/>
    </xf>
    <xf numFmtId="0" fontId="4" fillId="0" borderId="15" xfId="0" applyFont="1" applyFill="1" applyBorder="1" applyAlignment="1">
      <alignment vertical="center" wrapText="1"/>
    </xf>
    <xf numFmtId="0" fontId="4" fillId="0" borderId="8" xfId="0" applyFont="1" applyFill="1" applyBorder="1" applyAlignment="1">
      <alignment vertical="center" wrapText="1"/>
    </xf>
    <xf numFmtId="0" fontId="4" fillId="0" borderId="15" xfId="0" applyFont="1" applyFill="1" applyBorder="1" applyAlignment="1">
      <alignment horizontal="center" vertical="center" wrapText="1"/>
    </xf>
    <xf numFmtId="0" fontId="4" fillId="0" borderId="0" xfId="0" applyFont="1" applyFill="1" applyBorder="1" applyAlignment="1">
      <alignment horizontal="left" vertical="center"/>
    </xf>
    <xf numFmtId="0" fontId="0" fillId="0" borderId="0" xfId="0" applyFont="1" applyFill="1" applyAlignment="1">
      <alignment vertical="center"/>
    </xf>
    <xf numFmtId="164" fontId="0" fillId="0" borderId="0" xfId="1" applyFont="1" applyFill="1" applyAlignment="1">
      <alignment vertical="center"/>
    </xf>
    <xf numFmtId="0" fontId="0" fillId="0" borderId="0" xfId="0" applyFont="1" applyFill="1" applyAlignment="1">
      <alignment horizontal="center" vertical="center"/>
    </xf>
    <xf numFmtId="0" fontId="0" fillId="0" borderId="0" xfId="0" applyFont="1" applyFill="1"/>
    <xf numFmtId="0" fontId="4" fillId="0" borderId="0" xfId="0" applyFont="1" applyFill="1"/>
    <xf numFmtId="0" fontId="4" fillId="0" borderId="0" xfId="0" applyFont="1" applyFill="1" applyAlignment="1">
      <alignment horizontal="center"/>
    </xf>
    <xf numFmtId="0" fontId="4" fillId="0" borderId="0" xfId="0" applyFont="1" applyFill="1" applyAlignment="1">
      <alignment vertical="center" wrapText="1"/>
    </xf>
    <xf numFmtId="0" fontId="27" fillId="0" borderId="16" xfId="0" applyFont="1" applyFill="1" applyBorder="1" applyAlignment="1">
      <alignment vertical="center" wrapText="1"/>
    </xf>
    <xf numFmtId="0" fontId="27" fillId="0" borderId="16" xfId="0" applyFont="1" applyFill="1" applyBorder="1" applyAlignment="1">
      <alignment horizontal="center" vertical="center" wrapText="1"/>
    </xf>
    <xf numFmtId="0" fontId="27" fillId="0" borderId="1" xfId="0" applyFont="1" applyFill="1" applyBorder="1" applyAlignment="1">
      <alignment horizontal="center" vertical="center" wrapText="1"/>
    </xf>
    <xf numFmtId="0" fontId="27" fillId="0" borderId="1" xfId="0" applyFont="1" applyFill="1" applyBorder="1" applyAlignment="1">
      <alignment vertical="center" wrapText="1"/>
    </xf>
    <xf numFmtId="0" fontId="4" fillId="0" borderId="0" xfId="0" applyFont="1" applyFill="1" applyAlignment="1"/>
    <xf numFmtId="168" fontId="27" fillId="0" borderId="1" xfId="1" applyNumberFormat="1" applyFont="1" applyFill="1" applyBorder="1" applyAlignment="1">
      <alignment horizontal="right" vertical="center" wrapText="1"/>
    </xf>
    <xf numFmtId="164" fontId="4" fillId="0" borderId="1" xfId="1" applyNumberFormat="1" applyFont="1" applyFill="1" applyBorder="1" applyAlignment="1">
      <alignment horizontal="right" vertical="center" wrapText="1"/>
    </xf>
    <xf numFmtId="0" fontId="4" fillId="0" borderId="1" xfId="0" applyFont="1" applyFill="1" applyBorder="1" applyAlignment="1">
      <alignment vertical="center" wrapText="1"/>
    </xf>
    <xf numFmtId="168" fontId="4" fillId="0" borderId="1" xfId="1" applyNumberFormat="1" applyFont="1" applyFill="1" applyBorder="1" applyAlignment="1">
      <alignment horizontal="right" vertical="center" wrapText="1"/>
    </xf>
    <xf numFmtId="164" fontId="27" fillId="0" borderId="1" xfId="1" applyNumberFormat="1" applyFont="1" applyFill="1" applyBorder="1" applyAlignment="1">
      <alignment horizontal="right" vertical="center" wrapText="1"/>
    </xf>
    <xf numFmtId="0" fontId="4" fillId="0" borderId="1" xfId="0" applyFont="1" applyFill="1" applyBorder="1" applyAlignment="1">
      <alignment horizontal="justify" vertical="center" wrapText="1"/>
    </xf>
    <xf numFmtId="168" fontId="4" fillId="0" borderId="17" xfId="1" applyNumberFormat="1" applyFont="1" applyFill="1" applyBorder="1" applyAlignment="1">
      <alignment horizontal="right" vertical="center" wrapText="1"/>
    </xf>
    <xf numFmtId="168" fontId="4" fillId="0" borderId="15" xfId="1" applyNumberFormat="1" applyFont="1" applyFill="1" applyBorder="1" applyAlignment="1">
      <alignment horizontal="right" vertical="center" wrapText="1"/>
    </xf>
    <xf numFmtId="0" fontId="4" fillId="0" borderId="15" xfId="0" applyFont="1" applyFill="1" applyBorder="1" applyAlignment="1">
      <alignment horizontal="justify" vertical="center" wrapText="1"/>
    </xf>
    <xf numFmtId="0" fontId="4" fillId="0" borderId="1" xfId="0" applyFont="1" applyFill="1" applyBorder="1" applyAlignment="1">
      <alignment vertical="top" wrapText="1"/>
    </xf>
    <xf numFmtId="168" fontId="4" fillId="0" borderId="1" xfId="1" applyNumberFormat="1" applyFont="1" applyFill="1" applyBorder="1" applyAlignment="1">
      <alignment horizontal="right" vertical="top" wrapText="1"/>
    </xf>
    <xf numFmtId="164" fontId="4" fillId="0" borderId="1" xfId="1" applyFont="1" applyFill="1" applyBorder="1" applyAlignment="1">
      <alignment horizontal="right" vertical="top" wrapText="1"/>
    </xf>
    <xf numFmtId="0" fontId="4" fillId="0" borderId="15" xfId="0" applyFont="1" applyFill="1" applyBorder="1" applyAlignment="1">
      <alignment vertical="top" wrapText="1"/>
    </xf>
    <xf numFmtId="168" fontId="4" fillId="0" borderId="15" xfId="1" applyNumberFormat="1" applyFont="1" applyFill="1" applyBorder="1" applyAlignment="1">
      <alignment horizontal="right" vertical="top" wrapText="1"/>
    </xf>
    <xf numFmtId="164" fontId="4" fillId="0" borderId="15" xfId="1" applyFont="1" applyFill="1" applyBorder="1" applyAlignment="1">
      <alignment horizontal="right" vertical="top" wrapText="1"/>
    </xf>
    <xf numFmtId="0" fontId="4" fillId="0" borderId="15" xfId="0" applyFont="1" applyFill="1" applyBorder="1" applyAlignment="1">
      <alignment horizontal="justify" vertical="top" wrapText="1"/>
    </xf>
    <xf numFmtId="168" fontId="27" fillId="0" borderId="16" xfId="1" applyNumberFormat="1" applyFont="1" applyFill="1" applyBorder="1" applyAlignment="1">
      <alignment horizontal="center" vertical="center" wrapText="1"/>
    </xf>
    <xf numFmtId="0" fontId="4" fillId="0" borderId="0" xfId="0" applyFont="1" applyFill="1" applyAlignment="1">
      <alignment vertical="center"/>
    </xf>
    <xf numFmtId="168" fontId="4" fillId="0" borderId="0" xfId="1" applyNumberFormat="1" applyFont="1" applyFill="1" applyAlignment="1">
      <alignment vertical="center"/>
    </xf>
    <xf numFmtId="0" fontId="4" fillId="0" borderId="0" xfId="0" applyFont="1" applyFill="1" applyAlignment="1">
      <alignment horizontal="left" vertical="center"/>
    </xf>
    <xf numFmtId="0" fontId="27" fillId="0" borderId="15" xfId="0" applyFont="1" applyFill="1" applyBorder="1" applyAlignment="1">
      <alignment horizontal="center" vertical="center" wrapText="1"/>
    </xf>
    <xf numFmtId="168" fontId="4" fillId="0" borderId="0" xfId="1" applyNumberFormat="1" applyFont="1" applyFill="1"/>
    <xf numFmtId="0" fontId="4" fillId="0" borderId="0" xfId="0" applyFont="1" applyFill="1" applyBorder="1"/>
    <xf numFmtId="168" fontId="4" fillId="0" borderId="9" xfId="1" applyNumberFormat="1" applyFont="1" applyFill="1" applyBorder="1" applyAlignment="1">
      <alignment vertical="center" wrapText="1"/>
    </xf>
    <xf numFmtId="168" fontId="4" fillId="0" borderId="2" xfId="1" applyNumberFormat="1" applyFont="1" applyFill="1" applyBorder="1" applyAlignment="1">
      <alignment horizontal="right" vertical="center" wrapText="1"/>
    </xf>
    <xf numFmtId="168" fontId="4" fillId="0" borderId="0" xfId="1" applyNumberFormat="1" applyFont="1" applyFill="1" applyBorder="1" applyAlignment="1">
      <alignment horizontal="right" vertical="center" wrapText="1"/>
    </xf>
    <xf numFmtId="168" fontId="4" fillId="0" borderId="4" xfId="1" applyNumberFormat="1" applyFont="1" applyFill="1" applyBorder="1" applyAlignment="1">
      <alignment horizontal="right" vertical="center" wrapText="1"/>
    </xf>
    <xf numFmtId="168" fontId="4" fillId="0" borderId="16" xfId="1" applyNumberFormat="1" applyFont="1" applyFill="1" applyBorder="1" applyAlignment="1">
      <alignment horizontal="right" vertical="center" wrapText="1"/>
    </xf>
    <xf numFmtId="168" fontId="4" fillId="0" borderId="0" xfId="1" applyNumberFormat="1" applyFont="1" applyFill="1" applyBorder="1" applyAlignment="1">
      <alignment horizontal="center" vertical="center" wrapText="1"/>
    </xf>
    <xf numFmtId="164" fontId="4" fillId="0" borderId="0" xfId="1" applyFont="1" applyFill="1" applyAlignment="1">
      <alignment vertical="center"/>
    </xf>
    <xf numFmtId="168" fontId="4" fillId="0" borderId="6" xfId="1" applyNumberFormat="1" applyFont="1" applyFill="1" applyBorder="1" applyAlignment="1">
      <alignment horizontal="right" vertical="center" wrapText="1"/>
    </xf>
    <xf numFmtId="0" fontId="4" fillId="0" borderId="12" xfId="0" applyFont="1" applyFill="1" applyBorder="1" applyAlignment="1">
      <alignment vertical="center"/>
    </xf>
    <xf numFmtId="168" fontId="4" fillId="0" borderId="13" xfId="1" applyNumberFormat="1" applyFont="1" applyFill="1" applyBorder="1" applyAlignment="1">
      <alignment vertical="center"/>
    </xf>
    <xf numFmtId="0" fontId="4" fillId="0" borderId="14" xfId="0" applyFont="1" applyFill="1" applyBorder="1" applyAlignment="1">
      <alignment vertical="center"/>
    </xf>
    <xf numFmtId="168" fontId="4" fillId="0" borderId="16" xfId="1" applyNumberFormat="1" applyFont="1" applyFill="1" applyBorder="1" applyAlignment="1">
      <alignment vertical="center" wrapText="1"/>
    </xf>
    <xf numFmtId="168" fontId="4" fillId="0" borderId="1" xfId="1" applyNumberFormat="1" applyFont="1" applyFill="1" applyBorder="1" applyAlignment="1">
      <alignment vertical="center" wrapText="1"/>
    </xf>
    <xf numFmtId="168" fontId="4" fillId="0" borderId="15" xfId="1" applyNumberFormat="1" applyFont="1" applyFill="1" applyBorder="1" applyAlignment="1">
      <alignment vertical="center" wrapText="1"/>
    </xf>
    <xf numFmtId="168" fontId="4" fillId="0" borderId="0" xfId="1" applyNumberFormat="1" applyFont="1" applyFill="1" applyBorder="1" applyAlignment="1">
      <alignment vertical="center" wrapText="1"/>
    </xf>
    <xf numFmtId="0" fontId="4" fillId="0" borderId="0" xfId="0" applyFont="1" applyFill="1" applyBorder="1" applyAlignment="1">
      <alignment horizontal="right" vertical="center" wrapText="1"/>
    </xf>
    <xf numFmtId="0" fontId="36" fillId="0" borderId="0" xfId="0" applyFont="1" applyFill="1" applyAlignment="1">
      <alignment vertical="center"/>
    </xf>
    <xf numFmtId="0" fontId="36" fillId="0" borderId="0" xfId="0" applyFont="1" applyFill="1" applyAlignment="1">
      <alignment vertical="center" wrapText="1"/>
    </xf>
    <xf numFmtId="0" fontId="49" fillId="0" borderId="0" xfId="0" applyFont="1" applyFill="1" applyAlignment="1">
      <alignment vertical="center" wrapText="1"/>
    </xf>
    <xf numFmtId="0" fontId="53" fillId="0" borderId="28" xfId="0" applyFont="1" applyFill="1" applyBorder="1" applyAlignment="1">
      <alignment horizontal="center" vertical="center" wrapText="1"/>
    </xf>
    <xf numFmtId="0" fontId="53" fillId="0" borderId="29" xfId="0" applyFont="1" applyFill="1" applyBorder="1" applyAlignment="1">
      <alignment horizontal="center" vertical="center" wrapText="1"/>
    </xf>
    <xf numFmtId="0" fontId="54" fillId="0" borderId="30" xfId="0" applyFont="1" applyFill="1" applyBorder="1" applyAlignment="1">
      <alignment vertical="center" wrapText="1"/>
    </xf>
    <xf numFmtId="0" fontId="53" fillId="0" borderId="30" xfId="0" applyFont="1" applyFill="1" applyBorder="1" applyAlignment="1">
      <alignment vertical="center" wrapText="1"/>
    </xf>
    <xf numFmtId="0" fontId="54" fillId="0" borderId="31" xfId="0" applyFont="1" applyFill="1" applyBorder="1" applyAlignment="1">
      <alignment vertical="center" wrapText="1"/>
    </xf>
    <xf numFmtId="0" fontId="0" fillId="0" borderId="31" xfId="0" applyFont="1" applyFill="1" applyBorder="1" applyAlignment="1">
      <alignment vertical="center"/>
    </xf>
    <xf numFmtId="0" fontId="0" fillId="0" borderId="31" xfId="0" applyFont="1" applyFill="1" applyBorder="1" applyAlignment="1">
      <alignment vertical="center" wrapText="1"/>
    </xf>
    <xf numFmtId="0" fontId="54" fillId="0" borderId="32" xfId="0" applyFont="1" applyFill="1" applyBorder="1" applyAlignment="1">
      <alignment vertical="center" wrapText="1"/>
    </xf>
    <xf numFmtId="0" fontId="0" fillId="0" borderId="32" xfId="0" applyFont="1" applyFill="1" applyBorder="1" applyAlignment="1">
      <alignment vertical="center" wrapText="1"/>
    </xf>
    <xf numFmtId="0" fontId="54" fillId="0" borderId="28" xfId="0" applyFont="1" applyFill="1" applyBorder="1" applyAlignment="1">
      <alignment vertical="center" wrapText="1"/>
    </xf>
    <xf numFmtId="0" fontId="54" fillId="0" borderId="30" xfId="0" applyFont="1" applyFill="1" applyBorder="1" applyAlignment="1">
      <alignment horizontal="left" vertical="center" wrapText="1"/>
    </xf>
    <xf numFmtId="0" fontId="54" fillId="0" borderId="31" xfId="0" applyFont="1" applyFill="1" applyBorder="1" applyAlignment="1">
      <alignment horizontal="left" vertical="center" wrapText="1"/>
    </xf>
    <xf numFmtId="0" fontId="54" fillId="0" borderId="32" xfId="0" applyFont="1" applyFill="1" applyBorder="1" applyAlignment="1">
      <alignment horizontal="left" vertical="center" wrapText="1"/>
    </xf>
    <xf numFmtId="0" fontId="54" fillId="0" borderId="30" xfId="0" applyFont="1" applyFill="1" applyBorder="1" applyAlignment="1">
      <alignment horizontal="justify" vertical="center" wrapText="1"/>
    </xf>
    <xf numFmtId="0" fontId="56" fillId="0" borderId="31" xfId="0" applyFont="1" applyFill="1" applyBorder="1" applyAlignment="1">
      <alignment horizontal="justify" vertical="center" wrapText="1"/>
    </xf>
    <xf numFmtId="0" fontId="54" fillId="0" borderId="32" xfId="0" applyFont="1" applyFill="1" applyBorder="1" applyAlignment="1">
      <alignment horizontal="justify" vertical="center" wrapText="1"/>
    </xf>
    <xf numFmtId="0" fontId="54" fillId="0" borderId="31" xfId="0" applyFont="1" applyFill="1" applyBorder="1" applyAlignment="1">
      <alignment horizontal="justify" vertical="center" wrapText="1"/>
    </xf>
    <xf numFmtId="0" fontId="55" fillId="0" borderId="31" xfId="0" applyFont="1" applyFill="1" applyBorder="1" applyAlignment="1">
      <alignment horizontal="left" vertical="center" wrapText="1"/>
    </xf>
    <xf numFmtId="0" fontId="57" fillId="0" borderId="31" xfId="0" applyFont="1" applyFill="1" applyBorder="1" applyAlignment="1">
      <alignment horizontal="justify" vertical="center" wrapText="1"/>
    </xf>
    <xf numFmtId="0" fontId="57" fillId="0" borderId="32" xfId="0" applyFont="1" applyFill="1" applyBorder="1" applyAlignment="1">
      <alignment horizontal="justify" vertical="center" wrapText="1"/>
    </xf>
    <xf numFmtId="0" fontId="54" fillId="0" borderId="21" xfId="0" applyFont="1" applyFill="1" applyBorder="1" applyAlignment="1">
      <alignment vertical="center" wrapText="1"/>
    </xf>
    <xf numFmtId="0" fontId="54" fillId="0" borderId="28" xfId="0" applyFont="1" applyFill="1" applyBorder="1" applyAlignment="1">
      <alignment horizontal="left" vertical="center" wrapText="1"/>
    </xf>
    <xf numFmtId="0" fontId="42" fillId="0" borderId="0" xfId="0" applyFont="1" applyFill="1" applyBorder="1" applyAlignment="1">
      <alignment vertical="center"/>
    </xf>
    <xf numFmtId="0" fontId="49" fillId="0" borderId="0" xfId="0" applyFont="1" applyFill="1"/>
    <xf numFmtId="0" fontId="4" fillId="0" borderId="0" xfId="3" applyFont="1" applyFill="1" applyAlignment="1">
      <alignment vertical="center"/>
    </xf>
    <xf numFmtId="170" fontId="4" fillId="0" borderId="0" xfId="1" applyNumberFormat="1" applyFont="1" applyFill="1" applyBorder="1" applyAlignment="1">
      <alignment vertical="center"/>
    </xf>
    <xf numFmtId="0" fontId="4" fillId="0" borderId="0" xfId="3" applyFont="1" applyFill="1" applyBorder="1" applyAlignment="1">
      <alignment horizontal="justify" vertical="center" wrapText="1"/>
    </xf>
    <xf numFmtId="0" fontId="4" fillId="0" borderId="0" xfId="3" applyFont="1" applyFill="1" applyBorder="1" applyAlignment="1">
      <alignment vertical="center"/>
    </xf>
    <xf numFmtId="0" fontId="4" fillId="0" borderId="0" xfId="3" applyFont="1" applyFill="1" applyBorder="1" applyAlignment="1">
      <alignment horizontal="left" vertical="center" wrapText="1"/>
    </xf>
    <xf numFmtId="168" fontId="4" fillId="0" borderId="16" xfId="1" applyNumberFormat="1" applyFont="1" applyFill="1" applyBorder="1" applyAlignment="1">
      <alignment horizontal="right" vertical="center"/>
    </xf>
    <xf numFmtId="168" fontId="4" fillId="0" borderId="1" xfId="1" applyNumberFormat="1" applyFont="1" applyFill="1" applyBorder="1" applyAlignment="1">
      <alignment horizontal="right" vertical="center"/>
    </xf>
    <xf numFmtId="0" fontId="4" fillId="0" borderId="0" xfId="4" applyFont="1" applyFill="1" applyBorder="1" applyAlignment="1">
      <alignment horizontal="justify" vertical="center" wrapText="1"/>
    </xf>
    <xf numFmtId="0" fontId="4" fillId="0" borderId="0" xfId="4" applyFont="1" applyFill="1" applyBorder="1" applyAlignment="1">
      <alignment horizontal="left" vertical="center" wrapText="1"/>
    </xf>
    <xf numFmtId="0" fontId="4" fillId="0" borderId="5" xfId="3" applyFont="1" applyFill="1" applyBorder="1" applyAlignment="1">
      <alignment horizontal="justify" vertical="center" wrapText="1"/>
    </xf>
    <xf numFmtId="168" fontId="4" fillId="0" borderId="0" xfId="3" applyNumberFormat="1" applyFont="1" applyFill="1" applyAlignment="1">
      <alignment vertical="center"/>
    </xf>
    <xf numFmtId="170" fontId="4" fillId="0" borderId="0" xfId="1" applyNumberFormat="1" applyFont="1" applyFill="1" applyAlignment="1">
      <alignment vertical="center"/>
    </xf>
    <xf numFmtId="0" fontId="4" fillId="0" borderId="0" xfId="3" applyFont="1" applyFill="1" applyAlignment="1">
      <alignment horizontal="justify" vertical="center" wrapText="1"/>
    </xf>
    <xf numFmtId="0" fontId="4" fillId="0" borderId="0" xfId="0" applyFont="1" applyFill="1" applyBorder="1" applyAlignment="1"/>
    <xf numFmtId="168" fontId="27" fillId="0" borderId="2" xfId="1" quotePrefix="1" applyNumberFormat="1" applyFont="1" applyFill="1" applyBorder="1" applyAlignment="1">
      <alignment horizontal="center"/>
    </xf>
    <xf numFmtId="0" fontId="4" fillId="0" borderId="0" xfId="0" applyFont="1" applyFill="1" applyBorder="1" applyAlignment="1">
      <alignment horizontal="justify" vertical="center" wrapText="1"/>
    </xf>
    <xf numFmtId="168" fontId="53" fillId="0" borderId="5" xfId="1" applyNumberFormat="1" applyFont="1" applyFill="1" applyBorder="1" applyAlignment="1">
      <alignment horizontal="center" vertical="center" wrapText="1"/>
    </xf>
    <xf numFmtId="168" fontId="53" fillId="0" borderId="5" xfId="1" quotePrefix="1" applyNumberFormat="1" applyFont="1" applyFill="1" applyBorder="1" applyAlignment="1">
      <alignment horizontal="center" vertical="center" wrapText="1"/>
    </xf>
    <xf numFmtId="0" fontId="54" fillId="0" borderId="0" xfId="0" applyFont="1" applyFill="1" applyBorder="1" applyAlignment="1">
      <alignment horizontal="left" vertical="center" wrapText="1"/>
    </xf>
    <xf numFmtId="168" fontId="54" fillId="0" borderId="0" xfId="1" applyNumberFormat="1" applyFont="1" applyFill="1" applyBorder="1" applyAlignment="1">
      <alignment vertical="center"/>
    </xf>
    <xf numFmtId="164" fontId="4" fillId="0" borderId="0" xfId="1" applyFont="1" applyFill="1" applyBorder="1" applyAlignment="1"/>
    <xf numFmtId="0" fontId="53" fillId="0" borderId="0" xfId="0" applyFont="1" applyFill="1" applyBorder="1" applyAlignment="1">
      <alignment horizontal="left" vertical="center" wrapText="1"/>
    </xf>
    <xf numFmtId="168" fontId="53" fillId="0" borderId="10" xfId="1" applyNumberFormat="1" applyFont="1" applyFill="1" applyBorder="1" applyAlignment="1">
      <alignment vertical="center"/>
    </xf>
    <xf numFmtId="168" fontId="54" fillId="0" borderId="5" xfId="1" applyNumberFormat="1" applyFont="1" applyFill="1" applyBorder="1" applyAlignment="1">
      <alignment vertical="center"/>
    </xf>
    <xf numFmtId="0" fontId="4" fillId="0" borderId="4" xfId="0" applyFont="1" applyFill="1" applyBorder="1" applyAlignment="1">
      <alignment horizontal="justify" vertical="center" wrapText="1"/>
    </xf>
    <xf numFmtId="0" fontId="41" fillId="0" borderId="0" xfId="0" applyFont="1" applyFill="1" applyBorder="1" applyAlignment="1">
      <alignment vertical="center"/>
    </xf>
    <xf numFmtId="0" fontId="54" fillId="0" borderId="0" xfId="0" applyFont="1" applyFill="1" applyBorder="1" applyAlignment="1">
      <alignment horizontal="left" vertical="center"/>
    </xf>
    <xf numFmtId="0" fontId="53" fillId="0" borderId="27" xfId="0" applyFont="1" applyFill="1" applyBorder="1" applyAlignment="1">
      <alignment horizontal="center" vertical="center" wrapText="1"/>
    </xf>
    <xf numFmtId="0" fontId="54" fillId="0" borderId="0" xfId="0" applyFont="1" applyFill="1" applyBorder="1" applyAlignment="1">
      <alignment vertical="center" wrapText="1"/>
    </xf>
    <xf numFmtId="0" fontId="53" fillId="0" borderId="0" xfId="0" applyFont="1" applyFill="1" applyBorder="1" applyAlignment="1">
      <alignment vertical="center" wrapText="1"/>
    </xf>
    <xf numFmtId="168" fontId="53" fillId="0" borderId="7" xfId="1" applyNumberFormat="1" applyFont="1" applyFill="1" applyBorder="1" applyAlignment="1">
      <alignment vertical="center"/>
    </xf>
    <xf numFmtId="0" fontId="4" fillId="0" borderId="5" xfId="0" applyFont="1" applyFill="1" applyBorder="1" applyAlignment="1">
      <alignment horizontal="left" vertical="center"/>
    </xf>
    <xf numFmtId="0" fontId="4" fillId="0" borderId="5" xfId="0" applyFont="1" applyFill="1" applyBorder="1" applyAlignment="1">
      <alignment vertical="center"/>
    </xf>
    <xf numFmtId="0" fontId="4" fillId="0" borderId="13" xfId="0" applyFont="1" applyFill="1" applyBorder="1" applyAlignment="1">
      <alignment horizontal="left" vertical="center"/>
    </xf>
    <xf numFmtId="0" fontId="4" fillId="0" borderId="13" xfId="0" applyFont="1" applyFill="1" applyBorder="1" applyAlignment="1">
      <alignment vertical="center"/>
    </xf>
    <xf numFmtId="168" fontId="4" fillId="0" borderId="0" xfId="0" applyNumberFormat="1" applyFont="1" applyFill="1" applyAlignment="1">
      <alignment vertical="center"/>
    </xf>
    <xf numFmtId="168" fontId="4" fillId="0" borderId="0" xfId="0" applyNumberFormat="1" applyFont="1" applyFill="1" applyBorder="1" applyAlignment="1">
      <alignment vertical="center"/>
    </xf>
    <xf numFmtId="168" fontId="4" fillId="0" borderId="0" xfId="0" applyNumberFormat="1" applyFont="1" applyFill="1" applyAlignment="1">
      <alignment vertical="center" wrapText="1"/>
    </xf>
    <xf numFmtId="0" fontId="4" fillId="0" borderId="9" xfId="0" applyFont="1" applyFill="1" applyBorder="1" applyAlignment="1">
      <alignment vertical="center" wrapText="1"/>
    </xf>
    <xf numFmtId="168" fontId="4" fillId="0" borderId="0" xfId="0" applyNumberFormat="1" applyFont="1" applyFill="1" applyBorder="1" applyAlignment="1">
      <alignment vertical="center" wrapText="1"/>
    </xf>
    <xf numFmtId="168" fontId="4" fillId="0" borderId="4" xfId="0" applyNumberFormat="1" applyFont="1" applyFill="1" applyBorder="1" applyAlignment="1">
      <alignment vertical="center" wrapText="1"/>
    </xf>
    <xf numFmtId="0" fontId="27" fillId="0" borderId="8" xfId="0" applyFont="1" applyFill="1" applyBorder="1" applyAlignment="1">
      <alignment vertical="center" wrapText="1"/>
    </xf>
    <xf numFmtId="0" fontId="4" fillId="0" borderId="5" xfId="0" applyFont="1" applyFill="1" applyBorder="1" applyAlignment="1">
      <alignment vertical="center" wrapText="1"/>
    </xf>
    <xf numFmtId="168" fontId="4" fillId="0" borderId="5" xfId="0" applyNumberFormat="1" applyFont="1" applyFill="1" applyBorder="1" applyAlignment="1">
      <alignment vertical="center" wrapText="1"/>
    </xf>
    <xf numFmtId="168" fontId="4" fillId="0" borderId="6" xfId="0" applyNumberFormat="1" applyFont="1" applyFill="1" applyBorder="1" applyAlignment="1">
      <alignment vertical="center" wrapText="1"/>
    </xf>
    <xf numFmtId="164" fontId="4" fillId="0" borderId="9" xfId="1" applyFont="1" applyFill="1" applyBorder="1" applyAlignment="1">
      <alignment vertical="center"/>
    </xf>
    <xf numFmtId="0" fontId="0" fillId="0" borderId="13" xfId="0" applyFont="1" applyFill="1" applyBorder="1"/>
    <xf numFmtId="0" fontId="0" fillId="0" borderId="0" xfId="0" applyFont="1" applyFill="1" applyBorder="1"/>
    <xf numFmtId="0" fontId="0" fillId="0" borderId="9" xfId="0" applyFont="1" applyFill="1" applyBorder="1"/>
    <xf numFmtId="0" fontId="0" fillId="0" borderId="8" xfId="0" applyFont="1" applyFill="1" applyBorder="1"/>
    <xf numFmtId="0" fontId="0" fillId="0" borderId="5" xfId="0" applyFont="1" applyFill="1" applyBorder="1"/>
    <xf numFmtId="0" fontId="0" fillId="0" borderId="12" xfId="0" applyFont="1" applyFill="1" applyBorder="1"/>
    <xf numFmtId="164" fontId="4" fillId="0" borderId="0" xfId="1" applyFont="1" applyFill="1" applyBorder="1"/>
    <xf numFmtId="164" fontId="27" fillId="0" borderId="0" xfId="1" applyFont="1" applyFill="1" applyBorder="1" applyAlignment="1">
      <alignment horizontal="center" vertical="center" wrapText="1"/>
    </xf>
    <xf numFmtId="15" fontId="27" fillId="0" borderId="0" xfId="0" quotePrefix="1" applyNumberFormat="1" applyFont="1" applyFill="1" applyBorder="1" applyAlignment="1">
      <alignment vertical="top" wrapText="1"/>
    </xf>
    <xf numFmtId="164" fontId="27" fillId="0" borderId="0" xfId="1" applyFont="1" applyFill="1" applyBorder="1"/>
    <xf numFmtId="0" fontId="41" fillId="0" borderId="0" xfId="0" applyFont="1" applyFill="1" applyBorder="1" applyAlignment="1">
      <alignment vertical="top" wrapText="1"/>
    </xf>
    <xf numFmtId="168" fontId="49" fillId="0" borderId="0" xfId="1" applyNumberFormat="1" applyFont="1" applyFill="1" applyBorder="1" applyAlignment="1">
      <alignment vertical="center"/>
    </xf>
    <xf numFmtId="168" fontId="27" fillId="0" borderId="1" xfId="1" applyNumberFormat="1" applyFont="1" applyFill="1" applyBorder="1" applyAlignment="1">
      <alignment horizontal="center" vertical="center"/>
    </xf>
    <xf numFmtId="174" fontId="4" fillId="0" borderId="0" xfId="1" applyNumberFormat="1" applyFont="1" applyFill="1" applyBorder="1" applyAlignment="1">
      <alignment vertical="center"/>
    </xf>
    <xf numFmtId="0" fontId="27" fillId="0" borderId="0" xfId="0" applyFont="1" applyFill="1" applyBorder="1"/>
    <xf numFmtId="164" fontId="4" fillId="0" borderId="15" xfId="1" applyFont="1" applyFill="1" applyBorder="1" applyAlignment="1">
      <alignment vertical="center"/>
    </xf>
    <xf numFmtId="168" fontId="27" fillId="0" borderId="16" xfId="1" applyNumberFormat="1" applyFont="1" applyFill="1" applyBorder="1" applyAlignment="1">
      <alignment vertical="center"/>
    </xf>
    <xf numFmtId="164" fontId="27" fillId="0" borderId="16" xfId="1" applyFont="1" applyFill="1" applyBorder="1" applyAlignment="1">
      <alignment vertical="center"/>
    </xf>
    <xf numFmtId="164" fontId="4" fillId="0" borderId="16" xfId="1" applyFont="1" applyFill="1" applyBorder="1" applyAlignment="1">
      <alignment vertical="center"/>
    </xf>
    <xf numFmtId="164" fontId="4" fillId="0" borderId="1" xfId="1" applyFont="1" applyFill="1" applyBorder="1" applyAlignment="1">
      <alignment vertical="center"/>
    </xf>
    <xf numFmtId="164" fontId="27" fillId="0" borderId="1" xfId="1" applyFont="1" applyFill="1" applyBorder="1" applyAlignment="1">
      <alignment vertical="center"/>
    </xf>
    <xf numFmtId="0" fontId="4" fillId="0" borderId="1" xfId="0" applyFont="1" applyFill="1" applyBorder="1" applyAlignment="1">
      <alignment vertical="center"/>
    </xf>
    <xf numFmtId="0" fontId="49" fillId="0" borderId="0" xfId="0" applyFont="1" applyFill="1" applyProtection="1"/>
    <xf numFmtId="0" fontId="36" fillId="0" borderId="0" xfId="0" applyFont="1" applyFill="1" applyAlignment="1" applyProtection="1">
      <alignment horizontal="right"/>
    </xf>
    <xf numFmtId="0" fontId="49" fillId="0" borderId="33" xfId="0" applyFont="1" applyFill="1" applyBorder="1" applyProtection="1"/>
    <xf numFmtId="0" fontId="49" fillId="0" borderId="34" xfId="0" applyFont="1" applyFill="1" applyBorder="1" applyProtection="1"/>
    <xf numFmtId="0" fontId="49" fillId="0" borderId="35" xfId="0" applyFont="1" applyFill="1" applyBorder="1" applyProtection="1"/>
    <xf numFmtId="0" fontId="49" fillId="0" borderId="36" xfId="0" applyFont="1" applyFill="1" applyBorder="1" applyProtection="1"/>
    <xf numFmtId="0" fontId="49" fillId="0" borderId="37" xfId="0" applyFont="1" applyFill="1" applyBorder="1" applyProtection="1"/>
    <xf numFmtId="0" fontId="49" fillId="0" borderId="38" xfId="0" applyFont="1" applyFill="1" applyBorder="1" applyProtection="1"/>
    <xf numFmtId="0" fontId="60" fillId="0" borderId="0" xfId="0" applyFont="1" applyFill="1" applyProtection="1"/>
    <xf numFmtId="0" fontId="49" fillId="0" borderId="0" xfId="0" applyFont="1" applyFill="1" applyAlignment="1" applyProtection="1">
      <alignment horizontal="left"/>
    </xf>
    <xf numFmtId="0" fontId="0" fillId="0" borderId="56" xfId="0" applyFont="1" applyFill="1" applyBorder="1" applyAlignment="1">
      <alignment vertical="center"/>
    </xf>
    <xf numFmtId="0" fontId="0" fillId="0" borderId="42" xfId="0" applyFont="1" applyFill="1" applyBorder="1" applyAlignment="1">
      <alignment vertical="center"/>
    </xf>
    <xf numFmtId="0" fontId="0" fillId="0" borderId="57" xfId="0" applyFont="1" applyFill="1" applyBorder="1" applyAlignment="1">
      <alignment vertical="center"/>
    </xf>
    <xf numFmtId="0" fontId="0" fillId="0" borderId="58" xfId="0" applyFont="1" applyFill="1" applyBorder="1" applyAlignment="1">
      <alignment vertical="center"/>
    </xf>
    <xf numFmtId="0" fontId="0" fillId="0" borderId="0" xfId="0" applyFont="1" applyFill="1" applyBorder="1" applyAlignment="1">
      <alignment vertical="center"/>
    </xf>
    <xf numFmtId="0" fontId="0" fillId="0" borderId="59" xfId="0" applyFont="1" applyFill="1" applyBorder="1" applyAlignment="1">
      <alignment vertical="center"/>
    </xf>
    <xf numFmtId="0" fontId="61" fillId="0" borderId="0" xfId="0" applyFont="1" applyFill="1" applyAlignment="1">
      <alignment vertical="center"/>
    </xf>
    <xf numFmtId="0" fontId="62" fillId="0" borderId="0" xfId="0" applyFont="1" applyFill="1" applyAlignment="1">
      <alignment vertical="center"/>
    </xf>
    <xf numFmtId="0" fontId="39" fillId="0" borderId="0" xfId="0" applyFont="1" applyFill="1" applyAlignment="1">
      <alignment vertical="center"/>
    </xf>
    <xf numFmtId="0" fontId="54" fillId="0" borderId="0" xfId="0" applyFont="1" applyFill="1" applyAlignment="1">
      <alignment vertical="center"/>
    </xf>
    <xf numFmtId="0" fontId="42" fillId="0" borderId="0" xfId="0" applyFont="1" applyFill="1" applyAlignment="1">
      <alignment vertical="center"/>
    </xf>
    <xf numFmtId="0" fontId="0" fillId="0" borderId="60" xfId="0" applyFont="1" applyFill="1" applyBorder="1" applyAlignment="1">
      <alignment vertical="center"/>
    </xf>
    <xf numFmtId="0" fontId="0" fillId="0" borderId="43" xfId="0" applyFont="1" applyFill="1" applyBorder="1" applyAlignment="1">
      <alignment vertical="center"/>
    </xf>
    <xf numFmtId="0" fontId="0" fillId="0" borderId="61" xfId="0" applyFont="1" applyFill="1" applyBorder="1" applyAlignment="1">
      <alignment vertical="center"/>
    </xf>
    <xf numFmtId="0" fontId="39" fillId="0" borderId="0" xfId="0" applyFont="1" applyFill="1" applyBorder="1" applyAlignment="1">
      <alignment horizontal="center" vertical="center" wrapText="1"/>
    </xf>
    <xf numFmtId="0" fontId="39" fillId="0" borderId="39" xfId="0" applyFont="1" applyFill="1" applyBorder="1" applyAlignment="1">
      <alignment horizontal="center" vertical="center" wrapText="1"/>
    </xf>
    <xf numFmtId="16" fontId="39" fillId="0" borderId="39" xfId="0" quotePrefix="1" applyNumberFormat="1" applyFont="1" applyFill="1" applyBorder="1" applyAlignment="1">
      <alignment horizontal="center" vertical="center" wrapText="1"/>
    </xf>
    <xf numFmtId="0" fontId="39" fillId="0" borderId="39" xfId="0" applyFont="1" applyFill="1" applyBorder="1" applyAlignment="1">
      <alignment vertical="center"/>
    </xf>
    <xf numFmtId="0" fontId="39" fillId="0" borderId="39" xfId="0" quotePrefix="1" applyFont="1" applyFill="1" applyBorder="1" applyAlignment="1">
      <alignment horizontal="left" vertical="center" wrapText="1"/>
    </xf>
    <xf numFmtId="0" fontId="0" fillId="0" borderId="14" xfId="0" applyFont="1" applyFill="1" applyBorder="1"/>
    <xf numFmtId="0" fontId="0" fillId="0" borderId="4" xfId="0" applyFont="1" applyFill="1" applyBorder="1"/>
    <xf numFmtId="0" fontId="63" fillId="0" borderId="0" xfId="0" applyFont="1" applyFill="1" applyBorder="1" applyAlignment="1">
      <alignment horizontal="center"/>
    </xf>
    <xf numFmtId="0" fontId="64" fillId="0" borderId="0" xfId="0" applyFont="1" applyFill="1" applyBorder="1" applyAlignment="1">
      <alignment horizontal="center"/>
    </xf>
    <xf numFmtId="0" fontId="48" fillId="0" borderId="0" xfId="0" applyFont="1" applyFill="1" applyBorder="1" applyAlignment="1">
      <alignment horizontal="center"/>
    </xf>
    <xf numFmtId="0" fontId="40" fillId="0" borderId="0" xfId="0" applyFont="1" applyFill="1" applyBorder="1" applyAlignment="1">
      <alignment horizontal="center" vertical="top" wrapText="1"/>
    </xf>
    <xf numFmtId="0" fontId="40" fillId="0" borderId="30" xfId="0" applyFont="1" applyFill="1" applyBorder="1" applyAlignment="1">
      <alignment horizontal="center" vertical="top" wrapText="1"/>
    </xf>
    <xf numFmtId="0" fontId="65" fillId="0" borderId="31" xfId="0" applyFont="1" applyFill="1" applyBorder="1" applyAlignment="1">
      <alignment horizontal="center" vertical="top" wrapText="1"/>
    </xf>
    <xf numFmtId="0" fontId="53" fillId="0" borderId="32" xfId="0" applyFont="1" applyFill="1" applyBorder="1"/>
    <xf numFmtId="0" fontId="53" fillId="0" borderId="0" xfId="0" applyFont="1" applyFill="1" applyBorder="1"/>
    <xf numFmtId="0" fontId="0" fillId="0" borderId="6" xfId="0" applyFont="1" applyFill="1" applyBorder="1"/>
    <xf numFmtId="0" fontId="42" fillId="0" borderId="0" xfId="0" applyFont="1" applyFill="1" applyAlignment="1">
      <alignment horizontal="left" vertical="center"/>
    </xf>
    <xf numFmtId="0" fontId="27" fillId="0" borderId="0" xfId="6" applyFont="1" applyFill="1" applyAlignment="1">
      <alignment horizontal="center" vertical="center"/>
    </xf>
    <xf numFmtId="0" fontId="50" fillId="0" borderId="0" xfId="0" applyFont="1" applyFill="1" applyAlignment="1">
      <alignment horizontal="center" vertical="center"/>
    </xf>
    <xf numFmtId="0" fontId="50" fillId="0" borderId="0" xfId="0" applyFont="1" applyFill="1" applyAlignment="1">
      <alignment vertical="center"/>
    </xf>
    <xf numFmtId="0" fontId="4" fillId="0" borderId="0" xfId="0" applyFont="1" applyFill="1" applyAlignment="1">
      <alignment horizontal="center" vertical="center"/>
    </xf>
    <xf numFmtId="0" fontId="51" fillId="0" borderId="2" xfId="0" applyFont="1" applyFill="1" applyBorder="1" applyAlignment="1">
      <alignment horizontal="center" vertical="center" wrapText="1"/>
    </xf>
    <xf numFmtId="0" fontId="52" fillId="0" borderId="16" xfId="0" applyFont="1" applyFill="1" applyBorder="1" applyAlignment="1">
      <alignment horizontal="left" vertical="center" wrapText="1"/>
    </xf>
    <xf numFmtId="168" fontId="52" fillId="0" borderId="16" xfId="1" applyNumberFormat="1" applyFont="1" applyFill="1" applyBorder="1" applyAlignment="1">
      <alignment horizontal="right" vertical="center" wrapText="1"/>
    </xf>
    <xf numFmtId="168" fontId="52" fillId="0" borderId="1" xfId="1" applyNumberFormat="1" applyFont="1" applyFill="1" applyBorder="1" applyAlignment="1">
      <alignment horizontal="right" vertical="center" wrapText="1"/>
    </xf>
    <xf numFmtId="168" fontId="52" fillId="0" borderId="1" xfId="1" applyNumberFormat="1" applyFont="1" applyFill="1" applyBorder="1" applyAlignment="1">
      <alignment horizontal="left" vertical="center" wrapText="1"/>
    </xf>
    <xf numFmtId="0" fontId="52" fillId="0" borderId="1" xfId="0" applyFont="1" applyFill="1" applyBorder="1" applyAlignment="1">
      <alignment vertical="center" wrapText="1"/>
    </xf>
    <xf numFmtId="0" fontId="52" fillId="0" borderId="1" xfId="0" applyFont="1" applyFill="1" applyBorder="1" applyAlignment="1">
      <alignment horizontal="left" vertical="center" wrapText="1"/>
    </xf>
    <xf numFmtId="0" fontId="37" fillId="0" borderId="1" xfId="0" applyFont="1" applyFill="1" applyBorder="1" applyAlignment="1">
      <alignment vertical="center"/>
    </xf>
    <xf numFmtId="0" fontId="52" fillId="0" borderId="15" xfId="0" applyFont="1" applyFill="1" applyBorder="1" applyAlignment="1">
      <alignment vertical="center" wrapText="1"/>
    </xf>
    <xf numFmtId="0" fontId="51" fillId="0" borderId="15" xfId="0" applyFont="1" applyFill="1" applyBorder="1" applyAlignment="1">
      <alignment vertical="center" wrapText="1"/>
    </xf>
    <xf numFmtId="168" fontId="51" fillId="0" borderId="15" xfId="1" applyNumberFormat="1" applyFont="1" applyFill="1" applyBorder="1" applyAlignment="1">
      <alignment horizontal="right" vertical="center" wrapText="1"/>
    </xf>
    <xf numFmtId="175" fontId="52" fillId="0" borderId="0" xfId="0" applyNumberFormat="1" applyFont="1" applyFill="1" applyBorder="1" applyAlignment="1">
      <alignment horizontal="right" vertical="center" wrapText="1"/>
    </xf>
    <xf numFmtId="0" fontId="42" fillId="0" borderId="13" xfId="0" applyFont="1" applyFill="1" applyBorder="1" applyAlignment="1">
      <alignment vertical="center"/>
    </xf>
    <xf numFmtId="0" fontId="0" fillId="0" borderId="13" xfId="0" applyFont="1" applyFill="1" applyBorder="1" applyAlignment="1">
      <alignment vertical="center"/>
    </xf>
    <xf numFmtId="4" fontId="0" fillId="0" borderId="0" xfId="0" quotePrefix="1" applyNumberFormat="1" applyFill="1" applyBorder="1"/>
    <xf numFmtId="4" fontId="28" fillId="6" borderId="0" xfId="0" applyNumberFormat="1" applyFont="1" applyFill="1" applyBorder="1"/>
    <xf numFmtId="0" fontId="3" fillId="0" borderId="0" xfId="0" applyFont="1" applyFill="1" applyBorder="1"/>
    <xf numFmtId="0" fontId="3" fillId="0" borderId="0" xfId="0" applyFont="1" applyFill="1" applyBorder="1" applyAlignment="1">
      <alignment vertical="center" wrapText="1"/>
    </xf>
    <xf numFmtId="0" fontId="27" fillId="0" borderId="0" xfId="0" applyFont="1" applyFill="1" applyBorder="1" applyAlignment="1">
      <alignment horizontal="center"/>
    </xf>
    <xf numFmtId="0" fontId="27" fillId="0" borderId="0" xfId="0" applyFont="1" applyFill="1" applyAlignment="1">
      <alignment horizontal="center"/>
    </xf>
    <xf numFmtId="0" fontId="27" fillId="0" borderId="0" xfId="0" applyFont="1" applyFill="1" applyAlignment="1">
      <alignment horizontal="center" vertical="center"/>
    </xf>
    <xf numFmtId="168" fontId="27" fillId="0" borderId="5" xfId="1" applyNumberFormat="1" applyFont="1" applyFill="1" applyBorder="1" applyAlignment="1">
      <alignment horizontal="right" vertical="center" wrapText="1"/>
    </xf>
    <xf numFmtId="168" fontId="43" fillId="0" borderId="13" xfId="1" applyNumberFormat="1" applyFont="1" applyFill="1" applyBorder="1" applyAlignment="1">
      <alignment horizontal="center" vertical="center" wrapText="1"/>
    </xf>
    <xf numFmtId="4" fontId="25" fillId="7" borderId="0" xfId="0" applyNumberFormat="1" applyFont="1" applyFill="1" applyBorder="1"/>
    <xf numFmtId="4" fontId="18" fillId="7" borderId="0" xfId="1" applyNumberFormat="1" applyFont="1" applyFill="1" applyBorder="1"/>
    <xf numFmtId="164" fontId="18" fillId="7" borderId="0" xfId="1" applyFont="1" applyFill="1" applyBorder="1"/>
    <xf numFmtId="4" fontId="28" fillId="7" borderId="0" xfId="0" applyNumberFormat="1" applyFont="1" applyFill="1" applyBorder="1"/>
    <xf numFmtId="4" fontId="0" fillId="7" borderId="0" xfId="0" quotePrefix="1" applyNumberFormat="1" applyFill="1" applyBorder="1"/>
    <xf numFmtId="4" fontId="66" fillId="0" borderId="0" xfId="0" applyNumberFormat="1" applyFont="1" applyFill="1" applyBorder="1"/>
    <xf numFmtId="4" fontId="67" fillId="0" borderId="0" xfId="0" applyNumberFormat="1" applyFont="1" applyFill="1" applyBorder="1"/>
    <xf numFmtId="164" fontId="23" fillId="0" borderId="0" xfId="1" applyFont="1" applyFill="1" applyBorder="1"/>
    <xf numFmtId="4" fontId="68" fillId="0" borderId="0" xfId="0" applyNumberFormat="1" applyFont="1" applyFill="1" applyBorder="1"/>
    <xf numFmtId="4" fontId="23" fillId="0" borderId="0" xfId="0" applyNumberFormat="1" applyFont="1" applyFill="1" applyBorder="1"/>
    <xf numFmtId="4" fontId="67" fillId="7" borderId="0" xfId="0" applyNumberFormat="1" applyFont="1" applyFill="1" applyBorder="1"/>
    <xf numFmtId="4" fontId="23" fillId="7" borderId="0" xfId="1" applyNumberFormat="1" applyFont="1" applyFill="1" applyBorder="1"/>
    <xf numFmtId="164" fontId="23" fillId="7" borderId="0" xfId="1" applyFont="1" applyFill="1" applyBorder="1"/>
    <xf numFmtId="4" fontId="34" fillId="7" borderId="0" xfId="0" applyNumberFormat="1" applyFont="1" applyFill="1" applyBorder="1"/>
    <xf numFmtId="4" fontId="69" fillId="7" borderId="0" xfId="0" applyNumberFormat="1" applyFont="1" applyFill="1" applyBorder="1"/>
    <xf numFmtId="4" fontId="69" fillId="7" borderId="0" xfId="0" quotePrefix="1" applyNumberFormat="1" applyFont="1" applyFill="1" applyBorder="1"/>
    <xf numFmtId="4" fontId="69" fillId="7" borderId="0" xfId="1" applyNumberFormat="1" applyFont="1" applyFill="1" applyBorder="1"/>
    <xf numFmtId="164" fontId="69" fillId="7" borderId="0" xfId="1" applyFont="1" applyFill="1" applyBorder="1"/>
    <xf numFmtId="4" fontId="70" fillId="7" borderId="0" xfId="0" applyNumberFormat="1" applyFont="1" applyFill="1" applyBorder="1"/>
    <xf numFmtId="4" fontId="71" fillId="7" borderId="0" xfId="0" applyNumberFormat="1" applyFont="1" applyFill="1" applyBorder="1"/>
    <xf numFmtId="4" fontId="72" fillId="7" borderId="0" xfId="0" applyNumberFormat="1" applyFont="1" applyFill="1" applyBorder="1"/>
    <xf numFmtId="4" fontId="70" fillId="0" borderId="0" xfId="0" applyNumberFormat="1" applyFont="1" applyFill="1" applyBorder="1"/>
    <xf numFmtId="4" fontId="69" fillId="0" borderId="0" xfId="0" applyNumberFormat="1" applyFont="1" applyFill="1" applyBorder="1"/>
    <xf numFmtId="4" fontId="69" fillId="0" borderId="0" xfId="1" applyNumberFormat="1" applyFont="1" applyFill="1" applyBorder="1"/>
    <xf numFmtId="164" fontId="69" fillId="0" borderId="0" xfId="1" applyFont="1" applyFill="1" applyBorder="1"/>
    <xf numFmtId="4" fontId="73" fillId="0" borderId="0" xfId="0" applyNumberFormat="1" applyFont="1" applyFill="1" applyBorder="1"/>
    <xf numFmtId="4" fontId="72" fillId="0" borderId="0" xfId="0" applyNumberFormat="1" applyFont="1" applyFill="1" applyBorder="1"/>
    <xf numFmtId="4" fontId="34" fillId="7" borderId="0" xfId="0" quotePrefix="1" applyNumberFormat="1" applyFont="1" applyFill="1" applyBorder="1"/>
    <xf numFmtId="4" fontId="70" fillId="6" borderId="0" xfId="0" applyNumberFormat="1" applyFont="1" applyFill="1" applyBorder="1"/>
    <xf numFmtId="4" fontId="68" fillId="6" borderId="0" xfId="0" applyNumberFormat="1" applyFont="1" applyFill="1" applyBorder="1"/>
    <xf numFmtId="0" fontId="3" fillId="0" borderId="9" xfId="0" applyFont="1" applyFill="1" applyBorder="1" applyAlignment="1">
      <alignment vertical="center"/>
    </xf>
    <xf numFmtId="4" fontId="74" fillId="0" borderId="0" xfId="0" applyNumberFormat="1" applyFont="1" applyFill="1" applyBorder="1"/>
    <xf numFmtId="0" fontId="3" fillId="0" borderId="0" xfId="0" applyFont="1" applyFill="1" applyBorder="1" applyAlignment="1">
      <alignment vertical="top" wrapText="1"/>
    </xf>
    <xf numFmtId="168" fontId="16" fillId="0" borderId="15" xfId="1" applyNumberFormat="1" applyFont="1" applyFill="1" applyBorder="1" applyAlignment="1">
      <alignment vertical="center"/>
    </xf>
    <xf numFmtId="168" fontId="16" fillId="0" borderId="0" xfId="1" applyNumberFormat="1" applyFont="1" applyFill="1" applyBorder="1" applyAlignment="1">
      <alignment horizontal="center"/>
    </xf>
    <xf numFmtId="0" fontId="3" fillId="0" borderId="0" xfId="0" applyFont="1" applyFill="1" applyBorder="1" applyAlignment="1">
      <alignment horizontal="left" vertical="center" wrapText="1"/>
    </xf>
    <xf numFmtId="0" fontId="3" fillId="0" borderId="0" xfId="0" applyFont="1"/>
    <xf numFmtId="168" fontId="3" fillId="0" borderId="0" xfId="1" applyNumberFormat="1" applyFont="1"/>
    <xf numFmtId="164" fontId="3" fillId="0" borderId="0" xfId="1" applyNumberFormat="1" applyFont="1" applyBorder="1" applyAlignment="1"/>
    <xf numFmtId="0" fontId="3" fillId="0" borderId="0" xfId="0" applyFont="1" applyBorder="1" applyAlignment="1">
      <alignment horizontal="justify"/>
    </xf>
    <xf numFmtId="0" fontId="3" fillId="0" borderId="0" xfId="0" applyFont="1" applyBorder="1"/>
    <xf numFmtId="0" fontId="36" fillId="0" borderId="0" xfId="0" applyFont="1"/>
    <xf numFmtId="0" fontId="3" fillId="0" borderId="0" xfId="0" applyFont="1" applyBorder="1" applyAlignment="1">
      <alignment horizontal="justify" vertical="justify" wrapText="1"/>
    </xf>
    <xf numFmtId="164" fontId="27" fillId="0" borderId="0" xfId="1" applyNumberFormat="1" applyFont="1" applyBorder="1" applyAlignment="1"/>
    <xf numFmtId="0" fontId="27" fillId="0" borderId="0" xfId="0" applyFont="1" applyBorder="1" applyAlignment="1">
      <alignment horizontal="justify" vertical="justify" wrapText="1"/>
    </xf>
    <xf numFmtId="0" fontId="27" fillId="0" borderId="0" xfId="0" applyFont="1"/>
    <xf numFmtId="164" fontId="3" fillId="0" borderId="0" xfId="1" applyNumberFormat="1" applyFont="1" applyBorder="1" applyAlignment="1">
      <alignment vertical="top"/>
    </xf>
    <xf numFmtId="0" fontId="3" fillId="0" borderId="0" xfId="0" applyFont="1" applyBorder="1" applyAlignment="1">
      <alignment horizontal="justify" vertical="center" wrapText="1"/>
    </xf>
    <xf numFmtId="0" fontId="3" fillId="0" borderId="0" xfId="0" applyFont="1" applyAlignment="1">
      <alignment horizontal="justify" vertical="top"/>
    </xf>
    <xf numFmtId="0" fontId="3" fillId="0" borderId="0" xfId="0" applyFont="1" applyBorder="1" applyAlignment="1">
      <alignment horizontal="justify" vertical="top" wrapText="1"/>
    </xf>
    <xf numFmtId="0" fontId="3" fillId="0" borderId="0" xfId="0" applyFont="1" applyBorder="1" applyAlignment="1">
      <alignment horizontal="left" vertical="top" wrapText="1"/>
    </xf>
    <xf numFmtId="164" fontId="27" fillId="0" borderId="0" xfId="1" applyNumberFormat="1" applyFont="1" applyBorder="1" applyAlignment="1">
      <alignment vertical="top"/>
    </xf>
    <xf numFmtId="0" fontId="27" fillId="0" borderId="0" xfId="0" applyFont="1" applyBorder="1" applyAlignment="1">
      <alignment horizontal="justify" vertical="top" wrapText="1"/>
    </xf>
    <xf numFmtId="0" fontId="27" fillId="0" borderId="0" xfId="0" applyFont="1" applyAlignment="1">
      <alignment horizontal="justify" vertical="top"/>
    </xf>
    <xf numFmtId="0" fontId="3" fillId="0" borderId="0" xfId="0" applyFont="1" applyFill="1" applyBorder="1" applyAlignment="1">
      <alignment horizontal="justify" vertical="top" wrapText="1"/>
    </xf>
    <xf numFmtId="0" fontId="3" fillId="0" borderId="0" xfId="2" applyFont="1" applyFill="1" applyAlignment="1">
      <alignment horizontal="justify" vertical="top" wrapText="1"/>
    </xf>
    <xf numFmtId="164" fontId="27" fillId="0" borderId="0" xfId="1" quotePrefix="1" applyNumberFormat="1" applyFont="1" applyBorder="1" applyAlignment="1">
      <alignment vertical="top"/>
    </xf>
    <xf numFmtId="0" fontId="3" fillId="0" borderId="0" xfId="0" applyFont="1" applyBorder="1" applyAlignment="1">
      <alignment vertical="top" wrapText="1"/>
    </xf>
    <xf numFmtId="0" fontId="3" fillId="0" borderId="0" xfId="0" applyFont="1" applyBorder="1" applyAlignment="1">
      <alignment horizontal="left" vertical="top" wrapText="1" indent="3"/>
    </xf>
    <xf numFmtId="0" fontId="3" fillId="0" borderId="0" xfId="0" applyFont="1" applyBorder="1" applyAlignment="1">
      <alignment horizontal="justify" vertical="top"/>
    </xf>
    <xf numFmtId="168" fontId="3" fillId="0" borderId="0" xfId="1" applyNumberFormat="1" applyFont="1" applyAlignment="1">
      <alignment horizontal="justify" vertical="top"/>
    </xf>
    <xf numFmtId="164" fontId="3" fillId="0" borderId="0" xfId="1" applyNumberFormat="1" applyFont="1" applyAlignment="1">
      <alignment vertical="top"/>
    </xf>
    <xf numFmtId="0" fontId="3" fillId="0" borderId="0" xfId="0" applyFont="1" applyAlignment="1">
      <alignment horizontal="justify" vertical="top" wrapText="1"/>
    </xf>
    <xf numFmtId="164" fontId="3" fillId="0" borderId="0" xfId="1" applyNumberFormat="1" applyFont="1" applyAlignment="1"/>
    <xf numFmtId="0" fontId="3" fillId="0" borderId="0" xfId="0" applyFont="1" applyAlignment="1">
      <alignment horizontal="justify"/>
    </xf>
    <xf numFmtId="0" fontId="39" fillId="0" borderId="39" xfId="0" quotePrefix="1" applyFont="1" applyFill="1" applyBorder="1" applyAlignment="1">
      <alignment horizontal="center" vertical="center" wrapText="1"/>
    </xf>
    <xf numFmtId="168" fontId="27" fillId="0" borderId="0" xfId="1" applyNumberFormat="1" applyFont="1" applyFill="1" applyBorder="1" applyAlignment="1">
      <alignment horizontal="center" vertical="center"/>
    </xf>
    <xf numFmtId="164" fontId="0" fillId="0" borderId="0" xfId="1" applyFont="1" applyFill="1" applyBorder="1"/>
    <xf numFmtId="4" fontId="29" fillId="0" borderId="0" xfId="0" applyNumberFormat="1" applyFont="1" applyFill="1" applyBorder="1"/>
    <xf numFmtId="164" fontId="28" fillId="0" borderId="0" xfId="1" applyFont="1" applyFill="1" applyBorder="1"/>
    <xf numFmtId="0" fontId="20" fillId="0" borderId="16" xfId="0" applyFont="1" applyFill="1" applyBorder="1" applyAlignment="1">
      <alignment horizontal="center" vertical="center"/>
    </xf>
    <xf numFmtId="0" fontId="20" fillId="0" borderId="16" xfId="0" applyFont="1" applyFill="1" applyBorder="1" applyAlignment="1">
      <alignment vertical="center"/>
    </xf>
    <xf numFmtId="164" fontId="20" fillId="0" borderId="16" xfId="1" applyFont="1" applyFill="1" applyBorder="1" applyAlignment="1">
      <alignment vertical="center"/>
    </xf>
    <xf numFmtId="0" fontId="34" fillId="0" borderId="0" xfId="0" applyFont="1" applyFill="1"/>
    <xf numFmtId="164" fontId="34" fillId="0" borderId="0" xfId="1" applyFont="1" applyFill="1" applyBorder="1"/>
    <xf numFmtId="173" fontId="27" fillId="0" borderId="40" xfId="3" quotePrefix="1" applyNumberFormat="1" applyFont="1" applyFill="1" applyBorder="1" applyAlignment="1">
      <alignment horizontal="center" vertical="center"/>
    </xf>
    <xf numFmtId="173" fontId="27" fillId="0" borderId="11" xfId="3" quotePrefix="1" applyNumberFormat="1" applyFont="1" applyFill="1" applyBorder="1" applyAlignment="1">
      <alignment horizontal="center" vertical="center"/>
    </xf>
    <xf numFmtId="173" fontId="27" fillId="0" borderId="0" xfId="3" quotePrefix="1" applyNumberFormat="1" applyFont="1" applyFill="1" applyBorder="1" applyAlignment="1">
      <alignment horizontal="center" vertical="center"/>
    </xf>
    <xf numFmtId="173" fontId="4" fillId="0" borderId="0" xfId="3" applyNumberFormat="1" applyFont="1" applyFill="1" applyBorder="1" applyAlignment="1">
      <alignment horizontal="right" vertical="center"/>
    </xf>
    <xf numFmtId="0" fontId="3" fillId="0" borderId="1" xfId="0" applyFont="1" applyFill="1" applyBorder="1" applyAlignment="1">
      <alignment vertical="center"/>
    </xf>
    <xf numFmtId="4" fontId="28" fillId="0" borderId="63" xfId="0" applyNumberFormat="1" applyFont="1" applyFill="1" applyBorder="1"/>
    <xf numFmtId="4" fontId="25" fillId="0" borderId="64" xfId="0" applyNumberFormat="1" applyFont="1" applyFill="1" applyBorder="1"/>
    <xf numFmtId="0" fontId="20" fillId="0" borderId="15" xfId="0" applyFont="1" applyFill="1" applyBorder="1" applyAlignment="1">
      <alignment horizontal="center" vertical="center"/>
    </xf>
    <xf numFmtId="164" fontId="20" fillId="0" borderId="15" xfId="1" applyFont="1" applyFill="1" applyBorder="1" applyAlignment="1">
      <alignment vertical="center"/>
    </xf>
    <xf numFmtId="0" fontId="77" fillId="0" borderId="0" xfId="0" applyFont="1" applyFill="1" applyAlignment="1">
      <alignment vertical="center"/>
    </xf>
    <xf numFmtId="164" fontId="77" fillId="0" borderId="0" xfId="1" applyFont="1" applyFill="1" applyAlignment="1">
      <alignment vertical="center"/>
    </xf>
    <xf numFmtId="164" fontId="78" fillId="0" borderId="0" xfId="1" applyFont="1" applyFill="1" applyAlignment="1">
      <alignment vertical="center"/>
    </xf>
    <xf numFmtId="0" fontId="17" fillId="0" borderId="0" xfId="0" applyFont="1" applyFill="1" applyAlignment="1">
      <alignment horizontal="center" vertical="center"/>
    </xf>
    <xf numFmtId="164" fontId="17" fillId="0" borderId="0" xfId="1" applyFont="1" applyFill="1" applyAlignment="1">
      <alignment horizontal="center" vertical="center" wrapText="1"/>
    </xf>
    <xf numFmtId="164" fontId="17" fillId="0" borderId="0" xfId="1" applyFont="1" applyFill="1" applyAlignment="1">
      <alignment horizontal="center" vertical="center"/>
    </xf>
    <xf numFmtId="164" fontId="20" fillId="0" borderId="0" xfId="1" applyFont="1" applyFill="1" applyAlignment="1">
      <alignment horizontal="center" vertical="center"/>
    </xf>
    <xf numFmtId="0" fontId="20" fillId="0" borderId="0" xfId="0" applyFont="1" applyFill="1" applyAlignment="1">
      <alignment horizontal="center" vertical="center"/>
    </xf>
    <xf numFmtId="164" fontId="17" fillId="0" borderId="0" xfId="1" quotePrefix="1" applyFont="1" applyFill="1" applyAlignment="1">
      <alignment horizontal="center" vertical="center"/>
    </xf>
    <xf numFmtId="164" fontId="20" fillId="0" borderId="0" xfId="1" applyFont="1" applyFill="1" applyAlignment="1">
      <alignment vertical="center"/>
    </xf>
    <xf numFmtId="164" fontId="17" fillId="0" borderId="0" xfId="1" applyFont="1" applyFill="1" applyAlignment="1">
      <alignment vertical="center"/>
    </xf>
    <xf numFmtId="164" fontId="17" fillId="0" borderId="0" xfId="1" applyFont="1" applyFill="1" applyBorder="1" applyAlignment="1">
      <alignment vertical="center"/>
    </xf>
    <xf numFmtId="164" fontId="17" fillId="0" borderId="66" xfId="1" applyFont="1" applyFill="1" applyBorder="1" applyAlignment="1">
      <alignment vertical="center"/>
    </xf>
    <xf numFmtId="0" fontId="17" fillId="0" borderId="0" xfId="0" applyFont="1" applyFill="1" applyAlignment="1">
      <alignment vertical="center"/>
    </xf>
    <xf numFmtId="43" fontId="17" fillId="0" borderId="0" xfId="0" applyNumberFormat="1" applyFont="1" applyFill="1" applyAlignment="1">
      <alignment vertical="center"/>
    </xf>
    <xf numFmtId="43" fontId="20" fillId="0" borderId="0" xfId="0" applyNumberFormat="1" applyFont="1" applyFill="1" applyAlignment="1">
      <alignment vertical="center"/>
    </xf>
    <xf numFmtId="0" fontId="17" fillId="0" borderId="50" xfId="0" applyFont="1" applyFill="1" applyBorder="1" applyAlignment="1">
      <alignment horizontal="center" vertical="center"/>
    </xf>
    <xf numFmtId="0" fontId="17" fillId="0" borderId="51" xfId="0" applyFont="1" applyFill="1" applyBorder="1" applyAlignment="1">
      <alignment horizontal="center" vertical="center"/>
    </xf>
    <xf numFmtId="164" fontId="3" fillId="0" borderId="1" xfId="1" applyFont="1" applyFill="1" applyBorder="1"/>
    <xf numFmtId="164" fontId="80" fillId="0" borderId="0" xfId="10" applyFont="1" applyFill="1" applyBorder="1"/>
    <xf numFmtId="168" fontId="16" fillId="0" borderId="1" xfId="1" applyNumberFormat="1" applyFont="1" applyFill="1" applyBorder="1" applyAlignment="1">
      <alignment horizontal="right" vertical="center" wrapText="1"/>
    </xf>
    <xf numFmtId="4" fontId="34" fillId="0" borderId="53" xfId="0" applyNumberFormat="1" applyFont="1" applyFill="1" applyBorder="1"/>
    <xf numFmtId="4" fontId="67" fillId="0" borderId="54" xfId="0" applyNumberFormat="1" applyFont="1" applyFill="1" applyBorder="1"/>
    <xf numFmtId="4" fontId="34" fillId="0" borderId="55" xfId="0" applyNumberFormat="1" applyFont="1" applyFill="1" applyBorder="1"/>
    <xf numFmtId="4" fontId="24" fillId="0" borderId="52" xfId="1" applyNumberFormat="1" applyFont="1" applyFill="1" applyBorder="1"/>
    <xf numFmtId="164" fontId="23" fillId="0" borderId="52" xfId="1" applyFont="1" applyFill="1" applyBorder="1"/>
    <xf numFmtId="164" fontId="24" fillId="0" borderId="52" xfId="1" applyFont="1" applyFill="1" applyBorder="1"/>
    <xf numFmtId="4" fontId="23" fillId="0" borderId="52" xfId="1" applyNumberFormat="1" applyFont="1" applyFill="1" applyBorder="1"/>
    <xf numFmtId="4" fontId="34" fillId="0" borderId="0" xfId="0" quotePrefix="1" applyNumberFormat="1" applyFont="1" applyFill="1" applyBorder="1"/>
    <xf numFmtId="4" fontId="34" fillId="0" borderId="52" xfId="0" applyNumberFormat="1" applyFont="1" applyFill="1" applyBorder="1"/>
    <xf numFmtId="4" fontId="67" fillId="0" borderId="52" xfId="0" applyNumberFormat="1" applyFont="1" applyFill="1" applyBorder="1"/>
    <xf numFmtId="4" fontId="81" fillId="0" borderId="0" xfId="0" applyNumberFormat="1" applyFont="1" applyFill="1" applyBorder="1"/>
    <xf numFmtId="4" fontId="0" fillId="0" borderId="0" xfId="0" applyNumberFormat="1" applyFill="1"/>
    <xf numFmtId="43" fontId="0" fillId="0" borderId="0" xfId="0" applyNumberFormat="1" applyFill="1"/>
    <xf numFmtId="164" fontId="0" fillId="0" borderId="0" xfId="0" applyNumberFormat="1" applyFill="1"/>
    <xf numFmtId="4" fontId="76" fillId="0" borderId="64" xfId="0" applyNumberFormat="1" applyFont="1" applyFill="1" applyBorder="1"/>
    <xf numFmtId="164" fontId="32" fillId="0" borderId="65" xfId="1" applyFont="1" applyFill="1" applyBorder="1"/>
    <xf numFmtId="4" fontId="76" fillId="0" borderId="0" xfId="0" applyNumberFormat="1" applyFont="1" applyFill="1" applyBorder="1"/>
    <xf numFmtId="164" fontId="75" fillId="0" borderId="0" xfId="1" applyFont="1" applyFill="1"/>
    <xf numFmtId="164" fontId="82" fillId="0" borderId="0" xfId="1" applyFont="1" applyFill="1"/>
    <xf numFmtId="168" fontId="75" fillId="0" borderId="0" xfId="0" applyNumberFormat="1" applyFont="1" applyFill="1"/>
    <xf numFmtId="164" fontId="75" fillId="0" borderId="0" xfId="0" applyNumberFormat="1" applyFont="1" applyFill="1"/>
    <xf numFmtId="0" fontId="75" fillId="0" borderId="0" xfId="0" applyFont="1" applyFill="1"/>
    <xf numFmtId="168" fontId="16" fillId="0" borderId="30" xfId="1" applyNumberFormat="1" applyFont="1" applyFill="1" applyBorder="1"/>
    <xf numFmtId="168" fontId="16" fillId="0" borderId="31" xfId="1" applyNumberFormat="1" applyFont="1" applyFill="1" applyBorder="1"/>
    <xf numFmtId="168" fontId="16" fillId="0" borderId="32" xfId="1" applyNumberFormat="1" applyFont="1" applyFill="1" applyBorder="1"/>
    <xf numFmtId="168" fontId="16" fillId="0" borderId="0" xfId="1" applyNumberFormat="1" applyFont="1" applyFill="1" applyBorder="1"/>
    <xf numFmtId="168" fontId="75" fillId="0" borderId="7" xfId="0" applyNumberFormat="1" applyFont="1" applyFill="1" applyBorder="1"/>
    <xf numFmtId="43" fontId="75" fillId="0" borderId="0" xfId="0" applyNumberFormat="1" applyFont="1" applyFill="1" applyBorder="1"/>
    <xf numFmtId="0" fontId="82" fillId="0" borderId="0" xfId="0" applyFont="1" applyFill="1"/>
    <xf numFmtId="0" fontId="82" fillId="0" borderId="0" xfId="0" applyFont="1" applyFill="1" applyBorder="1"/>
    <xf numFmtId="0" fontId="0" fillId="0" borderId="2" xfId="0" quotePrefix="1" applyBorder="1"/>
    <xf numFmtId="0" fontId="0" fillId="0" borderId="16" xfId="0" quotePrefix="1" applyBorder="1"/>
    <xf numFmtId="0" fontId="0" fillId="0" borderId="12" xfId="0" quotePrefix="1" applyBorder="1"/>
    <xf numFmtId="0" fontId="0" fillId="0" borderId="15" xfId="0" quotePrefix="1" applyBorder="1"/>
    <xf numFmtId="0" fontId="0" fillId="0" borderId="2" xfId="0" applyBorder="1"/>
    <xf numFmtId="0" fontId="0" fillId="0" borderId="16" xfId="0" applyBorder="1"/>
    <xf numFmtId="0" fontId="0" fillId="0" borderId="12" xfId="0" applyBorder="1"/>
    <xf numFmtId="0" fontId="0" fillId="0" borderId="15" xfId="0" applyBorder="1"/>
    <xf numFmtId="0" fontId="0" fillId="0" borderId="2" xfId="0" applyBorder="1" applyAlignment="1">
      <alignment horizontal="center"/>
    </xf>
    <xf numFmtId="176" fontId="0" fillId="0" borderId="2" xfId="0" applyNumberFormat="1" applyBorder="1"/>
    <xf numFmtId="176" fontId="0" fillId="0" borderId="16" xfId="0" applyNumberFormat="1" applyBorder="1"/>
    <xf numFmtId="176" fontId="0" fillId="0" borderId="15" xfId="0" applyNumberFormat="1" applyBorder="1"/>
    <xf numFmtId="0" fontId="0" fillId="0" borderId="13" xfId="0" applyBorder="1"/>
    <xf numFmtId="164" fontId="0" fillId="0" borderId="41" xfId="1" applyFont="1" applyFill="1" applyBorder="1" applyAlignment="1">
      <alignment vertical="center"/>
    </xf>
    <xf numFmtId="4" fontId="34" fillId="9" borderId="0" xfId="0" applyNumberFormat="1" applyFont="1" applyFill="1" applyBorder="1"/>
    <xf numFmtId="4" fontId="67" fillId="9" borderId="0" xfId="0" applyNumberFormat="1" applyFont="1" applyFill="1" applyBorder="1"/>
    <xf numFmtId="164" fontId="34" fillId="9" borderId="0" xfId="1" applyFont="1" applyFill="1" applyBorder="1"/>
    <xf numFmtId="4" fontId="24" fillId="9" borderId="0" xfId="0" applyNumberFormat="1" applyFont="1" applyFill="1" applyBorder="1"/>
    <xf numFmtId="4" fontId="31" fillId="9" borderId="0" xfId="0" applyNumberFormat="1" applyFont="1" applyFill="1" applyBorder="1"/>
    <xf numFmtId="4" fontId="34" fillId="10" borderId="0" xfId="0" applyNumberFormat="1" applyFont="1" applyFill="1" applyBorder="1"/>
    <xf numFmtId="4" fontId="28" fillId="10" borderId="0" xfId="0" applyNumberFormat="1" applyFont="1" applyFill="1" applyBorder="1"/>
    <xf numFmtId="0" fontId="3" fillId="0" borderId="0" xfId="0" applyFont="1" applyFill="1" applyBorder="1" applyAlignment="1"/>
    <xf numFmtId="0" fontId="27" fillId="0" borderId="0" xfId="0" applyFont="1" applyFill="1" applyBorder="1" applyAlignment="1">
      <alignment horizontal="center"/>
    </xf>
    <xf numFmtId="168" fontId="27" fillId="0" borderId="5" xfId="1" applyNumberFormat="1" applyFont="1" applyFill="1" applyBorder="1" applyAlignment="1">
      <alignment horizontal="right" vertical="center" wrapText="1"/>
    </xf>
    <xf numFmtId="0" fontId="16" fillId="0" borderId="0" xfId="0" applyFont="1" applyBorder="1" applyAlignment="1">
      <alignment horizontal="justify" vertical="top" wrapText="1"/>
    </xf>
    <xf numFmtId="0" fontId="0" fillId="0" borderId="0" xfId="0" applyBorder="1"/>
    <xf numFmtId="0" fontId="3" fillId="0" borderId="0" xfId="0" applyFont="1" applyFill="1" applyBorder="1" applyAlignment="1">
      <alignment vertical="center"/>
    </xf>
    <xf numFmtId="43" fontId="32" fillId="0" borderId="7" xfId="0" applyNumberFormat="1" applyFont="1" applyBorder="1"/>
    <xf numFmtId="164" fontId="3" fillId="0" borderId="16" xfId="1" applyFont="1" applyFill="1" applyBorder="1"/>
    <xf numFmtId="164" fontId="3" fillId="0" borderId="15" xfId="1" applyFont="1" applyFill="1" applyBorder="1"/>
    <xf numFmtId="0" fontId="3" fillId="0" borderId="0" xfId="2" applyFont="1" applyFill="1" applyBorder="1" applyAlignment="1">
      <alignment horizontal="justify" vertical="top" wrapText="1"/>
    </xf>
    <xf numFmtId="0" fontId="16" fillId="0" borderId="0" xfId="0" applyFont="1" applyFill="1" applyBorder="1" applyAlignment="1">
      <alignment horizontal="justify" vertical="center" wrapText="1"/>
    </xf>
    <xf numFmtId="0" fontId="39" fillId="0" borderId="39" xfId="0" applyFont="1" applyFill="1" applyBorder="1" applyAlignment="1">
      <alignment horizontal="left" vertical="center" wrapText="1"/>
    </xf>
    <xf numFmtId="0" fontId="39" fillId="0" borderId="0" xfId="0" applyFont="1" applyFill="1" applyBorder="1" applyAlignment="1">
      <alignment horizontal="left" vertical="center" wrapText="1"/>
    </xf>
    <xf numFmtId="0" fontId="75" fillId="0" borderId="0" xfId="0" applyFont="1" applyFill="1" applyBorder="1" applyAlignment="1">
      <alignment wrapText="1"/>
    </xf>
    <xf numFmtId="168" fontId="75" fillId="0" borderId="0" xfId="1" applyNumberFormat="1" applyFont="1" applyFill="1" applyBorder="1" applyAlignment="1">
      <alignment wrapText="1"/>
    </xf>
    <xf numFmtId="168" fontId="75" fillId="0" borderId="0" xfId="0" applyNumberFormat="1" applyFont="1" applyFill="1" applyBorder="1"/>
    <xf numFmtId="0" fontId="75" fillId="0" borderId="0" xfId="0" applyFont="1" applyFill="1" applyBorder="1"/>
    <xf numFmtId="168" fontId="75" fillId="0" borderId="0" xfId="1" applyNumberFormat="1" applyFont="1" applyFill="1" applyBorder="1"/>
    <xf numFmtId="4" fontId="28" fillId="5" borderId="0" xfId="0" applyNumberFormat="1" applyFont="1" applyFill="1" applyBorder="1"/>
    <xf numFmtId="4" fontId="34" fillId="5" borderId="0" xfId="0" applyNumberFormat="1" applyFont="1" applyFill="1" applyBorder="1"/>
    <xf numFmtId="4" fontId="73" fillId="5" borderId="0" xfId="0" applyNumberFormat="1" applyFont="1" applyFill="1" applyBorder="1"/>
    <xf numFmtId="4" fontId="28" fillId="11" borderId="0" xfId="0" applyNumberFormat="1" applyFont="1" applyFill="1" applyBorder="1"/>
    <xf numFmtId="4" fontId="34" fillId="11" borderId="0" xfId="0" applyNumberFormat="1" applyFont="1" applyFill="1" applyBorder="1"/>
    <xf numFmtId="4" fontId="67" fillId="6" borderId="0" xfId="0" applyNumberFormat="1" applyFont="1" applyFill="1" applyBorder="1"/>
    <xf numFmtId="4" fontId="23" fillId="6" borderId="0" xfId="1" applyNumberFormat="1" applyFont="1" applyFill="1" applyBorder="1"/>
    <xf numFmtId="4" fontId="23" fillId="9" borderId="0" xfId="1" applyNumberFormat="1" applyFont="1" applyFill="1" applyBorder="1"/>
    <xf numFmtId="4" fontId="23" fillId="10" borderId="0" xfId="1" applyNumberFormat="1" applyFont="1" applyFill="1" applyBorder="1"/>
    <xf numFmtId="0" fontId="39" fillId="0" borderId="39" xfId="0" applyFont="1" applyFill="1" applyBorder="1" applyAlignment="1">
      <alignment vertical="center" wrapText="1"/>
    </xf>
    <xf numFmtId="0" fontId="27" fillId="0" borderId="0" xfId="0" applyFont="1" applyFill="1" applyAlignment="1">
      <alignment vertical="center" wrapText="1"/>
    </xf>
    <xf numFmtId="4" fontId="83" fillId="0" borderId="0" xfId="0" applyNumberFormat="1" applyFont="1" applyFill="1" applyBorder="1"/>
    <xf numFmtId="43" fontId="0" fillId="7" borderId="0" xfId="0" applyNumberFormat="1" applyFill="1"/>
    <xf numFmtId="4" fontId="0" fillId="7" borderId="0" xfId="0" applyNumberFormat="1" applyFill="1"/>
    <xf numFmtId="164" fontId="84" fillId="0" borderId="2" xfId="1" applyFont="1" applyFill="1" applyBorder="1" applyAlignment="1">
      <alignment vertical="center"/>
    </xf>
    <xf numFmtId="164" fontId="84" fillId="0" borderId="0" xfId="1" applyFont="1" applyFill="1" applyAlignment="1">
      <alignment vertical="center"/>
    </xf>
    <xf numFmtId="164" fontId="85" fillId="0" borderId="0" xfId="1" applyFont="1" applyFill="1" applyAlignment="1">
      <alignment vertical="center"/>
    </xf>
    <xf numFmtId="168" fontId="27" fillId="0" borderId="5" xfId="1" applyNumberFormat="1" applyFont="1" applyFill="1" applyBorder="1" applyAlignment="1">
      <alignment horizontal="right" vertical="center" wrapText="1"/>
    </xf>
    <xf numFmtId="168" fontId="3" fillId="0" borderId="9" xfId="1" applyNumberFormat="1" applyFont="1" applyFill="1" applyBorder="1" applyAlignment="1">
      <alignment vertical="center" wrapText="1"/>
    </xf>
    <xf numFmtId="164" fontId="4" fillId="0" borderId="12" xfId="1" applyFont="1" applyFill="1" applyBorder="1" applyAlignment="1">
      <alignment vertical="center"/>
    </xf>
    <xf numFmtId="164" fontId="4" fillId="0" borderId="8" xfId="1" applyFont="1" applyFill="1" applyBorder="1" applyAlignment="1">
      <alignment vertical="center"/>
    </xf>
    <xf numFmtId="0" fontId="84" fillId="0" borderId="2" xfId="0" quotePrefix="1" applyFont="1" applyFill="1" applyBorder="1" applyAlignment="1">
      <alignment vertical="center"/>
    </xf>
    <xf numFmtId="0" fontId="84" fillId="0" borderId="2" xfId="0" quotePrefix="1" applyFont="1" applyFill="1" applyBorder="1" applyAlignment="1">
      <alignment horizontal="center" vertical="center"/>
    </xf>
    <xf numFmtId="0" fontId="84" fillId="0" borderId="2" xfId="0" applyFont="1" applyFill="1" applyBorder="1" applyAlignment="1">
      <alignment horizontal="center" vertical="center"/>
    </xf>
    <xf numFmtId="0" fontId="84" fillId="0" borderId="2" xfId="0" applyFont="1" applyFill="1" applyBorder="1" applyAlignment="1">
      <alignment vertical="center"/>
    </xf>
    <xf numFmtId="164" fontId="86" fillId="0" borderId="0" xfId="1" applyFont="1" applyFill="1" applyAlignment="1">
      <alignment vertical="center"/>
    </xf>
    <xf numFmtId="164" fontId="87" fillId="0" borderId="2" xfId="1" applyFont="1" applyFill="1" applyBorder="1" applyAlignment="1">
      <alignment vertical="center"/>
    </xf>
    <xf numFmtId="164" fontId="88" fillId="0" borderId="0" xfId="1" applyFont="1" applyFill="1" applyAlignment="1">
      <alignment vertical="center"/>
    </xf>
    <xf numFmtId="164" fontId="87" fillId="0" borderId="0" xfId="1" applyFont="1" applyFill="1" applyBorder="1" applyAlignment="1">
      <alignment vertical="center"/>
    </xf>
    <xf numFmtId="164" fontId="87" fillId="0" borderId="0" xfId="1" applyFont="1" applyFill="1" applyAlignment="1">
      <alignment vertical="center"/>
    </xf>
    <xf numFmtId="164" fontId="88" fillId="0" borderId="41" xfId="1" applyFont="1" applyFill="1" applyBorder="1" applyAlignment="1">
      <alignment vertical="center"/>
    </xf>
    <xf numFmtId="4" fontId="83" fillId="0" borderId="0" xfId="0" applyNumberFormat="1" applyFont="1" applyFill="1"/>
    <xf numFmtId="168" fontId="16" fillId="0" borderId="0" xfId="1" applyNumberFormat="1" applyFont="1" applyFill="1" applyBorder="1" applyAlignment="1">
      <alignment vertical="center"/>
    </xf>
    <xf numFmtId="168" fontId="16" fillId="0" borderId="2" xfId="1" applyNumberFormat="1" applyFont="1" applyFill="1" applyBorder="1" applyAlignment="1">
      <alignment vertical="center"/>
    </xf>
    <xf numFmtId="0" fontId="16" fillId="0" borderId="0" xfId="0" applyFont="1" applyFill="1" applyBorder="1" applyAlignment="1">
      <alignment horizontal="center" vertical="center"/>
    </xf>
    <xf numFmtId="168" fontId="16" fillId="0" borderId="16" xfId="1" applyNumberFormat="1" applyFont="1" applyFill="1" applyBorder="1" applyAlignment="1">
      <alignment vertical="center"/>
    </xf>
    <xf numFmtId="168" fontId="16" fillId="0" borderId="1" xfId="1" applyNumberFormat="1" applyFont="1" applyFill="1" applyBorder="1" applyAlignment="1">
      <alignment vertical="center"/>
    </xf>
    <xf numFmtId="168" fontId="16" fillId="0" borderId="0" xfId="1" applyNumberFormat="1" applyFont="1" applyFill="1" applyBorder="1" applyAlignment="1">
      <alignment horizontal="center" vertical="center"/>
    </xf>
    <xf numFmtId="168" fontId="16" fillId="0" borderId="16" xfId="1" applyNumberFormat="1" applyFont="1" applyFill="1" applyBorder="1" applyAlignment="1">
      <alignment horizontal="center" vertical="center"/>
    </xf>
    <xf numFmtId="168" fontId="16" fillId="0" borderId="1" xfId="1" quotePrefix="1" applyNumberFormat="1" applyFont="1" applyFill="1" applyBorder="1" applyAlignment="1">
      <alignment horizontal="center" vertical="center"/>
    </xf>
    <xf numFmtId="0" fontId="16" fillId="0" borderId="1" xfId="0" applyFont="1" applyFill="1" applyBorder="1" applyAlignment="1">
      <alignment horizontal="center" vertical="center"/>
    </xf>
    <xf numFmtId="168" fontId="16" fillId="0" borderId="15" xfId="1" applyNumberFormat="1" applyFont="1" applyFill="1" applyBorder="1" applyAlignment="1">
      <alignment horizontal="center" vertical="center"/>
    </xf>
    <xf numFmtId="168" fontId="16" fillId="0" borderId="0" xfId="0" applyNumberFormat="1" applyFont="1" applyFill="1" applyBorder="1" applyAlignment="1">
      <alignment horizontal="center" vertical="center"/>
    </xf>
    <xf numFmtId="168" fontId="16" fillId="0" borderId="1" xfId="1" applyNumberFormat="1" applyFont="1" applyFill="1" applyBorder="1" applyAlignment="1">
      <alignment horizontal="center" vertical="center"/>
    </xf>
    <xf numFmtId="168" fontId="75" fillId="0" borderId="5" xfId="1" applyNumberFormat="1" applyFont="1" applyFill="1" applyBorder="1" applyAlignment="1">
      <alignment vertical="center"/>
    </xf>
    <xf numFmtId="164" fontId="20" fillId="0" borderId="0" xfId="0" applyNumberFormat="1" applyFont="1" applyFill="1" applyAlignment="1">
      <alignment vertical="center"/>
    </xf>
    <xf numFmtId="0" fontId="16" fillId="0" borderId="0" xfId="0" applyFont="1" applyFill="1" applyBorder="1" applyAlignment="1">
      <alignment horizontal="left" vertical="center" wrapText="1"/>
    </xf>
    <xf numFmtId="0" fontId="16" fillId="0" borderId="0" xfId="0" applyFont="1" applyFill="1" applyBorder="1" applyAlignment="1">
      <alignment vertical="center"/>
    </xf>
    <xf numFmtId="0" fontId="16" fillId="0" borderId="0" xfId="0" applyFont="1" applyFill="1" applyAlignment="1">
      <alignment vertical="center"/>
    </xf>
    <xf numFmtId="0" fontId="75" fillId="0" borderId="0" xfId="0" applyFont="1" applyFill="1" applyAlignment="1">
      <alignment horizontal="center" vertical="center"/>
    </xf>
    <xf numFmtId="168" fontId="16" fillId="0" borderId="0" xfId="1" applyNumberFormat="1" applyFont="1" applyFill="1" applyAlignment="1">
      <alignment vertical="center"/>
    </xf>
    <xf numFmtId="0" fontId="82" fillId="0" borderId="13" xfId="0" applyFont="1" applyFill="1" applyBorder="1" applyAlignment="1">
      <alignment vertical="center"/>
    </xf>
    <xf numFmtId="168" fontId="82" fillId="0" borderId="13" xfId="1" applyNumberFormat="1" applyFont="1" applyFill="1" applyBorder="1" applyAlignment="1">
      <alignment vertical="center"/>
    </xf>
    <xf numFmtId="168" fontId="16" fillId="0" borderId="13" xfId="1" applyNumberFormat="1" applyFont="1" applyFill="1" applyBorder="1" applyAlignment="1">
      <alignment vertical="center"/>
    </xf>
    <xf numFmtId="0" fontId="16" fillId="0" borderId="13" xfId="0" applyFont="1" applyFill="1" applyBorder="1" applyAlignment="1">
      <alignment vertical="center"/>
    </xf>
    <xf numFmtId="168" fontId="16" fillId="0" borderId="14" xfId="1" applyNumberFormat="1" applyFont="1" applyFill="1" applyBorder="1" applyAlignment="1">
      <alignment vertical="center"/>
    </xf>
    <xf numFmtId="0" fontId="16" fillId="0" borderId="14" xfId="0" applyFont="1" applyFill="1" applyBorder="1" applyAlignment="1">
      <alignment vertical="center"/>
    </xf>
    <xf numFmtId="168" fontId="16" fillId="0" borderId="4" xfId="1" applyNumberFormat="1" applyFont="1" applyFill="1" applyBorder="1" applyAlignment="1">
      <alignment vertical="center"/>
    </xf>
    <xf numFmtId="0" fontId="16" fillId="0" borderId="4" xfId="0" applyFont="1" applyFill="1" applyBorder="1" applyAlignment="1">
      <alignment vertical="center"/>
    </xf>
    <xf numFmtId="0" fontId="75" fillId="0" borderId="0" xfId="0" applyFont="1" applyFill="1" applyBorder="1" applyAlignment="1">
      <alignment vertical="center"/>
    </xf>
    <xf numFmtId="168" fontId="75" fillId="0" borderId="0" xfId="1" applyNumberFormat="1" applyFont="1" applyFill="1" applyBorder="1" applyAlignment="1">
      <alignment vertical="center"/>
    </xf>
    <xf numFmtId="168" fontId="75" fillId="0" borderId="40" xfId="1" applyNumberFormat="1" applyFont="1" applyFill="1" applyBorder="1" applyAlignment="1">
      <alignment horizontal="center" vertical="center" wrapText="1"/>
    </xf>
    <xf numFmtId="164" fontId="16" fillId="0" borderId="0" xfId="1" applyFont="1" applyFill="1" applyBorder="1" applyAlignment="1">
      <alignment vertical="center"/>
    </xf>
    <xf numFmtId="168" fontId="16" fillId="0" borderId="15" xfId="1" applyNumberFormat="1" applyFont="1" applyFill="1" applyBorder="1" applyAlignment="1">
      <alignment horizontal="left" vertical="center" wrapText="1"/>
    </xf>
    <xf numFmtId="168" fontId="75" fillId="0" borderId="2" xfId="1" applyNumberFormat="1" applyFont="1" applyFill="1" applyBorder="1" applyAlignment="1">
      <alignment vertical="center"/>
    </xf>
    <xf numFmtId="168" fontId="75" fillId="0" borderId="9" xfId="1" applyNumberFormat="1" applyFont="1" applyFill="1" applyBorder="1" applyAlignment="1">
      <alignment vertical="center"/>
    </xf>
    <xf numFmtId="0" fontId="75" fillId="0" borderId="4" xfId="0" applyFont="1" applyFill="1" applyBorder="1" applyAlignment="1">
      <alignment vertical="center"/>
    </xf>
    <xf numFmtId="168" fontId="75" fillId="0" borderId="4" xfId="1" applyNumberFormat="1" applyFont="1" applyFill="1" applyBorder="1" applyAlignment="1">
      <alignment vertical="center"/>
    </xf>
    <xf numFmtId="168" fontId="75" fillId="0" borderId="2" xfId="1" applyNumberFormat="1" applyFont="1" applyFill="1" applyBorder="1" applyAlignment="1">
      <alignment horizontal="center" vertical="center" wrapText="1"/>
    </xf>
    <xf numFmtId="168" fontId="16" fillId="0" borderId="16" xfId="1" applyNumberFormat="1" applyFont="1" applyFill="1" applyBorder="1" applyAlignment="1">
      <alignment horizontal="left" vertical="center" wrapText="1"/>
    </xf>
    <xf numFmtId="174" fontId="16" fillId="0" borderId="1" xfId="1" applyNumberFormat="1" applyFont="1" applyFill="1" applyBorder="1"/>
    <xf numFmtId="168" fontId="16" fillId="0" borderId="1" xfId="1" applyNumberFormat="1" applyFont="1" applyFill="1" applyBorder="1" applyAlignment="1">
      <alignment horizontal="left" vertical="center" wrapText="1"/>
    </xf>
    <xf numFmtId="164" fontId="16" fillId="0" borderId="0" xfId="1" applyFont="1" applyFill="1" applyBorder="1" applyAlignment="1"/>
    <xf numFmtId="0" fontId="16" fillId="0" borderId="0" xfId="0" applyFont="1" applyFill="1" applyBorder="1" applyAlignment="1">
      <alignment horizontal="justify" vertical="justify" wrapText="1"/>
    </xf>
    <xf numFmtId="168" fontId="16" fillId="0" borderId="0" xfId="1" applyNumberFormat="1" applyFont="1" applyFill="1" applyBorder="1" applyAlignment="1">
      <alignment horizontal="justify" vertical="justify" wrapText="1"/>
    </xf>
    <xf numFmtId="168" fontId="16" fillId="0" borderId="0" xfId="1" quotePrefix="1" applyNumberFormat="1" applyFont="1" applyFill="1" applyBorder="1" applyAlignment="1">
      <alignment vertical="center"/>
    </xf>
    <xf numFmtId="0" fontId="16" fillId="0" borderId="5" xfId="0" applyFont="1" applyFill="1" applyBorder="1" applyAlignment="1">
      <alignment vertical="center"/>
    </xf>
    <xf numFmtId="168" fontId="16" fillId="0" borderId="5" xfId="1" applyNumberFormat="1" applyFont="1" applyFill="1" applyBorder="1" applyAlignment="1">
      <alignment vertical="center"/>
    </xf>
    <xf numFmtId="168" fontId="16" fillId="0" borderId="6" xfId="1" applyNumberFormat="1" applyFont="1" applyFill="1" applyBorder="1" applyAlignment="1">
      <alignment vertical="center"/>
    </xf>
    <xf numFmtId="0" fontId="16" fillId="0" borderId="6" xfId="0" applyFont="1" applyFill="1" applyBorder="1" applyAlignment="1">
      <alignment vertical="center"/>
    </xf>
    <xf numFmtId="0" fontId="75" fillId="0" borderId="0" xfId="0" applyFont="1" applyFill="1" applyBorder="1" applyAlignment="1">
      <alignment horizontal="center" vertical="center"/>
    </xf>
    <xf numFmtId="168" fontId="75" fillId="0" borderId="2" xfId="1" quotePrefix="1" applyNumberFormat="1" applyFont="1" applyFill="1" applyBorder="1" applyAlignment="1">
      <alignment horizontal="center" vertical="center"/>
    </xf>
    <xf numFmtId="0" fontId="75" fillId="0" borderId="4" xfId="0" applyFont="1" applyFill="1" applyBorder="1" applyAlignment="1">
      <alignment horizontal="center" vertical="center"/>
    </xf>
    <xf numFmtId="168" fontId="75" fillId="0" borderId="0" xfId="1" applyNumberFormat="1" applyFont="1" applyFill="1" applyBorder="1" applyAlignment="1">
      <alignment horizontal="center" vertical="center"/>
    </xf>
    <xf numFmtId="0" fontId="75" fillId="0" borderId="0" xfId="0" applyFont="1" applyFill="1" applyAlignment="1">
      <alignment vertical="center"/>
    </xf>
    <xf numFmtId="0" fontId="16" fillId="0" borderId="0" xfId="0" applyFont="1" applyFill="1" applyBorder="1" applyAlignment="1">
      <alignment vertical="center" wrapText="1"/>
    </xf>
    <xf numFmtId="0" fontId="75" fillId="0" borderId="0" xfId="0" applyFont="1" applyFill="1" applyBorder="1" applyAlignment="1">
      <alignment vertical="center" wrapText="1"/>
    </xf>
    <xf numFmtId="168" fontId="75" fillId="0" borderId="7" xfId="1" applyNumberFormat="1" applyFont="1" applyFill="1" applyBorder="1" applyAlignment="1">
      <alignment vertical="center"/>
    </xf>
    <xf numFmtId="168" fontId="75" fillId="0" borderId="0" xfId="1" applyNumberFormat="1" applyFont="1" applyFill="1" applyBorder="1" applyAlignment="1">
      <alignment vertical="center" wrapText="1"/>
    </xf>
    <xf numFmtId="168" fontId="75" fillId="0" borderId="4" xfId="1" applyNumberFormat="1" applyFont="1" applyFill="1" applyBorder="1" applyAlignment="1">
      <alignment vertical="center" wrapText="1"/>
    </xf>
    <xf numFmtId="168" fontId="16" fillId="0" borderId="0" xfId="1" applyNumberFormat="1" applyFont="1" applyFill="1" applyBorder="1" applyAlignment="1">
      <alignment vertical="center" wrapText="1"/>
    </xf>
    <xf numFmtId="0" fontId="16" fillId="0" borderId="0" xfId="0" applyFont="1" applyFill="1" applyAlignment="1">
      <alignment vertical="center" wrapText="1"/>
    </xf>
    <xf numFmtId="168" fontId="16" fillId="0" borderId="16" xfId="1" applyNumberFormat="1" applyFont="1" applyFill="1" applyBorder="1" applyAlignment="1">
      <alignment vertical="center" wrapText="1"/>
    </xf>
    <xf numFmtId="168" fontId="16" fillId="0" borderId="1" xfId="1" applyNumberFormat="1" applyFont="1" applyFill="1" applyBorder="1" applyAlignment="1">
      <alignment vertical="center" wrapText="1"/>
    </xf>
    <xf numFmtId="168" fontId="16" fillId="0" borderId="15" xfId="1" applyNumberFormat="1" applyFont="1" applyFill="1" applyBorder="1" applyAlignment="1">
      <alignment vertical="center" wrapText="1"/>
    </xf>
    <xf numFmtId="168" fontId="82" fillId="0" borderId="0" xfId="1" applyNumberFormat="1" applyFont="1" applyFill="1" applyBorder="1" applyAlignment="1">
      <alignment vertical="center" wrapText="1"/>
    </xf>
    <xf numFmtId="168" fontId="16" fillId="0" borderId="0" xfId="1" applyNumberFormat="1" applyFont="1" applyFill="1" applyBorder="1" applyAlignment="1">
      <alignment horizontal="justify" vertical="center" wrapText="1"/>
    </xf>
    <xf numFmtId="0" fontId="16" fillId="0" borderId="0" xfId="0" applyFont="1" applyFill="1" applyAlignment="1">
      <alignment horizontal="justify" vertical="center" wrapText="1"/>
    </xf>
    <xf numFmtId="168" fontId="75" fillId="0" borderId="43" xfId="1" applyNumberFormat="1" applyFont="1" applyFill="1" applyBorder="1" applyAlignment="1">
      <alignment vertical="center" wrapText="1"/>
    </xf>
    <xf numFmtId="168" fontId="75" fillId="0" borderId="43" xfId="1" applyNumberFormat="1" applyFont="1" applyFill="1" applyBorder="1" applyAlignment="1">
      <alignment vertical="center"/>
    </xf>
    <xf numFmtId="168" fontId="16" fillId="0" borderId="0" xfId="1" quotePrefix="1" applyNumberFormat="1" applyFont="1" applyFill="1" applyBorder="1" applyAlignment="1">
      <alignment horizontal="center" vertical="center"/>
    </xf>
    <xf numFmtId="0" fontId="82" fillId="0" borderId="5" xfId="0" applyFont="1" applyFill="1" applyBorder="1" applyAlignment="1">
      <alignment vertical="center" wrapText="1"/>
    </xf>
    <xf numFmtId="168" fontId="82" fillId="0" borderId="5" xfId="1" applyNumberFormat="1" applyFont="1" applyFill="1" applyBorder="1" applyAlignment="1">
      <alignment vertical="center" wrapText="1"/>
    </xf>
    <xf numFmtId="168" fontId="16" fillId="0" borderId="0" xfId="1" applyNumberFormat="1" applyFont="1" applyFill="1" applyBorder="1" applyAlignment="1">
      <alignment horizontal="left" vertical="center" wrapText="1"/>
    </xf>
    <xf numFmtId="168" fontId="75" fillId="0" borderId="0" xfId="1" applyNumberFormat="1" applyFont="1" applyFill="1" applyBorder="1" applyAlignment="1">
      <alignment horizontal="right" vertical="center" wrapText="1"/>
    </xf>
    <xf numFmtId="168" fontId="16" fillId="0" borderId="0" xfId="1" applyNumberFormat="1" applyFont="1" applyFill="1" applyBorder="1" applyAlignment="1">
      <alignment horizontal="right" vertical="center"/>
    </xf>
    <xf numFmtId="168" fontId="16" fillId="0" borderId="16" xfId="1" applyNumberFormat="1" applyFont="1" applyFill="1" applyBorder="1" applyAlignment="1">
      <alignment horizontal="right" vertical="center" wrapText="1"/>
    </xf>
    <xf numFmtId="168" fontId="16" fillId="0" borderId="15" xfId="1" applyNumberFormat="1" applyFont="1" applyFill="1" applyBorder="1" applyAlignment="1">
      <alignment horizontal="right" vertical="center" wrapText="1"/>
    </xf>
    <xf numFmtId="0" fontId="90" fillId="0" borderId="0" xfId="0" applyFont="1" applyFill="1" applyBorder="1" applyAlignment="1">
      <alignment vertical="center" wrapText="1"/>
    </xf>
    <xf numFmtId="168" fontId="90" fillId="0" borderId="0" xfId="1" applyNumberFormat="1" applyFont="1" applyFill="1" applyBorder="1" applyAlignment="1">
      <alignment vertical="center" wrapText="1"/>
    </xf>
    <xf numFmtId="168" fontId="90" fillId="0" borderId="0" xfId="1" applyNumberFormat="1" applyFont="1" applyFill="1" applyBorder="1" applyAlignment="1">
      <alignment horizontal="right" vertical="center" wrapText="1"/>
    </xf>
    <xf numFmtId="168" fontId="16" fillId="0" borderId="9" xfId="1" applyNumberFormat="1" applyFont="1" applyFill="1" applyBorder="1" applyAlignment="1">
      <alignment vertical="center"/>
    </xf>
    <xf numFmtId="164" fontId="16" fillId="0" borderId="0" xfId="1" applyFont="1" applyFill="1" applyAlignment="1">
      <alignment vertical="center"/>
    </xf>
    <xf numFmtId="0" fontId="75" fillId="0" borderId="8" xfId="0" applyFont="1" applyFill="1" applyBorder="1" applyAlignment="1">
      <alignment horizontal="center" vertical="center" wrapText="1"/>
    </xf>
    <xf numFmtId="0" fontId="16" fillId="0" borderId="5" xfId="0" applyFont="1" applyFill="1" applyBorder="1" applyAlignment="1">
      <alignment vertical="center" wrapText="1"/>
    </xf>
    <xf numFmtId="168" fontId="16" fillId="0" borderId="5" xfId="1" applyNumberFormat="1" applyFont="1" applyFill="1" applyBorder="1" applyAlignment="1">
      <alignment vertical="center" wrapText="1"/>
    </xf>
    <xf numFmtId="0" fontId="16" fillId="0" borderId="6" xfId="0" applyFont="1" applyFill="1" applyBorder="1" applyAlignment="1">
      <alignment vertical="center" wrapText="1"/>
    </xf>
    <xf numFmtId="0" fontId="91" fillId="0" borderId="0" xfId="0" applyFont="1" applyFill="1" applyBorder="1" applyAlignment="1">
      <alignment vertical="center" wrapText="1"/>
    </xf>
    <xf numFmtId="168" fontId="91" fillId="0" borderId="0" xfId="1" applyNumberFormat="1" applyFont="1" applyFill="1" applyBorder="1" applyAlignment="1">
      <alignment vertical="center" wrapText="1"/>
    </xf>
    <xf numFmtId="168" fontId="21" fillId="0" borderId="0" xfId="1" applyNumberFormat="1" applyFont="1" applyFill="1" applyBorder="1" applyAlignment="1">
      <alignment vertical="center" wrapText="1"/>
    </xf>
    <xf numFmtId="0" fontId="91" fillId="0" borderId="13" xfId="0" applyFont="1" applyFill="1" applyBorder="1" applyAlignment="1">
      <alignment vertical="center" wrapText="1"/>
    </xf>
    <xf numFmtId="168" fontId="91" fillId="0" borderId="13" xfId="1" applyNumberFormat="1" applyFont="1" applyFill="1" applyBorder="1" applyAlignment="1">
      <alignment vertical="center" wrapText="1"/>
    </xf>
    <xf numFmtId="0" fontId="92" fillId="0" borderId="0" xfId="0" applyFont="1" applyFill="1" applyBorder="1" applyAlignment="1">
      <alignment vertical="center" wrapText="1"/>
    </xf>
    <xf numFmtId="168" fontId="92" fillId="0" borderId="0" xfId="1" applyNumberFormat="1" applyFont="1" applyFill="1" applyBorder="1" applyAlignment="1">
      <alignment vertical="center" wrapText="1"/>
    </xf>
    <xf numFmtId="10" fontId="16" fillId="0" borderId="0" xfId="5" applyNumberFormat="1" applyFont="1" applyFill="1" applyBorder="1" applyAlignment="1">
      <alignment vertical="center"/>
    </xf>
    <xf numFmtId="0" fontId="93" fillId="0" borderId="0" xfId="0" applyFont="1" applyFill="1" applyBorder="1" applyAlignment="1">
      <alignment vertical="center" wrapText="1"/>
    </xf>
    <xf numFmtId="0" fontId="16" fillId="0" borderId="0" xfId="0" applyFont="1" applyFill="1" applyBorder="1"/>
    <xf numFmtId="168" fontId="16" fillId="0" borderId="16" xfId="1" applyNumberFormat="1" applyFont="1" applyFill="1" applyBorder="1"/>
    <xf numFmtId="0" fontId="16" fillId="0" borderId="0" xfId="7" applyFont="1" applyFill="1" applyBorder="1" applyAlignment="1">
      <alignment horizontal="left"/>
    </xf>
    <xf numFmtId="168" fontId="16" fillId="0" borderId="1" xfId="1" applyNumberFormat="1" applyFont="1" applyFill="1" applyBorder="1" applyAlignment="1">
      <alignment horizontal="left"/>
    </xf>
    <xf numFmtId="168" fontId="16" fillId="0" borderId="31" xfId="8" applyNumberFormat="1" applyFont="1" applyFill="1" applyBorder="1" applyAlignment="1">
      <alignment horizontal="left"/>
    </xf>
    <xf numFmtId="0" fontId="16" fillId="0" borderId="0" xfId="7" applyFont="1" applyFill="1" applyBorder="1" applyAlignment="1">
      <alignment horizontal="left" wrapText="1"/>
    </xf>
    <xf numFmtId="168" fontId="16" fillId="0" borderId="1" xfId="1" applyNumberFormat="1" applyFont="1" applyFill="1" applyBorder="1" applyAlignment="1">
      <alignment horizontal="left" wrapText="1"/>
    </xf>
    <xf numFmtId="168" fontId="16" fillId="0" borderId="1" xfId="1" applyNumberFormat="1" applyFont="1" applyFill="1" applyBorder="1"/>
    <xf numFmtId="168" fontId="16" fillId="0" borderId="15" xfId="1" applyNumberFormat="1" applyFont="1" applyFill="1" applyBorder="1"/>
    <xf numFmtId="168" fontId="75" fillId="0" borderId="7" xfId="1" applyNumberFormat="1" applyFont="1" applyFill="1" applyBorder="1"/>
    <xf numFmtId="164" fontId="16" fillId="0" borderId="4" xfId="1" applyFont="1" applyFill="1" applyBorder="1" applyAlignment="1">
      <alignment vertical="center"/>
    </xf>
    <xf numFmtId="168" fontId="16" fillId="0" borderId="10" xfId="1" applyNumberFormat="1" applyFont="1" applyFill="1" applyBorder="1" applyAlignment="1">
      <alignment vertical="center"/>
    </xf>
    <xf numFmtId="165" fontId="20" fillId="0" borderId="0" xfId="1" applyNumberFormat="1" applyFont="1" applyFill="1" applyBorder="1"/>
    <xf numFmtId="43" fontId="20" fillId="0" borderId="0" xfId="1" quotePrefix="1" applyNumberFormat="1" applyFont="1" applyFill="1" applyBorder="1" applyAlignment="1">
      <alignment horizontal="center"/>
    </xf>
    <xf numFmtId="43" fontId="20" fillId="0" borderId="0" xfId="1" applyNumberFormat="1" applyFont="1" applyFill="1" applyBorder="1"/>
    <xf numFmtId="0" fontId="16" fillId="0" borderId="0" xfId="0" applyFont="1" applyFill="1" applyBorder="1" applyAlignment="1">
      <alignment horizontal="left" vertical="center"/>
    </xf>
    <xf numFmtId="168" fontId="16" fillId="0" borderId="0" xfId="1" applyNumberFormat="1" applyFont="1" applyFill="1" applyBorder="1" applyAlignment="1">
      <alignment horizontal="right" vertical="center" wrapText="1"/>
    </xf>
    <xf numFmtId="0" fontId="75" fillId="0" borderId="0" xfId="0" applyFont="1" applyFill="1" applyBorder="1" applyAlignment="1">
      <alignment horizontal="left" vertical="center" wrapText="1"/>
    </xf>
    <xf numFmtId="168" fontId="75" fillId="0" borderId="7" xfId="1" applyNumberFormat="1" applyFont="1" applyFill="1" applyBorder="1" applyAlignment="1">
      <alignment vertical="center" wrapText="1"/>
    </xf>
    <xf numFmtId="0" fontId="16" fillId="0" borderId="13" xfId="0" applyFont="1" applyFill="1" applyBorder="1" applyAlignment="1">
      <alignment vertical="center" wrapText="1"/>
    </xf>
    <xf numFmtId="168" fontId="16" fillId="0" borderId="13" xfId="1" applyNumberFormat="1" applyFont="1" applyFill="1" applyBorder="1" applyAlignment="1">
      <alignment vertical="center" wrapText="1"/>
    </xf>
    <xf numFmtId="168" fontId="75" fillId="0" borderId="2" xfId="1" quotePrefix="1" applyNumberFormat="1" applyFont="1" applyFill="1" applyBorder="1" applyAlignment="1">
      <alignment horizontal="center" vertical="center" wrapText="1"/>
    </xf>
    <xf numFmtId="43" fontId="16" fillId="0" borderId="0" xfId="0" applyNumberFormat="1" applyFont="1" applyFill="1" applyBorder="1" applyAlignment="1">
      <alignment vertical="center"/>
    </xf>
    <xf numFmtId="168" fontId="75" fillId="0" borderId="0" xfId="1" applyNumberFormat="1" applyFont="1" applyFill="1" applyBorder="1" applyAlignment="1">
      <alignment horizontal="center" vertical="center" wrapText="1"/>
    </xf>
    <xf numFmtId="168" fontId="75" fillId="0" borderId="4" xfId="1" applyNumberFormat="1" applyFont="1" applyFill="1" applyBorder="1" applyAlignment="1">
      <alignment horizontal="center" vertical="center" wrapText="1"/>
    </xf>
    <xf numFmtId="168" fontId="75" fillId="0" borderId="0" xfId="0" applyNumberFormat="1" applyFont="1" applyFill="1" applyBorder="1" applyAlignment="1">
      <alignment vertical="center"/>
    </xf>
    <xf numFmtId="168" fontId="16" fillId="0" borderId="0" xfId="0" applyNumberFormat="1" applyFont="1" applyFill="1" applyBorder="1" applyAlignment="1">
      <alignment vertical="center"/>
    </xf>
    <xf numFmtId="168" fontId="94" fillId="0" borderId="0" xfId="1" applyNumberFormat="1" applyFont="1" applyFill="1" applyAlignment="1">
      <alignment vertical="center"/>
    </xf>
    <xf numFmtId="168" fontId="80" fillId="0" borderId="0" xfId="1" applyNumberFormat="1" applyFont="1" applyFill="1" applyAlignment="1">
      <alignment vertical="center"/>
    </xf>
    <xf numFmtId="0" fontId="16" fillId="0" borderId="9" xfId="0" applyFont="1" applyFill="1" applyBorder="1" applyAlignment="1">
      <alignment vertical="center" wrapText="1"/>
    </xf>
    <xf numFmtId="168" fontId="16" fillId="0" borderId="0" xfId="0" applyNumberFormat="1" applyFont="1" applyFill="1" applyBorder="1" applyAlignment="1">
      <alignment vertical="center" wrapText="1"/>
    </xf>
    <xf numFmtId="0" fontId="75" fillId="0" borderId="12" xfId="0" applyFont="1" applyFill="1" applyBorder="1" applyAlignment="1">
      <alignment vertical="center" wrapText="1"/>
    </xf>
    <xf numFmtId="0" fontId="75" fillId="0" borderId="9" xfId="0" applyFont="1" applyFill="1" applyBorder="1" applyAlignment="1">
      <alignment vertical="center" wrapText="1"/>
    </xf>
    <xf numFmtId="0" fontId="16" fillId="0" borderId="8" xfId="0" applyFont="1" applyFill="1" applyBorder="1" applyAlignment="1">
      <alignment vertical="center" wrapText="1"/>
    </xf>
    <xf numFmtId="168" fontId="16" fillId="0" borderId="5" xfId="0" applyNumberFormat="1" applyFont="1" applyFill="1" applyBorder="1" applyAlignment="1">
      <alignment vertical="center" wrapText="1"/>
    </xf>
    <xf numFmtId="0" fontId="16" fillId="0" borderId="0" xfId="0" applyFont="1" applyFill="1" applyAlignment="1"/>
    <xf numFmtId="168" fontId="16" fillId="0" borderId="0" xfId="1" applyNumberFormat="1" applyFont="1" applyFill="1" applyAlignment="1"/>
    <xf numFmtId="0" fontId="16" fillId="0" borderId="0" xfId="0" applyFont="1" applyFill="1" applyBorder="1" applyAlignment="1"/>
    <xf numFmtId="168" fontId="16" fillId="0" borderId="0" xfId="1" applyNumberFormat="1" applyFont="1" applyFill="1" applyBorder="1" applyAlignment="1"/>
    <xf numFmtId="0" fontId="16" fillId="0" borderId="4" xfId="0" applyFont="1" applyFill="1" applyBorder="1" applyAlignment="1"/>
    <xf numFmtId="168" fontId="75" fillId="0" borderId="2" xfId="1" quotePrefix="1" applyNumberFormat="1" applyFont="1" applyFill="1" applyBorder="1" applyAlignment="1">
      <alignment horizontal="center"/>
    </xf>
    <xf numFmtId="0" fontId="75" fillId="0" borderId="0" xfId="0" applyFont="1" applyFill="1" applyAlignment="1">
      <alignment horizontal="center"/>
    </xf>
    <xf numFmtId="168" fontId="75" fillId="0" borderId="0" xfId="1" applyNumberFormat="1" applyFont="1" applyFill="1" applyAlignment="1">
      <alignment horizontal="center"/>
    </xf>
    <xf numFmtId="0" fontId="75" fillId="0" borderId="0" xfId="0" applyFont="1" applyFill="1" applyBorder="1" applyAlignment="1">
      <alignment vertical="top" wrapText="1"/>
    </xf>
    <xf numFmtId="168" fontId="75" fillId="0" borderId="0" xfId="1" applyNumberFormat="1" applyFont="1" applyFill="1" applyBorder="1" applyAlignment="1">
      <alignment vertical="top" wrapText="1"/>
    </xf>
    <xf numFmtId="0" fontId="75" fillId="0" borderId="0" xfId="0" applyFont="1" applyFill="1" applyBorder="1" applyAlignment="1"/>
    <xf numFmtId="168" fontId="75" fillId="0" borderId="0" xfId="1" applyNumberFormat="1" applyFont="1" applyFill="1" applyBorder="1" applyAlignment="1"/>
    <xf numFmtId="0" fontId="75" fillId="0" borderId="0" xfId="0" applyFont="1" applyFill="1" applyAlignment="1"/>
    <xf numFmtId="168" fontId="75" fillId="0" borderId="0" xfId="1" applyNumberFormat="1" applyFont="1" applyFill="1" applyAlignment="1"/>
    <xf numFmtId="0" fontId="16" fillId="0" borderId="0" xfId="0" applyFont="1" applyFill="1" applyBorder="1" applyAlignment="1">
      <alignment vertical="top" wrapText="1"/>
    </xf>
    <xf numFmtId="168" fontId="16" fillId="0" borderId="16" xfId="1" applyNumberFormat="1" applyFont="1" applyFill="1" applyBorder="1" applyAlignment="1">
      <alignment vertical="top" wrapText="1"/>
    </xf>
    <xf numFmtId="168" fontId="16" fillId="0" borderId="16" xfId="1" applyNumberFormat="1" applyFont="1" applyFill="1" applyBorder="1" applyAlignment="1"/>
    <xf numFmtId="168" fontId="16" fillId="0" borderId="0" xfId="0" applyNumberFormat="1" applyFont="1" applyFill="1" applyAlignment="1"/>
    <xf numFmtId="168" fontId="16" fillId="0" borderId="1" xfId="1" applyNumberFormat="1" applyFont="1" applyFill="1" applyBorder="1" applyAlignment="1"/>
    <xf numFmtId="168" fontId="16" fillId="0" borderId="15" xfId="1" applyNumberFormat="1" applyFont="1" applyFill="1" applyBorder="1" applyAlignment="1"/>
    <xf numFmtId="0" fontId="16" fillId="0" borderId="0" xfId="0" applyFont="1" applyFill="1" applyAlignment="1">
      <alignment horizontal="justify" vertical="justify"/>
    </xf>
    <xf numFmtId="168" fontId="16" fillId="0" borderId="0" xfId="1" applyNumberFormat="1" applyFont="1" applyFill="1" applyAlignment="1">
      <alignment horizontal="justify" vertical="justify"/>
    </xf>
    <xf numFmtId="0" fontId="75" fillId="0" borderId="8" xfId="0" applyFont="1" applyFill="1" applyBorder="1" applyAlignment="1">
      <alignment horizontal="center"/>
    </xf>
    <xf numFmtId="0" fontId="16" fillId="0" borderId="5" xfId="0" applyFont="1" applyFill="1" applyBorder="1" applyAlignment="1"/>
    <xf numFmtId="168" fontId="16" fillId="0" borderId="5" xfId="1" applyNumberFormat="1" applyFont="1" applyFill="1" applyBorder="1" applyAlignment="1"/>
    <xf numFmtId="0" fontId="16" fillId="0" borderId="6" xfId="0" applyFont="1" applyFill="1" applyBorder="1" applyAlignment="1"/>
    <xf numFmtId="0" fontId="34" fillId="0" borderId="13" xfId="0" applyFont="1" applyFill="1" applyBorder="1"/>
    <xf numFmtId="168" fontId="34" fillId="0" borderId="13" xfId="1" applyNumberFormat="1" applyFont="1" applyFill="1" applyBorder="1"/>
    <xf numFmtId="0" fontId="16" fillId="0" borderId="13" xfId="0" applyFont="1" applyFill="1" applyBorder="1" applyAlignment="1"/>
    <xf numFmtId="164" fontId="23" fillId="0" borderId="13" xfId="1" applyFont="1" applyFill="1" applyBorder="1"/>
    <xf numFmtId="168" fontId="23" fillId="0" borderId="13" xfId="1" applyNumberFormat="1" applyFont="1" applyFill="1" applyBorder="1"/>
    <xf numFmtId="0" fontId="34" fillId="0" borderId="0" xfId="0" applyFont="1" applyFill="1" applyBorder="1"/>
    <xf numFmtId="164" fontId="75" fillId="0" borderId="2" xfId="1" quotePrefix="1" applyFont="1" applyFill="1" applyBorder="1" applyAlignment="1">
      <alignment horizontal="center"/>
    </xf>
    <xf numFmtId="168" fontId="34" fillId="0" borderId="0" xfId="1" applyNumberFormat="1" applyFont="1" applyFill="1" applyBorder="1"/>
    <xf numFmtId="168" fontId="23" fillId="0" borderId="0" xfId="1" applyNumberFormat="1" applyFont="1" applyFill="1" applyBorder="1"/>
    <xf numFmtId="164" fontId="16" fillId="0" borderId="0" xfId="1" applyFont="1" applyFill="1" applyBorder="1"/>
    <xf numFmtId="168" fontId="75" fillId="0" borderId="41" xfId="1" applyNumberFormat="1" applyFont="1" applyFill="1" applyBorder="1"/>
    <xf numFmtId="164" fontId="75" fillId="0" borderId="41" xfId="1" applyFont="1" applyFill="1" applyBorder="1"/>
    <xf numFmtId="0" fontId="34" fillId="0" borderId="5" xfId="0" applyFont="1" applyFill="1" applyBorder="1"/>
    <xf numFmtId="168" fontId="16" fillId="0" borderId="5" xfId="1" applyNumberFormat="1" applyFont="1" applyFill="1" applyBorder="1"/>
    <xf numFmtId="164" fontId="16" fillId="0" borderId="5" xfId="1" applyFont="1" applyFill="1" applyBorder="1"/>
    <xf numFmtId="168" fontId="16" fillId="0" borderId="13" xfId="1" applyNumberFormat="1" applyFont="1" applyFill="1" applyBorder="1"/>
    <xf numFmtId="164" fontId="16" fillId="0" borderId="13" xfId="1" applyFont="1" applyFill="1" applyBorder="1"/>
    <xf numFmtId="168" fontId="16" fillId="0" borderId="41" xfId="1" applyNumberFormat="1" applyFont="1" applyFill="1" applyBorder="1"/>
    <xf numFmtId="164" fontId="16" fillId="0" borderId="41" xfId="1" applyFont="1" applyFill="1" applyBorder="1"/>
    <xf numFmtId="164" fontId="16" fillId="0" borderId="0" xfId="0" applyNumberFormat="1" applyFont="1" applyFill="1" applyAlignment="1"/>
    <xf numFmtId="164" fontId="75" fillId="0" borderId="0" xfId="1" applyFont="1" applyFill="1" applyBorder="1"/>
    <xf numFmtId="164" fontId="16" fillId="0" borderId="16" xfId="1" applyFont="1" applyFill="1" applyBorder="1"/>
    <xf numFmtId="164" fontId="16" fillId="0" borderId="1" xfId="1" applyFont="1" applyFill="1" applyBorder="1"/>
    <xf numFmtId="164" fontId="16" fillId="0" borderId="15" xfId="1" applyFont="1" applyFill="1" applyBorder="1"/>
    <xf numFmtId="164" fontId="75" fillId="0" borderId="0" xfId="1" applyFont="1" applyFill="1" applyBorder="1" applyAlignment="1">
      <alignment horizontal="center" vertical="center" wrapText="1"/>
    </xf>
    <xf numFmtId="0" fontId="34" fillId="0" borderId="0" xfId="0" applyFont="1" applyBorder="1"/>
    <xf numFmtId="43" fontId="68" fillId="0" borderId="7" xfId="0" applyNumberFormat="1" applyFont="1" applyBorder="1"/>
    <xf numFmtId="0" fontId="16" fillId="0" borderId="0" xfId="0" applyFont="1" applyFill="1"/>
    <xf numFmtId="164" fontId="16" fillId="0" borderId="0" xfId="1" applyFont="1" applyFill="1"/>
    <xf numFmtId="0" fontId="16" fillId="0" borderId="14" xfId="0" applyFont="1" applyFill="1" applyBorder="1"/>
    <xf numFmtId="0" fontId="16" fillId="0" borderId="4" xfId="0" applyFont="1" applyFill="1" applyBorder="1"/>
    <xf numFmtId="164" fontId="75" fillId="0" borderId="2" xfId="1" applyFont="1" applyFill="1" applyBorder="1" applyAlignment="1">
      <alignment horizontal="center" vertical="center" wrapText="1"/>
    </xf>
    <xf numFmtId="15" fontId="75" fillId="0" borderId="0" xfId="0" quotePrefix="1" applyNumberFormat="1" applyFont="1" applyFill="1" applyBorder="1" applyAlignment="1">
      <alignment vertical="top" wrapText="1"/>
    </xf>
    <xf numFmtId="0" fontId="16" fillId="0" borderId="0" xfId="0" applyFont="1" applyFill="1" applyBorder="1" applyAlignment="1">
      <alignment horizontal="left" vertical="top" wrapText="1" indent="1"/>
    </xf>
    <xf numFmtId="164" fontId="75" fillId="0" borderId="7" xfId="1" applyFont="1" applyFill="1" applyBorder="1"/>
    <xf numFmtId="0" fontId="82" fillId="0" borderId="0" xfId="0" applyFont="1" applyFill="1" applyBorder="1" applyAlignment="1">
      <alignment vertical="top" wrapText="1"/>
    </xf>
    <xf numFmtId="0" fontId="75" fillId="0" borderId="4" xfId="0" applyFont="1" applyFill="1" applyBorder="1"/>
    <xf numFmtId="0" fontId="16" fillId="0" borderId="6" xfId="0" applyFont="1" applyFill="1" applyBorder="1"/>
    <xf numFmtId="164" fontId="75" fillId="0" borderId="0" xfId="1" applyFont="1" applyFill="1" applyBorder="1" applyAlignment="1">
      <alignment horizontal="center"/>
    </xf>
    <xf numFmtId="0" fontId="34" fillId="0" borderId="0" xfId="9" applyFont="1" applyFill="1"/>
    <xf numFmtId="164" fontId="34" fillId="0" borderId="0" xfId="1" applyFont="1" applyFill="1"/>
    <xf numFmtId="170" fontId="16" fillId="0" borderId="16" xfId="1" applyNumberFormat="1" applyFont="1" applyFill="1" applyBorder="1"/>
    <xf numFmtId="170" fontId="16" fillId="0" borderId="1" xfId="1" applyNumberFormat="1" applyFont="1" applyFill="1" applyBorder="1"/>
    <xf numFmtId="170" fontId="16" fillId="0" borderId="15" xfId="1" applyNumberFormat="1" applyFont="1" applyFill="1" applyBorder="1"/>
    <xf numFmtId="170" fontId="75" fillId="0" borderId="0" xfId="1" applyNumberFormat="1" applyFont="1" applyFill="1" applyBorder="1"/>
    <xf numFmtId="164" fontId="16" fillId="0" borderId="0" xfId="1" applyFont="1" applyFill="1" applyAlignment="1">
      <alignment horizontal="justify" vertical="justify"/>
    </xf>
    <xf numFmtId="164" fontId="75" fillId="0" borderId="7" xfId="1" applyFont="1" applyFill="1" applyBorder="1" applyAlignment="1">
      <alignment horizontal="justify" vertical="justify"/>
    </xf>
    <xf numFmtId="164" fontId="16" fillId="0" borderId="0" xfId="1" applyFont="1" applyFill="1" applyBorder="1" applyAlignment="1">
      <alignment horizontal="justify" vertical="justify"/>
    </xf>
    <xf numFmtId="0" fontId="16" fillId="0" borderId="0" xfId="0" applyFont="1" applyFill="1" applyBorder="1" applyAlignment="1">
      <alignment horizontal="justify" vertical="justify"/>
    </xf>
    <xf numFmtId="43" fontId="16" fillId="0" borderId="0" xfId="1" applyNumberFormat="1" applyFont="1" applyFill="1" applyBorder="1"/>
    <xf numFmtId="43" fontId="16" fillId="0" borderId="16" xfId="1" applyNumberFormat="1" applyFont="1" applyFill="1" applyBorder="1"/>
    <xf numFmtId="43" fontId="16" fillId="0" borderId="0" xfId="1" applyNumberFormat="1" applyFont="1" applyFill="1"/>
    <xf numFmtId="43" fontId="16" fillId="0" borderId="1" xfId="1" applyNumberFormat="1" applyFont="1" applyFill="1" applyBorder="1"/>
    <xf numFmtId="43" fontId="16" fillId="0" borderId="15" xfId="1" applyNumberFormat="1" applyFont="1" applyFill="1" applyBorder="1"/>
    <xf numFmtId="43" fontId="75" fillId="0" borderId="0" xfId="1" applyNumberFormat="1" applyFont="1" applyFill="1" applyBorder="1"/>
    <xf numFmtId="43" fontId="75" fillId="0" borderId="7" xfId="1" applyNumberFormat="1" applyFont="1" applyFill="1" applyBorder="1"/>
    <xf numFmtId="164" fontId="16" fillId="0" borderId="0" xfId="1" applyFont="1" applyFill="1" applyAlignment="1"/>
    <xf numFmtId="168" fontId="16" fillId="0" borderId="13" xfId="1" applyNumberFormat="1" applyFont="1" applyFill="1" applyBorder="1" applyAlignment="1"/>
    <xf numFmtId="0" fontId="16" fillId="0" borderId="0" xfId="0" applyFont="1" applyFill="1" applyBorder="1" applyAlignment="1">
      <alignment horizontal="left" wrapText="1"/>
    </xf>
    <xf numFmtId="168" fontId="75" fillId="0" borderId="0" xfId="1" applyNumberFormat="1" applyFont="1" applyFill="1" applyBorder="1" applyAlignment="1">
      <alignment horizontal="center" wrapText="1"/>
    </xf>
    <xf numFmtId="0" fontId="75" fillId="0" borderId="0" xfId="0" applyFont="1" applyFill="1" applyBorder="1" applyAlignment="1">
      <alignment horizontal="center" wrapText="1"/>
    </xf>
    <xf numFmtId="168" fontId="16" fillId="0" borderId="0" xfId="1" applyNumberFormat="1" applyFont="1" applyFill="1" applyBorder="1" applyAlignment="1">
      <alignment horizontal="right" wrapText="1"/>
    </xf>
    <xf numFmtId="0" fontId="16" fillId="0" borderId="0" xfId="0" applyFont="1" applyFill="1" applyBorder="1" applyAlignment="1">
      <alignment horizontal="right" wrapText="1"/>
    </xf>
    <xf numFmtId="168" fontId="16" fillId="0" borderId="7" xfId="1" applyNumberFormat="1" applyFont="1" applyFill="1" applyBorder="1" applyAlignment="1">
      <alignment horizontal="right" wrapText="1"/>
    </xf>
    <xf numFmtId="0" fontId="16" fillId="0" borderId="7" xfId="0" applyFont="1" applyFill="1" applyBorder="1" applyAlignment="1">
      <alignment horizontal="right" wrapText="1"/>
    </xf>
    <xf numFmtId="168" fontId="16" fillId="0" borderId="0" xfId="0" applyNumberFormat="1" applyFont="1" applyFill="1" applyBorder="1" applyAlignment="1"/>
    <xf numFmtId="168" fontId="16" fillId="0" borderId="10" xfId="1" applyNumberFormat="1" applyFont="1" applyFill="1" applyBorder="1" applyAlignment="1"/>
    <xf numFmtId="164" fontId="75" fillId="0" borderId="0" xfId="1" applyFont="1" applyFill="1" applyAlignment="1">
      <alignment horizontal="center"/>
    </xf>
    <xf numFmtId="164" fontId="75" fillId="0" borderId="0" xfId="1" applyFont="1" applyFill="1" applyBorder="1" applyAlignment="1"/>
    <xf numFmtId="164" fontId="75" fillId="0" borderId="0" xfId="1" applyFont="1" applyFill="1" applyAlignment="1"/>
    <xf numFmtId="0" fontId="16" fillId="0" borderId="0" xfId="0" applyFont="1" applyFill="1" applyBorder="1" applyAlignment="1">
      <alignment horizontal="left" vertical="top" wrapText="1" indent="2"/>
    </xf>
    <xf numFmtId="168" fontId="16" fillId="0" borderId="16" xfId="1" applyNumberFormat="1" applyFont="1" applyFill="1" applyBorder="1" applyAlignment="1">
      <alignment horizontal="left" vertical="top" wrapText="1" indent="2"/>
    </xf>
    <xf numFmtId="168" fontId="16" fillId="0" borderId="1" xfId="1" applyNumberFormat="1" applyFont="1" applyFill="1" applyBorder="1" applyAlignment="1">
      <alignment horizontal="left" vertical="top" wrapText="1" indent="2"/>
    </xf>
    <xf numFmtId="168" fontId="16" fillId="0" borderId="15" xfId="1" applyNumberFormat="1" applyFont="1" applyFill="1" applyBorder="1" applyAlignment="1">
      <alignment horizontal="left" vertical="top" wrapText="1" indent="2"/>
    </xf>
    <xf numFmtId="168" fontId="16" fillId="0" borderId="0" xfId="1" applyNumberFormat="1" applyFont="1" applyFill="1" applyBorder="1" applyAlignment="1">
      <alignment vertical="top" wrapText="1"/>
    </xf>
    <xf numFmtId="168" fontId="16" fillId="0" borderId="2" xfId="1" applyNumberFormat="1" applyFont="1" applyFill="1" applyBorder="1" applyAlignment="1">
      <alignment vertical="top" wrapText="1"/>
    </xf>
    <xf numFmtId="168" fontId="16" fillId="0" borderId="2" xfId="1" applyNumberFormat="1" applyFont="1" applyFill="1" applyBorder="1" applyAlignment="1"/>
    <xf numFmtId="168" fontId="75" fillId="0" borderId="2" xfId="1" applyNumberFormat="1" applyFont="1" applyFill="1" applyBorder="1" applyAlignment="1"/>
    <xf numFmtId="168" fontId="75" fillId="0" borderId="16" xfId="1" applyNumberFormat="1" applyFont="1" applyFill="1" applyBorder="1" applyAlignment="1"/>
    <xf numFmtId="168" fontId="75" fillId="0" borderId="1" xfId="1" applyNumberFormat="1" applyFont="1" applyFill="1" applyBorder="1" applyAlignment="1"/>
    <xf numFmtId="168" fontId="16" fillId="0" borderId="15" xfId="1" applyNumberFormat="1" applyFont="1" applyFill="1" applyBorder="1" applyAlignment="1">
      <alignment vertical="top" wrapText="1"/>
    </xf>
    <xf numFmtId="168" fontId="75" fillId="0" borderId="15" xfId="1" applyNumberFormat="1" applyFont="1" applyFill="1" applyBorder="1" applyAlignment="1"/>
    <xf numFmtId="168" fontId="16" fillId="0" borderId="0" xfId="1" applyNumberFormat="1" applyFont="1" applyFill="1" applyBorder="1" applyAlignment="1">
      <alignment horizontal="left" vertical="top" wrapText="1" indent="2"/>
    </xf>
    <xf numFmtId="10" fontId="16" fillId="0" borderId="0" xfId="5" applyNumberFormat="1" applyFont="1" applyFill="1" applyBorder="1" applyAlignment="1"/>
    <xf numFmtId="168" fontId="16" fillId="0" borderId="1" xfId="1" applyNumberFormat="1" applyFont="1" applyFill="1" applyBorder="1" applyAlignment="1">
      <alignment vertical="top" wrapText="1"/>
    </xf>
    <xf numFmtId="168" fontId="75" fillId="0" borderId="7" xfId="1" applyNumberFormat="1" applyFont="1" applyFill="1" applyBorder="1" applyAlignment="1"/>
    <xf numFmtId="0" fontId="75" fillId="0" borderId="2" xfId="1" quotePrefix="1" applyNumberFormat="1" applyFont="1" applyFill="1" applyBorder="1" applyAlignment="1">
      <alignment horizontal="center"/>
    </xf>
    <xf numFmtId="0" fontId="75" fillId="0" borderId="0" xfId="0" applyNumberFormat="1" applyFont="1" applyFill="1" applyBorder="1" applyAlignment="1">
      <alignment horizontal="center"/>
    </xf>
    <xf numFmtId="0" fontId="16" fillId="0" borderId="0" xfId="0" applyFont="1" applyFill="1" applyBorder="1" applyAlignment="1">
      <alignment wrapText="1"/>
    </xf>
    <xf numFmtId="168" fontId="16" fillId="0" borderId="0" xfId="1" applyNumberFormat="1" applyFont="1" applyFill="1" applyBorder="1" applyAlignment="1">
      <alignment wrapText="1"/>
    </xf>
    <xf numFmtId="0" fontId="75" fillId="0" borderId="9" xfId="0" applyFont="1" applyFill="1" applyBorder="1" applyAlignment="1">
      <alignment horizontal="center" wrapText="1"/>
    </xf>
    <xf numFmtId="0" fontId="21" fillId="0" borderId="0" xfId="0" applyFont="1" applyFill="1" applyBorder="1" applyAlignment="1">
      <alignment wrapText="1"/>
    </xf>
    <xf numFmtId="0" fontId="16" fillId="0" borderId="4" xfId="0" applyFont="1" applyFill="1" applyBorder="1" applyAlignment="1">
      <alignment wrapText="1"/>
    </xf>
    <xf numFmtId="164" fontId="16" fillId="0" borderId="0" xfId="1" applyFont="1" applyFill="1" applyBorder="1" applyAlignment="1">
      <alignment wrapText="1"/>
    </xf>
    <xf numFmtId="164" fontId="16" fillId="0" borderId="0" xfId="1" applyFont="1" applyFill="1" applyAlignment="1">
      <alignment wrapText="1"/>
    </xf>
    <xf numFmtId="0" fontId="16" fillId="0" borderId="0" xfId="0" applyFont="1" applyFill="1" applyAlignment="1">
      <alignment wrapText="1"/>
    </xf>
    <xf numFmtId="0" fontId="94" fillId="0" borderId="0" xfId="0" applyFont="1" applyFill="1" applyBorder="1" applyAlignment="1">
      <alignment vertical="center"/>
    </xf>
    <xf numFmtId="168" fontId="80" fillId="0" borderId="0" xfId="1" applyNumberFormat="1" applyFont="1" applyFill="1" applyBorder="1" applyAlignment="1">
      <alignment vertical="center"/>
    </xf>
    <xf numFmtId="168" fontId="20" fillId="0" borderId="0" xfId="1" applyNumberFormat="1" applyFont="1" applyFill="1" applyBorder="1" applyAlignment="1">
      <alignment vertical="center"/>
    </xf>
    <xf numFmtId="168" fontId="75" fillId="0" borderId="16" xfId="1" applyNumberFormat="1" applyFont="1" applyFill="1" applyBorder="1" applyAlignment="1">
      <alignment horizontal="center" vertical="center" wrapText="1"/>
    </xf>
    <xf numFmtId="168" fontId="75" fillId="0" borderId="1" xfId="1" applyNumberFormat="1" applyFont="1" applyFill="1" applyBorder="1" applyAlignment="1">
      <alignment horizontal="center" vertical="center"/>
    </xf>
    <xf numFmtId="168" fontId="75" fillId="0" borderId="16" xfId="1" applyNumberFormat="1" applyFont="1" applyFill="1" applyBorder="1" applyAlignment="1">
      <alignment vertical="center"/>
    </xf>
    <xf numFmtId="168" fontId="75" fillId="0" borderId="1" xfId="1" applyNumberFormat="1" applyFont="1" applyFill="1" applyBorder="1" applyAlignment="1">
      <alignment vertical="center"/>
    </xf>
    <xf numFmtId="0" fontId="17" fillId="0" borderId="0" xfId="0" applyFont="1" applyFill="1" applyBorder="1" applyAlignment="1">
      <alignment vertical="center"/>
    </xf>
    <xf numFmtId="164" fontId="75" fillId="0" borderId="0" xfId="1" applyFont="1" applyFill="1" applyBorder="1" applyAlignment="1">
      <alignment horizontal="center" vertical="center"/>
    </xf>
    <xf numFmtId="164" fontId="75" fillId="0" borderId="1" xfId="1" applyFont="1" applyFill="1" applyBorder="1" applyAlignment="1">
      <alignment horizontal="center" vertical="center"/>
    </xf>
    <xf numFmtId="164" fontId="75" fillId="0" borderId="0" xfId="1" applyFont="1" applyFill="1" applyBorder="1" applyAlignment="1">
      <alignment vertical="center"/>
    </xf>
    <xf numFmtId="168" fontId="16" fillId="0" borderId="8" xfId="1" applyNumberFormat="1" applyFont="1" applyFill="1" applyBorder="1" applyAlignment="1">
      <alignment vertical="center"/>
    </xf>
    <xf numFmtId="164" fontId="16" fillId="0" borderId="5" xfId="1" applyFont="1" applyFill="1" applyBorder="1" applyAlignment="1">
      <alignment vertical="center"/>
    </xf>
    <xf numFmtId="164" fontId="16" fillId="0" borderId="13" xfId="1" applyFont="1" applyFill="1" applyBorder="1" applyAlignment="1">
      <alignment vertical="center"/>
    </xf>
    <xf numFmtId="164" fontId="75" fillId="0" borderId="0" xfId="1" applyFont="1" applyFill="1" applyAlignment="1">
      <alignment horizontal="left" vertical="center"/>
    </xf>
    <xf numFmtId="164" fontId="75" fillId="0" borderId="0" xfId="1" applyFont="1" applyFill="1" applyAlignment="1">
      <alignment horizontal="center" vertical="center"/>
    </xf>
    <xf numFmtId="164" fontId="75" fillId="0" borderId="0" xfId="1" applyFont="1" applyFill="1" applyAlignment="1">
      <alignment vertical="center"/>
    </xf>
    <xf numFmtId="0" fontId="75" fillId="0" borderId="0" xfId="0" quotePrefix="1" applyFont="1" applyFill="1" applyBorder="1" applyAlignment="1">
      <alignment vertical="center"/>
    </xf>
    <xf numFmtId="168" fontId="75" fillId="0" borderId="0" xfId="1" quotePrefix="1" applyNumberFormat="1" applyFont="1" applyFill="1" applyBorder="1" applyAlignment="1">
      <alignment vertical="center"/>
    </xf>
    <xf numFmtId="164" fontId="75" fillId="0" borderId="0" xfId="1" quotePrefix="1" applyFont="1" applyFill="1" applyBorder="1" applyAlignment="1">
      <alignment vertical="center"/>
    </xf>
    <xf numFmtId="0" fontId="16" fillId="0" borderId="0" xfId="0" quotePrefix="1" applyFont="1" applyFill="1" applyBorder="1" applyAlignment="1">
      <alignment vertical="center"/>
    </xf>
    <xf numFmtId="168" fontId="16" fillId="0" borderId="15" xfId="1" quotePrefix="1" applyNumberFormat="1" applyFont="1" applyFill="1" applyBorder="1" applyAlignment="1">
      <alignment vertical="center"/>
    </xf>
    <xf numFmtId="164" fontId="16" fillId="0" borderId="0" xfId="1" quotePrefix="1" applyFont="1" applyFill="1" applyBorder="1" applyAlignment="1">
      <alignment vertical="center"/>
    </xf>
    <xf numFmtId="43" fontId="16" fillId="0" borderId="0" xfId="0" applyNumberFormat="1" applyFont="1" applyFill="1" applyAlignment="1">
      <alignment vertical="center"/>
    </xf>
    <xf numFmtId="168" fontId="16" fillId="0" borderId="1" xfId="1" quotePrefix="1" applyNumberFormat="1" applyFont="1" applyFill="1" applyBorder="1" applyAlignment="1">
      <alignment vertical="center"/>
    </xf>
    <xf numFmtId="164" fontId="80" fillId="0" borderId="0" xfId="1" applyFont="1" applyFill="1" applyAlignment="1">
      <alignment vertical="center"/>
    </xf>
    <xf numFmtId="0" fontId="75" fillId="0" borderId="12" xfId="0" applyFont="1" applyFill="1" applyBorder="1" applyAlignment="1">
      <alignment vertical="center"/>
    </xf>
    <xf numFmtId="168" fontId="75" fillId="0" borderId="13" xfId="1" applyNumberFormat="1" applyFont="1" applyFill="1" applyBorder="1" applyAlignment="1">
      <alignment vertical="center"/>
    </xf>
    <xf numFmtId="164" fontId="75" fillId="0" borderId="14" xfId="1" applyFont="1" applyFill="1" applyBorder="1" applyAlignment="1">
      <alignment vertical="center"/>
    </xf>
    <xf numFmtId="168" fontId="75" fillId="0" borderId="14" xfId="1" applyNumberFormat="1" applyFont="1" applyFill="1" applyBorder="1" applyAlignment="1">
      <alignment vertical="center"/>
    </xf>
    <xf numFmtId="0" fontId="16" fillId="0" borderId="9" xfId="0" applyFont="1" applyFill="1" applyBorder="1" applyAlignment="1">
      <alignment horizontal="left" vertical="center"/>
    </xf>
    <xf numFmtId="168" fontId="16" fillId="0" borderId="16" xfId="1" applyNumberFormat="1" applyFont="1" applyFill="1" applyBorder="1" applyAlignment="1">
      <alignment horizontal="left" vertical="center"/>
    </xf>
    <xf numFmtId="164" fontId="16" fillId="0" borderId="4" xfId="1" applyFont="1" applyFill="1" applyBorder="1" applyAlignment="1">
      <alignment horizontal="left" vertical="center"/>
    </xf>
    <xf numFmtId="164" fontId="16" fillId="0" borderId="0" xfId="1" applyFont="1" applyFill="1" applyBorder="1" applyAlignment="1">
      <alignment horizontal="left" vertical="center"/>
    </xf>
    <xf numFmtId="0" fontId="16" fillId="0" borderId="9" xfId="0" applyFont="1" applyFill="1" applyBorder="1" applyAlignment="1">
      <alignment vertical="center"/>
    </xf>
    <xf numFmtId="0" fontId="16" fillId="0" borderId="9" xfId="0" applyFont="1" applyFill="1" applyBorder="1" applyAlignment="1">
      <alignment wrapText="1"/>
    </xf>
    <xf numFmtId="168" fontId="16" fillId="0" borderId="1" xfId="1" applyNumberFormat="1" applyFont="1" applyFill="1" applyBorder="1" applyAlignment="1">
      <alignment horizontal="left" vertical="center"/>
    </xf>
    <xf numFmtId="168" fontId="16" fillId="0" borderId="15" xfId="1" applyNumberFormat="1" applyFont="1" applyFill="1" applyBorder="1" applyAlignment="1">
      <alignment horizontal="left" vertical="center"/>
    </xf>
    <xf numFmtId="0" fontId="16" fillId="0" borderId="8" xfId="0" applyFont="1" applyFill="1" applyBorder="1" applyAlignment="1">
      <alignment vertical="center"/>
    </xf>
    <xf numFmtId="164" fontId="16" fillId="0" borderId="6" xfId="1" applyFont="1" applyFill="1" applyBorder="1" applyAlignment="1">
      <alignment vertical="center"/>
    </xf>
    <xf numFmtId="168" fontId="75" fillId="0" borderId="13" xfId="1" applyNumberFormat="1" applyFont="1" applyFill="1" applyBorder="1" applyAlignment="1">
      <alignment vertical="center" wrapText="1"/>
    </xf>
    <xf numFmtId="164" fontId="75" fillId="0" borderId="14" xfId="1" applyFont="1" applyFill="1" applyBorder="1" applyAlignment="1">
      <alignment vertical="center" wrapText="1"/>
    </xf>
    <xf numFmtId="164" fontId="75" fillId="0" borderId="0" xfId="1" applyFont="1" applyFill="1" applyBorder="1" applyAlignment="1">
      <alignment vertical="center" wrapText="1"/>
    </xf>
    <xf numFmtId="0" fontId="16" fillId="0" borderId="12" xfId="0" applyFont="1" applyFill="1" applyBorder="1" applyAlignment="1">
      <alignment vertical="center"/>
    </xf>
    <xf numFmtId="164" fontId="16" fillId="0" borderId="6" xfId="1" applyFont="1" applyFill="1" applyBorder="1" applyAlignment="1">
      <alignment vertical="center" wrapText="1"/>
    </xf>
    <xf numFmtId="164" fontId="16" fillId="0" borderId="0" xfId="1" applyFont="1" applyFill="1" applyBorder="1" applyAlignment="1">
      <alignment vertical="center" wrapText="1"/>
    </xf>
    <xf numFmtId="168" fontId="16" fillId="0" borderId="0" xfId="1" applyNumberFormat="1" applyFont="1" applyFill="1" applyBorder="1" applyAlignment="1">
      <alignment horizontal="left" vertical="center"/>
    </xf>
    <xf numFmtId="168" fontId="16" fillId="0" borderId="12" xfId="1" applyNumberFormat="1" applyFont="1" applyFill="1" applyBorder="1" applyAlignment="1">
      <alignment vertical="center"/>
    </xf>
    <xf numFmtId="168" fontId="75" fillId="0" borderId="2" xfId="1" applyNumberFormat="1" applyFont="1" applyFill="1" applyBorder="1" applyAlignment="1">
      <alignment vertical="center" wrapText="1"/>
    </xf>
    <xf numFmtId="164" fontId="16" fillId="0" borderId="0" xfId="1" applyFont="1" applyFill="1" applyBorder="1" applyAlignment="1">
      <alignment horizontal="justify" vertical="center" wrapText="1"/>
    </xf>
    <xf numFmtId="174" fontId="16" fillId="0" borderId="0" xfId="1" applyNumberFormat="1" applyFont="1" applyFill="1" applyBorder="1" applyAlignment="1"/>
    <xf numFmtId="174" fontId="16" fillId="0" borderId="0" xfId="0" applyNumberFormat="1" applyFont="1" applyFill="1" applyBorder="1" applyAlignment="1"/>
    <xf numFmtId="164" fontId="16" fillId="0" borderId="0" xfId="1" applyFont="1" applyFill="1" applyBorder="1" applyAlignment="1">
      <alignment horizontal="justify" vertical="justify" wrapText="1"/>
    </xf>
    <xf numFmtId="0" fontId="16" fillId="0" borderId="0" xfId="0" applyFont="1" applyFill="1" applyBorder="1" applyAlignment="1">
      <alignment horizontal="center" vertical="justify" wrapText="1"/>
    </xf>
    <xf numFmtId="0" fontId="16" fillId="0" borderId="0" xfId="0" applyFont="1" applyFill="1" applyBorder="1" applyAlignment="1">
      <alignment horizontal="center"/>
    </xf>
    <xf numFmtId="0" fontId="16" fillId="0" borderId="0" xfId="0" applyFont="1" applyFill="1" applyBorder="1" applyAlignment="1">
      <alignment horizontal="center" vertical="justify"/>
    </xf>
    <xf numFmtId="0" fontId="16" fillId="0" borderId="4" xfId="0" applyFont="1" applyFill="1" applyBorder="1" applyAlignment="1">
      <alignment horizontal="center" vertical="justify"/>
    </xf>
    <xf numFmtId="174" fontId="16" fillId="0" borderId="0" xfId="0" applyNumberFormat="1" applyFont="1" applyFill="1" applyBorder="1" applyAlignment="1">
      <alignment horizontal="center"/>
    </xf>
    <xf numFmtId="168" fontId="16" fillId="0" borderId="4" xfId="1" applyNumberFormat="1" applyFont="1" applyFill="1" applyBorder="1" applyAlignment="1"/>
    <xf numFmtId="168" fontId="16" fillId="0" borderId="7" xfId="1" applyNumberFormat="1" applyFont="1" applyFill="1" applyBorder="1" applyAlignment="1"/>
    <xf numFmtId="164" fontId="82" fillId="0" borderId="0" xfId="1" applyFont="1" applyFill="1" applyBorder="1" applyAlignment="1">
      <alignment vertical="center" wrapText="1"/>
    </xf>
    <xf numFmtId="164" fontId="16" fillId="0" borderId="4" xfId="1" applyFont="1" applyFill="1" applyBorder="1" applyAlignment="1">
      <alignment vertical="center" wrapText="1"/>
    </xf>
    <xf numFmtId="164" fontId="16" fillId="0" borderId="0" xfId="1" applyFont="1" applyFill="1" applyBorder="1" applyAlignment="1">
      <alignment horizontal="left" vertical="center" wrapText="1"/>
    </xf>
    <xf numFmtId="168" fontId="16" fillId="0" borderId="7" xfId="1" applyNumberFormat="1" applyFont="1" applyFill="1" applyBorder="1" applyAlignment="1">
      <alignment vertical="center"/>
    </xf>
    <xf numFmtId="168" fontId="75" fillId="0" borderId="15" xfId="1" applyNumberFormat="1" applyFont="1" applyFill="1" applyBorder="1" applyAlignment="1">
      <alignment vertical="center"/>
    </xf>
    <xf numFmtId="168" fontId="75" fillId="0" borderId="0" xfId="1" applyNumberFormat="1" applyFont="1" applyFill="1" applyAlignment="1">
      <alignment horizontal="center" vertical="center"/>
    </xf>
    <xf numFmtId="164" fontId="17" fillId="0" borderId="0" xfId="1" applyFont="1" applyFill="1" applyBorder="1" applyAlignment="1"/>
    <xf numFmtId="168" fontId="75" fillId="0" borderId="5" xfId="1" applyNumberFormat="1" applyFont="1" applyFill="1" applyBorder="1" applyAlignment="1"/>
    <xf numFmtId="168" fontId="75" fillId="0" borderId="1" xfId="1" applyNumberFormat="1" applyFont="1" applyFill="1" applyBorder="1" applyAlignment="1">
      <alignment horizontal="center" vertical="top" wrapText="1"/>
    </xf>
    <xf numFmtId="168" fontId="75" fillId="0" borderId="3" xfId="1" applyNumberFormat="1" applyFont="1" applyFill="1" applyBorder="1" applyAlignment="1"/>
    <xf numFmtId="0" fontId="16" fillId="0" borderId="12" xfId="0" applyFont="1" applyFill="1" applyBorder="1"/>
    <xf numFmtId="0" fontId="16" fillId="0" borderId="13" xfId="0" applyFont="1" applyFill="1" applyBorder="1"/>
    <xf numFmtId="168" fontId="16" fillId="0" borderId="0" xfId="1" applyNumberFormat="1" applyFont="1" applyFill="1"/>
    <xf numFmtId="0" fontId="16" fillId="0" borderId="9" xfId="0" applyFont="1" applyFill="1" applyBorder="1"/>
    <xf numFmtId="15" fontId="16" fillId="0" borderId="0" xfId="0" applyNumberFormat="1" applyFont="1" applyFill="1" applyBorder="1" applyAlignment="1">
      <alignment horizontal="center"/>
    </xf>
    <xf numFmtId="168" fontId="75" fillId="0" borderId="0" xfId="1" applyNumberFormat="1" applyFont="1" applyFill="1"/>
    <xf numFmtId="0" fontId="21" fillId="0" borderId="0" xfId="0" applyFont="1" applyFill="1" applyBorder="1"/>
    <xf numFmtId="168" fontId="16" fillId="0" borderId="0" xfId="1" applyNumberFormat="1" applyFont="1" applyFill="1" applyAlignment="1">
      <alignment horizontal="center"/>
    </xf>
    <xf numFmtId="0" fontId="91" fillId="0" borderId="0" xfId="0" applyFont="1" applyFill="1" applyBorder="1" applyAlignment="1">
      <alignment horizontal="left" indent="1"/>
    </xf>
    <xf numFmtId="168" fontId="75" fillId="0" borderId="7" xfId="1" applyNumberFormat="1" applyFont="1" applyFill="1" applyBorder="1" applyAlignment="1">
      <alignment horizontal="center"/>
    </xf>
    <xf numFmtId="0" fontId="75" fillId="0" borderId="0" xfId="0" applyFont="1" applyFill="1" applyBorder="1" applyAlignment="1">
      <alignment horizontal="left" indent="1"/>
    </xf>
    <xf numFmtId="0" fontId="91" fillId="0" borderId="0" xfId="0" applyFont="1" applyFill="1" applyBorder="1" applyAlignment="1">
      <alignment vertical="center"/>
    </xf>
    <xf numFmtId="168" fontId="91" fillId="0" borderId="0" xfId="1" applyNumberFormat="1" applyFont="1" applyFill="1" applyBorder="1" applyAlignment="1">
      <alignment horizontal="right" vertical="center" wrapText="1"/>
    </xf>
    <xf numFmtId="164" fontId="21" fillId="0" borderId="0" xfId="1" applyFont="1" applyFill="1" applyBorder="1" applyAlignment="1"/>
    <xf numFmtId="0" fontId="21" fillId="0" borderId="0" xfId="0" applyFont="1" applyFill="1" applyBorder="1" applyAlignment="1">
      <alignment vertical="center"/>
    </xf>
    <xf numFmtId="168" fontId="21" fillId="0" borderId="0" xfId="1" applyNumberFormat="1" applyFont="1" applyFill="1" applyBorder="1" applyAlignment="1">
      <alignment horizontal="right" vertical="center" wrapText="1"/>
    </xf>
    <xf numFmtId="168" fontId="21" fillId="0" borderId="0" xfId="1" applyNumberFormat="1" applyFont="1" applyFill="1" applyBorder="1"/>
    <xf numFmtId="0" fontId="91" fillId="0" borderId="0" xfId="0" applyFont="1" applyFill="1" applyBorder="1"/>
    <xf numFmtId="0" fontId="21" fillId="0" borderId="0" xfId="0" applyFont="1" applyFill="1" applyBorder="1" applyAlignment="1"/>
    <xf numFmtId="164" fontId="16" fillId="0" borderId="0" xfId="1" applyFont="1" applyFill="1" applyBorder="1" applyAlignment="1">
      <alignment horizontal="right" vertical="center" wrapText="1"/>
    </xf>
    <xf numFmtId="0" fontId="16" fillId="0" borderId="0" xfId="0" applyFont="1" applyFill="1" applyBorder="1" applyAlignment="1">
      <alignment horizontal="right" vertical="center" wrapText="1"/>
    </xf>
    <xf numFmtId="168" fontId="75" fillId="0" borderId="5" xfId="1" applyNumberFormat="1" applyFont="1" applyFill="1" applyBorder="1" applyAlignment="1">
      <alignment horizontal="center"/>
    </xf>
    <xf numFmtId="168" fontId="75" fillId="0" borderId="43" xfId="1" applyNumberFormat="1" applyFont="1" applyFill="1" applyBorder="1" applyAlignment="1">
      <alignment horizontal="center"/>
    </xf>
    <xf numFmtId="0" fontId="16" fillId="0" borderId="5" xfId="0" applyFont="1" applyFill="1" applyBorder="1"/>
    <xf numFmtId="0" fontId="16" fillId="0" borderId="0" xfId="0" applyFont="1" applyFill="1" applyAlignment="1">
      <alignment horizontal="center"/>
    </xf>
    <xf numFmtId="43" fontId="16" fillId="0" borderId="0" xfId="0" applyNumberFormat="1" applyFont="1" applyFill="1"/>
    <xf numFmtId="0" fontId="95" fillId="0" borderId="0" xfId="0" applyFont="1" applyFill="1"/>
    <xf numFmtId="0" fontId="16" fillId="0" borderId="0" xfId="0" quotePrefix="1" applyFont="1" applyFill="1"/>
    <xf numFmtId="168" fontId="16" fillId="0" borderId="0" xfId="1" quotePrefix="1" applyNumberFormat="1" applyFont="1" applyFill="1" applyAlignment="1">
      <alignment horizontal="center"/>
    </xf>
    <xf numFmtId="168" fontId="16" fillId="0" borderId="0" xfId="0" applyNumberFormat="1" applyFont="1" applyFill="1"/>
    <xf numFmtId="168" fontId="75" fillId="0" borderId="16" xfId="1" applyNumberFormat="1" applyFont="1" applyFill="1" applyBorder="1"/>
    <xf numFmtId="168" fontId="75" fillId="0" borderId="1" xfId="1" applyNumberFormat="1" applyFont="1" applyFill="1" applyBorder="1"/>
    <xf numFmtId="168" fontId="75" fillId="0" borderId="15" xfId="1" applyNumberFormat="1" applyFont="1" applyFill="1" applyBorder="1"/>
    <xf numFmtId="0" fontId="21" fillId="0" borderId="12" xfId="0" applyFont="1" applyFill="1" applyBorder="1" applyAlignment="1"/>
    <xf numFmtId="166" fontId="91" fillId="0" borderId="13" xfId="0" applyNumberFormat="1" applyFont="1" applyFill="1" applyBorder="1" applyAlignment="1"/>
    <xf numFmtId="0" fontId="21" fillId="0" borderId="14" xfId="0" applyFont="1" applyFill="1" applyBorder="1" applyAlignment="1">
      <alignment vertical="center"/>
    </xf>
    <xf numFmtId="168" fontId="21" fillId="0" borderId="0" xfId="1" applyNumberFormat="1" applyFont="1" applyFill="1" applyBorder="1" applyAlignment="1"/>
    <xf numFmtId="0" fontId="21" fillId="0" borderId="9" xfId="0" applyFont="1" applyFill="1" applyBorder="1" applyAlignment="1"/>
    <xf numFmtId="166" fontId="91" fillId="0" borderId="0" xfId="0" applyNumberFormat="1" applyFont="1" applyFill="1" applyBorder="1" applyAlignment="1"/>
    <xf numFmtId="0" fontId="21" fillId="0" borderId="4" xfId="0" applyFont="1" applyFill="1" applyBorder="1" applyAlignment="1">
      <alignment vertical="center"/>
    </xf>
    <xf numFmtId="166" fontId="91" fillId="0" borderId="0" xfId="0" quotePrefix="1" applyNumberFormat="1" applyFont="1" applyFill="1" applyBorder="1" applyAlignment="1"/>
    <xf numFmtId="0" fontId="21" fillId="0" borderId="0" xfId="0" applyFont="1" applyFill="1" applyBorder="1" applyAlignment="1">
      <alignment horizontal="center" vertical="center"/>
    </xf>
    <xf numFmtId="168" fontId="21" fillId="0" borderId="0" xfId="1" applyNumberFormat="1" applyFont="1" applyFill="1" applyBorder="1" applyAlignment="1">
      <alignment horizontal="center" vertical="center"/>
    </xf>
    <xf numFmtId="168" fontId="21" fillId="0" borderId="0" xfId="1" applyNumberFormat="1" applyFont="1" applyFill="1" applyBorder="1" applyAlignment="1">
      <alignment vertical="center"/>
    </xf>
    <xf numFmtId="168" fontId="21" fillId="0" borderId="0" xfId="0" applyNumberFormat="1" applyFont="1" applyFill="1" applyBorder="1" applyAlignment="1">
      <alignment vertical="center"/>
    </xf>
    <xf numFmtId="0" fontId="91" fillId="0" borderId="9" xfId="0" applyFont="1" applyFill="1" applyBorder="1" applyAlignment="1"/>
    <xf numFmtId="0" fontId="91" fillId="0" borderId="0" xfId="0" applyFont="1" applyFill="1" applyBorder="1" applyAlignment="1"/>
    <xf numFmtId="0" fontId="91" fillId="0" borderId="0" xfId="0" applyFont="1" applyFill="1" applyBorder="1" applyAlignment="1">
      <alignment horizontal="center" vertical="center"/>
    </xf>
    <xf numFmtId="168" fontId="91" fillId="0" borderId="0" xfId="1" applyNumberFormat="1" applyFont="1" applyFill="1" applyBorder="1" applyAlignment="1">
      <alignment horizontal="center" vertical="center"/>
    </xf>
    <xf numFmtId="168" fontId="91" fillId="0" borderId="0" xfId="0" applyNumberFormat="1" applyFont="1" applyFill="1" applyBorder="1" applyAlignment="1">
      <alignment horizontal="center" vertical="center"/>
    </xf>
    <xf numFmtId="0" fontId="91" fillId="0" borderId="4" xfId="0" applyFont="1" applyFill="1" applyBorder="1" applyAlignment="1">
      <alignment vertical="center"/>
    </xf>
    <xf numFmtId="168" fontId="91" fillId="0" borderId="0" xfId="1" applyNumberFormat="1" applyFont="1" applyFill="1" applyBorder="1" applyAlignment="1"/>
    <xf numFmtId="164" fontId="91" fillId="0" borderId="0" xfId="1" applyFont="1" applyFill="1" applyBorder="1" applyAlignment="1"/>
    <xf numFmtId="168" fontId="91" fillId="0" borderId="2" xfId="1" quotePrefix="1" applyNumberFormat="1" applyFont="1" applyFill="1" applyBorder="1" applyAlignment="1">
      <alignment horizontal="center" vertical="center"/>
    </xf>
    <xf numFmtId="168" fontId="91" fillId="0" borderId="0" xfId="0" applyNumberFormat="1" applyFont="1" applyFill="1" applyBorder="1" applyAlignment="1">
      <alignment vertical="center"/>
    </xf>
    <xf numFmtId="168" fontId="91" fillId="0" borderId="0" xfId="1" applyNumberFormat="1" applyFont="1" applyFill="1" applyBorder="1" applyAlignment="1">
      <alignment vertical="center"/>
    </xf>
    <xf numFmtId="0" fontId="16" fillId="0" borderId="14" xfId="0" applyFont="1" applyFill="1" applyBorder="1" applyAlignment="1">
      <alignment horizontal="center" vertical="center"/>
    </xf>
    <xf numFmtId="168" fontId="21" fillId="0" borderId="16" xfId="1" applyNumberFormat="1" applyFont="1" applyFill="1" applyBorder="1" applyAlignment="1">
      <alignment horizontal="center" vertical="center"/>
    </xf>
    <xf numFmtId="168" fontId="21" fillId="0" borderId="16" xfId="1" applyNumberFormat="1" applyFont="1" applyFill="1" applyBorder="1" applyAlignment="1">
      <alignment horizontal="right" vertical="center" wrapText="1"/>
    </xf>
    <xf numFmtId="0" fontId="16" fillId="0" borderId="4" xfId="0" applyFont="1" applyFill="1" applyBorder="1" applyAlignment="1">
      <alignment horizontal="center" vertical="center"/>
    </xf>
    <xf numFmtId="168" fontId="21" fillId="0" borderId="1" xfId="1" applyNumberFormat="1" applyFont="1" applyFill="1" applyBorder="1" applyAlignment="1">
      <alignment horizontal="center" vertical="center"/>
    </xf>
    <xf numFmtId="168" fontId="21" fillId="0" borderId="1" xfId="1" applyNumberFormat="1" applyFont="1" applyFill="1" applyBorder="1" applyAlignment="1">
      <alignment horizontal="right" vertical="center" wrapText="1"/>
    </xf>
    <xf numFmtId="0" fontId="16" fillId="0" borderId="6" xfId="0" applyFont="1" applyFill="1" applyBorder="1" applyAlignment="1">
      <alignment horizontal="center" vertical="center"/>
    </xf>
    <xf numFmtId="168" fontId="21" fillId="0" borderId="15" xfId="1" applyNumberFormat="1" applyFont="1" applyFill="1" applyBorder="1" applyAlignment="1">
      <alignment horizontal="center" vertical="center"/>
    </xf>
    <xf numFmtId="168" fontId="21" fillId="0" borderId="15" xfId="1" applyNumberFormat="1" applyFont="1" applyFill="1" applyBorder="1" applyAlignment="1">
      <alignment horizontal="right" vertical="center" wrapText="1"/>
    </xf>
    <xf numFmtId="0" fontId="91" fillId="0" borderId="11" xfId="0" applyFont="1" applyFill="1" applyBorder="1" applyAlignment="1">
      <alignment horizontal="center" vertical="center"/>
    </xf>
    <xf numFmtId="168" fontId="91" fillId="0" borderId="15" xfId="1" applyNumberFormat="1" applyFont="1" applyFill="1" applyBorder="1" applyAlignment="1">
      <alignment horizontal="right" vertical="center" wrapText="1"/>
    </xf>
    <xf numFmtId="168" fontId="91" fillId="0" borderId="6" xfId="1" applyNumberFormat="1" applyFont="1" applyFill="1" applyBorder="1" applyAlignment="1">
      <alignment horizontal="right" vertical="center" wrapText="1"/>
    </xf>
    <xf numFmtId="168" fontId="91" fillId="0" borderId="0" xfId="0" applyNumberFormat="1" applyFont="1" applyFill="1" applyBorder="1" applyAlignment="1">
      <alignment vertical="center" wrapText="1"/>
    </xf>
    <xf numFmtId="0" fontId="91" fillId="0" borderId="4" xfId="0" applyFont="1" applyFill="1" applyBorder="1" applyAlignment="1">
      <alignment horizontal="center" vertical="center"/>
    </xf>
    <xf numFmtId="168" fontId="91" fillId="0" borderId="9" xfId="1" applyNumberFormat="1" applyFont="1" applyFill="1" applyBorder="1" applyAlignment="1">
      <alignment horizontal="right" vertical="center" wrapText="1"/>
    </xf>
    <xf numFmtId="168" fontId="91" fillId="0" borderId="67" xfId="1" applyNumberFormat="1" applyFont="1" applyFill="1" applyBorder="1" applyAlignment="1">
      <alignment horizontal="right" vertical="center" wrapText="1"/>
    </xf>
    <xf numFmtId="168" fontId="91" fillId="0" borderId="7" xfId="1" applyNumberFormat="1" applyFont="1" applyFill="1" applyBorder="1" applyAlignment="1">
      <alignment horizontal="right" vertical="center" wrapText="1"/>
    </xf>
    <xf numFmtId="0" fontId="21" fillId="0" borderId="4" xfId="0" applyFont="1" applyFill="1" applyBorder="1" applyAlignment="1">
      <alignment horizontal="center" vertical="center"/>
    </xf>
    <xf numFmtId="168" fontId="21" fillId="0" borderId="9" xfId="1" applyNumberFormat="1" applyFont="1" applyFill="1" applyBorder="1" applyAlignment="1">
      <alignment horizontal="center" vertical="center"/>
    </xf>
    <xf numFmtId="168" fontId="91" fillId="0" borderId="2" xfId="1" applyNumberFormat="1" applyFont="1" applyFill="1" applyBorder="1" applyAlignment="1">
      <alignment horizontal="right" vertical="center" wrapText="1"/>
    </xf>
    <xf numFmtId="168" fontId="21" fillId="0" borderId="2" xfId="1" applyNumberFormat="1" applyFont="1" applyFill="1" applyBorder="1" applyAlignment="1">
      <alignment horizontal="center" vertical="center"/>
    </xf>
    <xf numFmtId="168" fontId="21" fillId="0" borderId="2" xfId="1" applyNumberFormat="1" applyFont="1" applyFill="1" applyBorder="1" applyAlignment="1">
      <alignment horizontal="right" vertical="center" wrapText="1"/>
    </xf>
    <xf numFmtId="168" fontId="91" fillId="0" borderId="9" xfId="1" applyNumberFormat="1" applyFont="1" applyFill="1" applyBorder="1" applyAlignment="1">
      <alignment horizontal="center" vertical="center"/>
    </xf>
    <xf numFmtId="168" fontId="91" fillId="0" borderId="16" xfId="1" applyNumberFormat="1" applyFont="1" applyFill="1" applyBorder="1" applyAlignment="1">
      <alignment horizontal="right" vertical="center" wrapText="1"/>
    </xf>
    <xf numFmtId="0" fontId="91" fillId="0" borderId="6" xfId="0" applyFont="1" applyFill="1" applyBorder="1" applyAlignment="1">
      <alignment horizontal="center" vertical="center"/>
    </xf>
    <xf numFmtId="0" fontId="21" fillId="0" borderId="11" xfId="0" applyFont="1" applyFill="1" applyBorder="1" applyAlignment="1">
      <alignment horizontal="center" vertical="center"/>
    </xf>
    <xf numFmtId="0" fontId="21" fillId="0" borderId="8" xfId="0" applyFont="1" applyFill="1" applyBorder="1" applyAlignment="1"/>
    <xf numFmtId="0" fontId="21" fillId="0" borderId="5" xfId="0" applyFont="1" applyFill="1" applyBorder="1" applyAlignment="1"/>
    <xf numFmtId="0" fontId="21" fillId="0" borderId="5" xfId="0" applyFont="1" applyFill="1" applyBorder="1" applyAlignment="1">
      <alignment horizontal="center" vertical="center"/>
    </xf>
    <xf numFmtId="168" fontId="21" fillId="0" borderId="5" xfId="1" applyNumberFormat="1" applyFont="1" applyFill="1" applyBorder="1" applyAlignment="1">
      <alignment horizontal="center" vertical="center"/>
    </xf>
    <xf numFmtId="0" fontId="21" fillId="0" borderId="5" xfId="0" applyFont="1" applyFill="1" applyBorder="1" applyAlignment="1">
      <alignment vertical="center"/>
    </xf>
    <xf numFmtId="168" fontId="21" fillId="0" borderId="5" xfId="1" applyNumberFormat="1" applyFont="1" applyFill="1" applyBorder="1" applyAlignment="1">
      <alignment vertical="center"/>
    </xf>
    <xf numFmtId="168" fontId="21" fillId="0" borderId="5" xfId="0" applyNumberFormat="1" applyFont="1" applyFill="1" applyBorder="1" applyAlignment="1">
      <alignment vertical="center"/>
    </xf>
    <xf numFmtId="0" fontId="21" fillId="0" borderId="6" xfId="0" applyFont="1" applyFill="1" applyBorder="1" applyAlignment="1">
      <alignment vertical="center"/>
    </xf>
    <xf numFmtId="0" fontId="21" fillId="0" borderId="0" xfId="0" applyFont="1" applyFill="1" applyBorder="1" applyAlignment="1">
      <alignment horizontal="center"/>
    </xf>
    <xf numFmtId="168" fontId="21" fillId="0" borderId="0" xfId="1" applyNumberFormat="1" applyFont="1" applyFill="1" applyBorder="1" applyAlignment="1">
      <alignment horizontal="center"/>
    </xf>
    <xf numFmtId="168" fontId="21" fillId="0" borderId="0" xfId="0" applyNumberFormat="1" applyFont="1" applyFill="1" applyBorder="1" applyAlignment="1"/>
    <xf numFmtId="0" fontId="16" fillId="0" borderId="0" xfId="0" applyFont="1" applyFill="1" applyBorder="1" applyAlignment="1">
      <alignment horizontal="left"/>
    </xf>
    <xf numFmtId="0" fontId="96" fillId="0" borderId="2" xfId="0" applyFont="1" applyFill="1" applyBorder="1" applyAlignment="1">
      <alignment horizontal="center" vertical="top" wrapText="1"/>
    </xf>
    <xf numFmtId="0" fontId="96" fillId="0" borderId="2" xfId="0" applyFont="1" applyFill="1" applyBorder="1" applyAlignment="1">
      <alignment horizontal="left" vertical="top" wrapText="1"/>
    </xf>
    <xf numFmtId="168" fontId="96" fillId="0" borderId="2" xfId="1" applyNumberFormat="1" applyFont="1" applyFill="1" applyBorder="1" applyAlignment="1">
      <alignment horizontal="center" vertical="top" wrapText="1"/>
    </xf>
    <xf numFmtId="0" fontId="96" fillId="0" borderId="4" xfId="0" applyFont="1" applyFill="1" applyBorder="1" applyAlignment="1">
      <alignment horizontal="center" vertical="top" wrapText="1"/>
    </xf>
    <xf numFmtId="0" fontId="96" fillId="0" borderId="9" xfId="0" applyFont="1" applyFill="1" applyBorder="1" applyAlignment="1">
      <alignment vertical="top"/>
    </xf>
    <xf numFmtId="0" fontId="96" fillId="0" borderId="0" xfId="0" applyFont="1" applyFill="1" applyBorder="1" applyAlignment="1">
      <alignment vertical="top"/>
    </xf>
    <xf numFmtId="0" fontId="96" fillId="0" borderId="0" xfId="0" applyFont="1" applyFill="1" applyBorder="1" applyAlignment="1">
      <alignment horizontal="center" vertical="top"/>
    </xf>
    <xf numFmtId="0" fontId="96" fillId="0" borderId="0" xfId="0" applyFont="1" applyFill="1" applyBorder="1" applyAlignment="1">
      <alignment horizontal="left" vertical="top"/>
    </xf>
    <xf numFmtId="168" fontId="96" fillId="0" borderId="0" xfId="1" applyNumberFormat="1" applyFont="1" applyFill="1" applyBorder="1" applyAlignment="1">
      <alignment horizontal="center" vertical="top"/>
    </xf>
    <xf numFmtId="168" fontId="96" fillId="0" borderId="4" xfId="1" applyNumberFormat="1" applyFont="1" applyFill="1" applyBorder="1" applyAlignment="1">
      <alignment horizontal="center" vertical="top"/>
    </xf>
    <xf numFmtId="0" fontId="96" fillId="0" borderId="4" xfId="0" applyFont="1" applyFill="1" applyBorder="1" applyAlignment="1">
      <alignment horizontal="center" vertical="top"/>
    </xf>
    <xf numFmtId="168" fontId="16" fillId="0" borderId="4" xfId="1" applyNumberFormat="1" applyFont="1" applyFill="1" applyBorder="1"/>
    <xf numFmtId="0" fontId="97" fillId="0" borderId="9" xfId="0" applyFont="1" applyFill="1" applyBorder="1" applyAlignment="1">
      <alignment horizontal="left" vertical="top"/>
    </xf>
    <xf numFmtId="0" fontId="98" fillId="0" borderId="0" xfId="0" applyFont="1" applyFill="1" applyBorder="1" applyAlignment="1">
      <alignment horizontal="center" vertical="top"/>
    </xf>
    <xf numFmtId="10" fontId="98" fillId="0" borderId="0" xfId="5" applyNumberFormat="1" applyFont="1" applyFill="1" applyBorder="1" applyAlignment="1">
      <alignment vertical="top"/>
    </xf>
    <xf numFmtId="0" fontId="98" fillId="0" borderId="0" xfId="0" applyFont="1" applyFill="1" applyBorder="1" applyAlignment="1">
      <alignment horizontal="left" vertical="top"/>
    </xf>
    <xf numFmtId="14" fontId="98" fillId="0" borderId="0" xfId="0" applyNumberFormat="1" applyFont="1" applyFill="1" applyBorder="1" applyAlignment="1">
      <alignment horizontal="center" vertical="top"/>
    </xf>
    <xf numFmtId="168" fontId="98" fillId="0" borderId="0" xfId="1" applyNumberFormat="1" applyFont="1" applyFill="1" applyBorder="1" applyAlignment="1">
      <alignment horizontal="right" vertical="top"/>
    </xf>
    <xf numFmtId="168" fontId="98" fillId="0" borderId="4" xfId="1" applyNumberFormat="1" applyFont="1" applyFill="1" applyBorder="1" applyAlignment="1">
      <alignment horizontal="right" vertical="top"/>
    </xf>
    <xf numFmtId="0" fontId="98" fillId="0" borderId="4" xfId="0" applyFont="1" applyFill="1" applyBorder="1" applyAlignment="1">
      <alignment horizontal="right" vertical="top"/>
    </xf>
    <xf numFmtId="0" fontId="99" fillId="0" borderId="9" xfId="0" applyFont="1" applyFill="1" applyBorder="1"/>
    <xf numFmtId="0" fontId="99" fillId="0" borderId="0" xfId="0" applyFont="1" applyFill="1" applyBorder="1" applyAlignment="1">
      <alignment horizontal="center" vertical="top"/>
    </xf>
    <xf numFmtId="10" fontId="99" fillId="0" borderId="0" xfId="5" applyNumberFormat="1" applyFont="1" applyFill="1" applyBorder="1" applyAlignment="1">
      <alignment vertical="top"/>
    </xf>
    <xf numFmtId="0" fontId="99" fillId="0" borderId="0" xfId="0" applyFont="1" applyFill="1" applyBorder="1" applyAlignment="1">
      <alignment horizontal="right"/>
    </xf>
    <xf numFmtId="0" fontId="99" fillId="0" borderId="0" xfId="0" applyFont="1" applyFill="1" applyBorder="1"/>
    <xf numFmtId="174" fontId="99" fillId="0" borderId="0" xfId="0" applyNumberFormat="1" applyFont="1" applyFill="1" applyBorder="1"/>
    <xf numFmtId="168" fontId="99" fillId="0" borderId="0" xfId="1" applyNumberFormat="1" applyFont="1" applyFill="1" applyBorder="1" applyAlignment="1">
      <alignment horizontal="right" vertical="top"/>
    </xf>
    <xf numFmtId="164" fontId="99" fillId="0" borderId="0" xfId="1" applyFont="1" applyFill="1" applyBorder="1" applyAlignment="1">
      <alignment vertical="top"/>
    </xf>
    <xf numFmtId="175" fontId="99" fillId="0" borderId="0" xfId="1" applyNumberFormat="1" applyFont="1" applyFill="1" applyBorder="1" applyAlignment="1">
      <alignment horizontal="right" vertical="top"/>
    </xf>
    <xf numFmtId="168" fontId="99" fillId="0" borderId="4" xfId="1" applyNumberFormat="1" applyFont="1" applyFill="1" applyBorder="1" applyAlignment="1">
      <alignment horizontal="right" vertical="top"/>
    </xf>
    <xf numFmtId="0" fontId="99" fillId="0" borderId="4" xfId="0" applyFont="1" applyFill="1" applyBorder="1" applyAlignment="1">
      <alignment horizontal="right" vertical="top"/>
    </xf>
    <xf numFmtId="175" fontId="99" fillId="0" borderId="0" xfId="1" applyNumberFormat="1" applyFont="1" applyFill="1" applyBorder="1" applyAlignment="1">
      <alignment vertical="top"/>
    </xf>
    <xf numFmtId="164" fontId="99" fillId="0" borderId="0" xfId="1" applyFont="1" applyFill="1" applyBorder="1"/>
    <xf numFmtId="164" fontId="99" fillId="0" borderId="0" xfId="1" applyFont="1" applyFill="1" applyBorder="1" applyAlignment="1">
      <alignment horizontal="right" vertical="top"/>
    </xf>
    <xf numFmtId="168" fontId="100" fillId="0" borderId="10" xfId="1" applyNumberFormat="1" applyFont="1" applyFill="1" applyBorder="1" applyAlignment="1">
      <alignment horizontal="right" vertical="top"/>
    </xf>
    <xf numFmtId="0" fontId="100" fillId="0" borderId="4" xfId="0" applyFont="1" applyFill="1" applyBorder="1" applyAlignment="1">
      <alignment horizontal="right" vertical="top"/>
    </xf>
    <xf numFmtId="43" fontId="16" fillId="0" borderId="0" xfId="0" applyNumberFormat="1" applyFont="1" applyFill="1" applyAlignment="1"/>
    <xf numFmtId="0" fontId="99" fillId="0" borderId="9" xfId="0" applyFont="1" applyFill="1" applyBorder="1" applyAlignment="1">
      <alignment vertical="top"/>
    </xf>
    <xf numFmtId="0" fontId="99" fillId="0" borderId="0" xfId="0" applyFont="1" applyFill="1" applyBorder="1" applyAlignment="1">
      <alignment horizontal="right" vertical="top"/>
    </xf>
    <xf numFmtId="0" fontId="99" fillId="0" borderId="0" xfId="0" applyFont="1" applyFill="1" applyBorder="1" applyAlignment="1">
      <alignment vertical="top"/>
    </xf>
    <xf numFmtId="0" fontId="100" fillId="0" borderId="0" xfId="0" applyFont="1" applyFill="1" applyBorder="1" applyAlignment="1">
      <alignment vertical="top"/>
    </xf>
    <xf numFmtId="168" fontId="100" fillId="0" borderId="11" xfId="1" applyNumberFormat="1" applyFont="1" applyFill="1" applyBorder="1" applyAlignment="1">
      <alignment horizontal="right" vertical="top"/>
    </xf>
    <xf numFmtId="0" fontId="100" fillId="0" borderId="4" xfId="0" applyFont="1" applyFill="1" applyBorder="1" applyAlignment="1">
      <alignment vertical="top"/>
    </xf>
    <xf numFmtId="0" fontId="99" fillId="0" borderId="5" xfId="0" applyFont="1" applyFill="1" applyBorder="1" applyAlignment="1">
      <alignment horizontal="right" vertical="top" wrapText="1"/>
    </xf>
    <xf numFmtId="0" fontId="99" fillId="0" borderId="5" xfId="0" applyFont="1" applyFill="1" applyBorder="1" applyAlignment="1">
      <alignment vertical="top" wrapText="1"/>
    </xf>
    <xf numFmtId="168" fontId="99" fillId="0" borderId="5" xfId="1" applyNumberFormat="1" applyFont="1" applyFill="1" applyBorder="1" applyAlignment="1">
      <alignment vertical="top" wrapText="1"/>
    </xf>
    <xf numFmtId="168" fontId="99" fillId="0" borderId="6" xfId="1" applyNumberFormat="1" applyFont="1" applyFill="1" applyBorder="1" applyAlignment="1">
      <alignment vertical="top" wrapText="1"/>
    </xf>
    <xf numFmtId="0" fontId="99" fillId="0" borderId="6" xfId="0" applyFont="1" applyFill="1" applyBorder="1" applyAlignment="1">
      <alignment vertical="top" wrapText="1"/>
    </xf>
    <xf numFmtId="0" fontId="16" fillId="0" borderId="0" xfId="0" applyFont="1" applyFill="1" applyAlignment="1">
      <alignment horizontal="left"/>
    </xf>
    <xf numFmtId="164" fontId="101" fillId="0" borderId="0" xfId="1" applyFont="1" applyFill="1"/>
    <xf numFmtId="0" fontId="102" fillId="0" borderId="9" xfId="0" applyFont="1" applyFill="1" applyBorder="1" applyAlignment="1">
      <alignment horizontal="center" vertical="center" wrapText="1"/>
    </xf>
    <xf numFmtId="168" fontId="102" fillId="0" borderId="0" xfId="1" applyNumberFormat="1" applyFont="1" applyFill="1" applyBorder="1" applyAlignment="1">
      <alignment horizontal="center" vertical="center" wrapText="1"/>
    </xf>
    <xf numFmtId="0" fontId="102" fillId="0" borderId="0" xfId="0" applyFont="1" applyFill="1" applyBorder="1" applyAlignment="1">
      <alignment horizontal="center" vertical="center" wrapText="1"/>
    </xf>
    <xf numFmtId="0" fontId="102" fillId="0" borderId="4" xfId="0" applyFont="1" applyFill="1" applyBorder="1" applyAlignment="1">
      <alignment vertical="center" wrapText="1"/>
    </xf>
    <xf numFmtId="164" fontId="102" fillId="0" borderId="0" xfId="1" applyFont="1" applyFill="1" applyBorder="1" applyAlignment="1">
      <alignment vertical="center" wrapText="1"/>
    </xf>
    <xf numFmtId="168" fontId="75" fillId="0" borderId="9" xfId="1" applyNumberFormat="1" applyFont="1" applyFill="1" applyBorder="1" applyAlignment="1">
      <alignment vertical="center" wrapText="1"/>
    </xf>
    <xf numFmtId="164" fontId="103" fillId="0" borderId="0" xfId="1" applyFont="1" applyFill="1" applyBorder="1" applyAlignment="1">
      <alignment vertical="center" wrapText="1"/>
    </xf>
    <xf numFmtId="168" fontId="75" fillId="0" borderId="9" xfId="1" applyNumberFormat="1" applyFont="1" applyFill="1" applyBorder="1" applyAlignment="1">
      <alignment horizontal="center" vertical="center" wrapText="1"/>
    </xf>
    <xf numFmtId="164" fontId="103" fillId="0" borderId="0" xfId="1" applyFont="1" applyFill="1" applyBorder="1" applyAlignment="1">
      <alignment horizontal="center" vertical="center" wrapText="1"/>
    </xf>
    <xf numFmtId="168" fontId="75" fillId="0" borderId="4" xfId="1" applyNumberFormat="1" applyFont="1" applyFill="1" applyBorder="1" applyAlignment="1">
      <alignment horizontal="right" vertical="center" wrapText="1"/>
    </xf>
    <xf numFmtId="164" fontId="103" fillId="0" borderId="0" xfId="1" applyFont="1" applyFill="1" applyBorder="1" applyAlignment="1">
      <alignment horizontal="right" vertical="center" wrapText="1"/>
    </xf>
    <xf numFmtId="168" fontId="16" fillId="0" borderId="9" xfId="1" applyNumberFormat="1" applyFont="1" applyFill="1" applyBorder="1" applyAlignment="1">
      <alignment vertical="center" wrapText="1"/>
    </xf>
    <xf numFmtId="168" fontId="16" fillId="0" borderId="12" xfId="1" applyNumberFormat="1" applyFont="1" applyFill="1" applyBorder="1" applyAlignment="1">
      <alignment vertical="center" wrapText="1"/>
    </xf>
    <xf numFmtId="164" fontId="104" fillId="0" borderId="0" xfId="1" applyFont="1" applyFill="1" applyBorder="1" applyAlignment="1">
      <alignment horizontal="right" vertical="center" wrapText="1"/>
    </xf>
    <xf numFmtId="168" fontId="16" fillId="0" borderId="0" xfId="1" applyNumberFormat="1" applyFont="1" applyFill="1" applyBorder="1" applyAlignment="1">
      <alignment horizontal="center" vertical="center" wrapText="1"/>
    </xf>
    <xf numFmtId="168" fontId="16" fillId="0" borderId="8" xfId="1" applyNumberFormat="1" applyFont="1" applyFill="1" applyBorder="1" applyAlignment="1">
      <alignment vertical="center" wrapText="1"/>
    </xf>
    <xf numFmtId="168" fontId="16" fillId="0" borderId="4" xfId="1" applyNumberFormat="1" applyFont="1" applyFill="1" applyBorder="1" applyAlignment="1">
      <alignment horizontal="right" vertical="center" wrapText="1"/>
    </xf>
    <xf numFmtId="164" fontId="104" fillId="0" borderId="0" xfId="1" applyFont="1" applyFill="1" applyAlignment="1">
      <alignment vertical="center"/>
    </xf>
    <xf numFmtId="0" fontId="104" fillId="0" borderId="0" xfId="0" applyFont="1" applyFill="1" applyAlignment="1">
      <alignment vertical="center"/>
    </xf>
    <xf numFmtId="164" fontId="105" fillId="0" borderId="0" xfId="1" applyFont="1" applyFill="1" applyBorder="1" applyAlignment="1">
      <alignment horizontal="right" vertical="center" wrapText="1"/>
    </xf>
    <xf numFmtId="168" fontId="75" fillId="0" borderId="8" xfId="1" applyNumberFormat="1" applyFont="1" applyFill="1" applyBorder="1" applyAlignment="1">
      <alignment vertical="center" wrapText="1"/>
    </xf>
    <xf numFmtId="168" fontId="75" fillId="0" borderId="5" xfId="1" applyNumberFormat="1" applyFont="1" applyFill="1" applyBorder="1" applyAlignment="1">
      <alignment horizontal="right" vertical="center" wrapText="1"/>
    </xf>
    <xf numFmtId="168" fontId="75" fillId="0" borderId="6" xfId="1" applyNumberFormat="1" applyFont="1" applyFill="1" applyBorder="1" applyAlignment="1">
      <alignment horizontal="right" vertical="center" wrapText="1"/>
    </xf>
    <xf numFmtId="164" fontId="106" fillId="0" borderId="0" xfId="1" applyFont="1" applyFill="1" applyBorder="1" applyAlignment="1">
      <alignment horizontal="right" vertical="center" wrapText="1"/>
    </xf>
    <xf numFmtId="0" fontId="102" fillId="0" borderId="12" xfId="0" applyFont="1" applyFill="1" applyBorder="1" applyAlignment="1">
      <alignment horizontal="center" vertical="center" wrapText="1"/>
    </xf>
    <xf numFmtId="168" fontId="102" fillId="0" borderId="13" xfId="1" applyNumberFormat="1" applyFont="1" applyFill="1" applyBorder="1" applyAlignment="1">
      <alignment horizontal="center" vertical="center" wrapText="1"/>
    </xf>
    <xf numFmtId="168" fontId="16" fillId="0" borderId="2" xfId="1" applyNumberFormat="1" applyFont="1" applyFill="1" applyBorder="1" applyAlignment="1">
      <alignment horizontal="right" vertical="center" wrapText="1"/>
    </xf>
    <xf numFmtId="168" fontId="16" fillId="0" borderId="12" xfId="1" applyNumberFormat="1" applyFont="1" applyFill="1" applyBorder="1" applyAlignment="1">
      <alignment horizontal="right" vertical="center" wrapText="1"/>
    </xf>
    <xf numFmtId="168" fontId="16" fillId="0" borderId="9" xfId="1" applyNumberFormat="1" applyFont="1" applyFill="1" applyBorder="1" applyAlignment="1">
      <alignment horizontal="right" vertical="center" wrapText="1"/>
    </xf>
    <xf numFmtId="168" fontId="16" fillId="0" borderId="8" xfId="1" applyNumberFormat="1" applyFont="1" applyFill="1" applyBorder="1" applyAlignment="1">
      <alignment horizontal="right" vertical="center" wrapText="1"/>
    </xf>
    <xf numFmtId="168" fontId="16" fillId="0" borderId="6" xfId="1" applyNumberFormat="1" applyFont="1" applyFill="1" applyBorder="1" applyAlignment="1">
      <alignment horizontal="right" vertical="center" wrapText="1"/>
    </xf>
    <xf numFmtId="168" fontId="16" fillId="0" borderId="0" xfId="1" applyNumberFormat="1" applyFont="1" applyFill="1" applyAlignment="1">
      <alignment vertical="center" wrapText="1"/>
    </xf>
    <xf numFmtId="0" fontId="16" fillId="0" borderId="0" xfId="0" applyFont="1" applyFill="1" applyAlignment="1">
      <alignment horizontal="left" vertical="center" wrapText="1"/>
    </xf>
    <xf numFmtId="0" fontId="75" fillId="0" borderId="16" xfId="0" applyFont="1" applyFill="1" applyBorder="1" applyAlignment="1">
      <alignment horizontal="center" vertical="center" wrapText="1"/>
    </xf>
    <xf numFmtId="168" fontId="75" fillId="0" borderId="15" xfId="1" applyNumberFormat="1" applyFont="1" applyFill="1" applyBorder="1" applyAlignment="1">
      <alignment horizontal="center" vertical="center" wrapText="1"/>
    </xf>
    <xf numFmtId="0" fontId="75" fillId="0" borderId="15" xfId="0" applyFont="1" applyFill="1" applyBorder="1" applyAlignment="1">
      <alignment vertical="center" wrapText="1"/>
    </xf>
    <xf numFmtId="0" fontId="75" fillId="0" borderId="1" xfId="0" applyFont="1" applyFill="1" applyBorder="1" applyAlignment="1">
      <alignment vertical="center" wrapText="1"/>
    </xf>
    <xf numFmtId="168" fontId="16" fillId="0" borderId="1" xfId="1" applyNumberFormat="1" applyFont="1" applyFill="1" applyBorder="1" applyAlignment="1">
      <alignment horizontal="center" vertical="center" wrapText="1"/>
    </xf>
    <xf numFmtId="0" fontId="16" fillId="0" borderId="1" xfId="0" applyFont="1" applyFill="1" applyBorder="1" applyAlignment="1">
      <alignment vertical="center" wrapText="1"/>
    </xf>
    <xf numFmtId="164" fontId="16" fillId="0" borderId="9" xfId="1" applyNumberFormat="1" applyFont="1" applyFill="1" applyBorder="1" applyAlignment="1">
      <alignment horizontal="right" vertical="center" wrapText="1"/>
    </xf>
    <xf numFmtId="0" fontId="16" fillId="0" borderId="1" xfId="0" applyNumberFormat="1" applyFont="1" applyFill="1" applyBorder="1" applyAlignment="1">
      <alignment vertical="center" wrapText="1" shrinkToFit="1"/>
    </xf>
    <xf numFmtId="0" fontId="16" fillId="0" borderId="1" xfId="0" applyFont="1" applyFill="1" applyBorder="1" applyAlignment="1">
      <alignment horizontal="left" vertical="center" wrapText="1"/>
    </xf>
    <xf numFmtId="0" fontId="16" fillId="0" borderId="1" xfId="0" applyNumberFormat="1" applyFont="1" applyFill="1" applyBorder="1" applyAlignment="1">
      <alignment vertical="center" wrapText="1"/>
    </xf>
    <xf numFmtId="168" fontId="75" fillId="0" borderId="2" xfId="1" applyNumberFormat="1" applyFont="1" applyFill="1" applyBorder="1" applyAlignment="1">
      <alignment horizontal="right" vertical="center" wrapText="1"/>
    </xf>
    <xf numFmtId="164" fontId="75" fillId="0" borderId="2" xfId="1" applyNumberFormat="1" applyFont="1" applyFill="1" applyBorder="1" applyAlignment="1">
      <alignment horizontal="right" vertical="center" wrapText="1"/>
    </xf>
    <xf numFmtId="0" fontId="75" fillId="0" borderId="15" xfId="0" applyFont="1" applyFill="1" applyBorder="1" applyAlignment="1">
      <alignment horizontal="left" vertical="center" wrapText="1"/>
    </xf>
    <xf numFmtId="0" fontId="16" fillId="0" borderId="0" xfId="0" applyFont="1" applyFill="1" applyAlignment="1">
      <alignment horizontal="left" vertical="center"/>
    </xf>
    <xf numFmtId="0" fontId="16" fillId="0" borderId="0" xfId="0" applyFont="1" applyFill="1" applyAlignment="1">
      <alignment vertical="top" wrapText="1"/>
    </xf>
    <xf numFmtId="0" fontId="75" fillId="0" borderId="16" xfId="0" applyFont="1" applyFill="1" applyBorder="1" applyAlignment="1">
      <alignment vertical="center" wrapText="1"/>
    </xf>
    <xf numFmtId="0" fontId="75" fillId="0" borderId="15" xfId="0" applyFont="1" applyFill="1" applyBorder="1" applyAlignment="1">
      <alignment horizontal="center" vertical="center" wrapText="1"/>
    </xf>
    <xf numFmtId="0" fontId="75" fillId="0" borderId="1" xfId="0" applyFont="1" applyFill="1" applyBorder="1" applyAlignment="1">
      <alignment horizontal="right" vertical="center" wrapText="1"/>
    </xf>
    <xf numFmtId="164" fontId="75" fillId="0" borderId="1" xfId="1" applyNumberFormat="1" applyFont="1" applyFill="1" applyBorder="1" applyAlignment="1">
      <alignment horizontal="right" vertical="center" wrapText="1"/>
    </xf>
    <xf numFmtId="164" fontId="16" fillId="0" borderId="1" xfId="1" applyNumberFormat="1" applyFont="1" applyFill="1" applyBorder="1" applyAlignment="1">
      <alignment horizontal="right" vertical="center" wrapText="1"/>
    </xf>
    <xf numFmtId="9" fontId="16" fillId="0" borderId="0" xfId="5" applyFont="1" applyFill="1" applyAlignment="1">
      <alignment horizontal="left" vertical="center" wrapText="1"/>
    </xf>
    <xf numFmtId="0" fontId="75" fillId="0" borderId="14" xfId="0" applyFont="1" applyFill="1" applyBorder="1" applyAlignment="1">
      <alignment horizontal="center" vertical="center" wrapText="1"/>
    </xf>
    <xf numFmtId="9" fontId="75" fillId="0" borderId="16" xfId="5" applyFont="1" applyFill="1" applyBorder="1" applyAlignment="1">
      <alignment horizontal="center" vertical="center" wrapText="1"/>
    </xf>
    <xf numFmtId="9" fontId="75" fillId="0" borderId="15" xfId="5" applyFont="1" applyFill="1" applyBorder="1" applyAlignment="1">
      <alignment vertical="center" wrapText="1"/>
    </xf>
    <xf numFmtId="9" fontId="16" fillId="0" borderId="1" xfId="5" applyFont="1" applyFill="1" applyBorder="1" applyAlignment="1">
      <alignment horizontal="right" vertical="center" wrapText="1"/>
    </xf>
    <xf numFmtId="9" fontId="16" fillId="0" borderId="1" xfId="5" applyFont="1" applyFill="1" applyBorder="1" applyAlignment="1">
      <alignment vertical="center" wrapText="1"/>
    </xf>
    <xf numFmtId="168" fontId="16" fillId="0" borderId="1" xfId="0" applyNumberFormat="1" applyFont="1" applyFill="1" applyBorder="1" applyAlignment="1">
      <alignment vertical="center" wrapText="1"/>
    </xf>
    <xf numFmtId="9" fontId="16" fillId="0" borderId="9" xfId="5" applyFont="1" applyFill="1" applyBorder="1" applyAlignment="1">
      <alignment horizontal="right" vertical="center" wrapText="1"/>
    </xf>
    <xf numFmtId="9" fontId="16" fillId="0" borderId="1" xfId="5" applyFont="1" applyFill="1" applyBorder="1" applyAlignment="1">
      <alignment horizontal="right" vertical="center" wrapText="1" shrinkToFit="1"/>
    </xf>
    <xf numFmtId="168" fontId="75" fillId="0" borderId="2" xfId="0" applyNumberFormat="1" applyFont="1" applyFill="1" applyBorder="1" applyAlignment="1">
      <alignment vertical="center" wrapText="1"/>
    </xf>
    <xf numFmtId="9" fontId="75" fillId="0" borderId="2" xfId="5" applyFont="1" applyFill="1" applyBorder="1" applyAlignment="1">
      <alignment horizontal="right" vertical="center" wrapText="1"/>
    </xf>
    <xf numFmtId="9" fontId="16" fillId="0" borderId="0" xfId="5" applyFont="1" applyFill="1" applyAlignment="1">
      <alignment horizontal="left" vertical="center"/>
    </xf>
    <xf numFmtId="9" fontId="16" fillId="0" borderId="0" xfId="5" applyFont="1" applyFill="1" applyAlignment="1">
      <alignment vertical="center" wrapText="1"/>
    </xf>
    <xf numFmtId="9" fontId="75" fillId="0" borderId="15" xfId="5" applyFont="1" applyFill="1" applyBorder="1" applyAlignment="1">
      <alignment horizontal="center" vertical="center" wrapText="1"/>
    </xf>
    <xf numFmtId="9" fontId="75" fillId="0" borderId="1" xfId="5" applyFont="1" applyFill="1" applyBorder="1" applyAlignment="1">
      <alignment horizontal="right" vertical="center" wrapText="1"/>
    </xf>
    <xf numFmtId="9" fontId="75" fillId="0" borderId="1" xfId="5" applyFont="1" applyFill="1" applyBorder="1" applyAlignment="1">
      <alignment vertical="center" wrapText="1"/>
    </xf>
    <xf numFmtId="4" fontId="16" fillId="0" borderId="1" xfId="0" applyNumberFormat="1" applyFont="1" applyFill="1" applyBorder="1" applyAlignment="1">
      <alignment vertical="center" wrapText="1"/>
    </xf>
    <xf numFmtId="0" fontId="75" fillId="0" borderId="2" xfId="0" applyFont="1" applyFill="1" applyBorder="1" applyAlignment="1">
      <alignment vertical="center" wrapText="1"/>
    </xf>
    <xf numFmtId="4" fontId="75" fillId="0" borderId="2" xfId="0" applyNumberFormat="1" applyFont="1" applyFill="1" applyBorder="1" applyAlignment="1">
      <alignment vertical="center" wrapText="1"/>
    </xf>
    <xf numFmtId="9" fontId="75" fillId="0" borderId="2" xfId="5" applyFont="1" applyFill="1" applyBorder="1" applyAlignment="1">
      <alignment vertical="center" wrapText="1"/>
    </xf>
    <xf numFmtId="9" fontId="16" fillId="0" borderId="0" xfId="5" applyFont="1" applyFill="1" applyAlignment="1">
      <alignment horizontal="left"/>
    </xf>
    <xf numFmtId="0" fontId="17" fillId="0" borderId="14" xfId="0" applyFont="1" applyFill="1" applyBorder="1" applyAlignment="1">
      <alignment vertical="center"/>
    </xf>
    <xf numFmtId="168" fontId="24" fillId="0" borderId="0" xfId="1" applyNumberFormat="1" applyFont="1" applyFill="1" applyAlignment="1">
      <alignment vertical="center"/>
    </xf>
    <xf numFmtId="168" fontId="23" fillId="0" borderId="0" xfId="1" applyNumberFormat="1" applyFont="1" applyFill="1" applyAlignment="1">
      <alignment vertical="center"/>
    </xf>
    <xf numFmtId="164" fontId="23" fillId="0" borderId="0" xfId="1" applyFont="1" applyFill="1" applyAlignment="1">
      <alignment vertical="center"/>
    </xf>
    <xf numFmtId="0" fontId="17" fillId="0" borderId="4" xfId="0" applyFont="1" applyFill="1" applyBorder="1" applyAlignment="1">
      <alignment vertical="center"/>
    </xf>
    <xf numFmtId="164" fontId="16" fillId="0" borderId="0" xfId="1" applyNumberFormat="1" applyFont="1" applyFill="1" applyBorder="1" applyAlignment="1">
      <alignment vertical="center"/>
    </xf>
    <xf numFmtId="18" fontId="16" fillId="0" borderId="0" xfId="0" quotePrefix="1" applyNumberFormat="1" applyFont="1" applyFill="1" applyBorder="1" applyAlignment="1">
      <alignment horizontal="center" vertical="center"/>
    </xf>
    <xf numFmtId="0" fontId="16" fillId="0" borderId="0" xfId="0" quotePrefix="1" applyFont="1" applyFill="1" applyBorder="1" applyAlignment="1">
      <alignment horizontal="center" vertical="center"/>
    </xf>
    <xf numFmtId="168" fontId="75" fillId="0" borderId="13" xfId="1" quotePrefix="1" applyNumberFormat="1" applyFont="1" applyFill="1" applyBorder="1" applyAlignment="1">
      <alignment horizontal="center" vertical="top" wrapText="1"/>
    </xf>
    <xf numFmtId="168" fontId="75" fillId="0" borderId="0" xfId="1" applyNumberFormat="1" applyFont="1" applyFill="1" applyBorder="1" applyAlignment="1">
      <alignment horizontal="center" vertical="top" wrapText="1"/>
    </xf>
    <xf numFmtId="0" fontId="75" fillId="0" borderId="9" xfId="0" applyFont="1" applyFill="1" applyBorder="1" applyAlignment="1">
      <alignment vertical="top" wrapText="1"/>
    </xf>
    <xf numFmtId="168" fontId="75" fillId="0" borderId="0" xfId="1" applyNumberFormat="1" applyFont="1" applyFill="1" applyBorder="1" applyAlignment="1">
      <alignment horizontal="right" vertical="top" wrapText="1"/>
    </xf>
    <xf numFmtId="0" fontId="75" fillId="0" borderId="4" xfId="0" applyFont="1" applyFill="1" applyBorder="1" applyAlignment="1">
      <alignment vertical="top" wrapText="1"/>
    </xf>
    <xf numFmtId="0" fontId="16" fillId="0" borderId="9" xfId="0" applyFont="1" applyFill="1" applyBorder="1" applyAlignment="1">
      <alignment vertical="top" wrapText="1"/>
    </xf>
    <xf numFmtId="168" fontId="16" fillId="0" borderId="2" xfId="1" applyNumberFormat="1" applyFont="1" applyFill="1" applyBorder="1" applyAlignment="1">
      <alignment horizontal="right" vertical="top" wrapText="1"/>
    </xf>
    <xf numFmtId="0" fontId="16" fillId="0" borderId="4" xfId="0" applyFont="1" applyFill="1" applyBorder="1" applyAlignment="1">
      <alignment vertical="top" wrapText="1"/>
    </xf>
    <xf numFmtId="168" fontId="16" fillId="0" borderId="0" xfId="1" applyNumberFormat="1" applyFont="1" applyFill="1" applyBorder="1" applyAlignment="1">
      <alignment horizontal="right" vertical="top" wrapText="1"/>
    </xf>
    <xf numFmtId="168" fontId="16" fillId="0" borderId="16" xfId="1" applyNumberFormat="1" applyFont="1" applyFill="1" applyBorder="1" applyAlignment="1">
      <alignment horizontal="right" vertical="top" wrapText="1"/>
    </xf>
    <xf numFmtId="168" fontId="16" fillId="0" borderId="1" xfId="1" applyNumberFormat="1" applyFont="1" applyFill="1" applyBorder="1" applyAlignment="1">
      <alignment horizontal="right" vertical="top" wrapText="1"/>
    </xf>
    <xf numFmtId="168" fontId="16" fillId="0" borderId="15" xfId="1" applyNumberFormat="1" applyFont="1" applyFill="1" applyBorder="1" applyAlignment="1">
      <alignment horizontal="right" vertical="top" wrapText="1"/>
    </xf>
    <xf numFmtId="0" fontId="16" fillId="0" borderId="8" xfId="0" applyFont="1" applyFill="1" applyBorder="1" applyAlignment="1">
      <alignment vertical="top" wrapText="1"/>
    </xf>
    <xf numFmtId="168" fontId="16" fillId="0" borderId="5" xfId="1" applyNumberFormat="1" applyFont="1" applyFill="1" applyBorder="1" applyAlignment="1">
      <alignment vertical="top" wrapText="1"/>
    </xf>
    <xf numFmtId="0" fontId="16" fillId="0" borderId="5" xfId="0" applyFont="1" applyFill="1" applyBorder="1" applyAlignment="1">
      <alignment vertical="top" wrapText="1"/>
    </xf>
    <xf numFmtId="0" fontId="16" fillId="0" borderId="6" xfId="0" applyFont="1" applyFill="1" applyBorder="1" applyAlignment="1">
      <alignment vertical="top" wrapText="1"/>
    </xf>
    <xf numFmtId="0" fontId="75" fillId="0" borderId="5" xfId="0" applyFont="1" applyFill="1" applyBorder="1" applyAlignment="1">
      <alignment horizontal="center"/>
    </xf>
    <xf numFmtId="0" fontId="75" fillId="0" borderId="13" xfId="0" applyFont="1" applyFill="1" applyBorder="1" applyAlignment="1">
      <alignment horizontal="center"/>
    </xf>
    <xf numFmtId="168" fontId="75" fillId="0" borderId="0" xfId="1" quotePrefix="1" applyNumberFormat="1" applyFont="1" applyFill="1" applyBorder="1" applyAlignment="1">
      <alignment horizontal="center" vertical="top" wrapText="1"/>
    </xf>
    <xf numFmtId="168" fontId="75" fillId="0" borderId="10" xfId="1" applyNumberFormat="1" applyFont="1" applyFill="1" applyBorder="1" applyAlignment="1">
      <alignment horizontal="right" vertical="top" wrapText="1"/>
    </xf>
    <xf numFmtId="0" fontId="75" fillId="0" borderId="10" xfId="0" applyFont="1" applyFill="1" applyBorder="1" applyAlignment="1">
      <alignment vertical="top" wrapText="1"/>
    </xf>
    <xf numFmtId="168" fontId="16" fillId="0" borderId="10" xfId="1" applyNumberFormat="1" applyFont="1" applyFill="1" applyBorder="1"/>
    <xf numFmtId="168" fontId="75" fillId="0" borderId="7" xfId="1" applyNumberFormat="1" applyFont="1" applyFill="1" applyBorder="1" applyAlignment="1">
      <alignment horizontal="right" vertical="top" wrapText="1"/>
    </xf>
    <xf numFmtId="0" fontId="75" fillId="0" borderId="7" xfId="0" applyFont="1" applyFill="1" applyBorder="1" applyAlignment="1">
      <alignment vertical="top" wrapText="1"/>
    </xf>
    <xf numFmtId="168" fontId="16" fillId="0" borderId="7" xfId="1" applyNumberFormat="1" applyFont="1" applyFill="1" applyBorder="1"/>
    <xf numFmtId="0" fontId="16" fillId="0" borderId="7" xfId="0" applyFont="1" applyFill="1" applyBorder="1" applyAlignment="1">
      <alignment vertical="top" wrapText="1"/>
    </xf>
    <xf numFmtId="0" fontId="16" fillId="0" borderId="8" xfId="0" applyFont="1" applyFill="1" applyBorder="1"/>
    <xf numFmtId="168" fontId="21" fillId="0" borderId="0" xfId="1" applyNumberFormat="1" applyFont="1" applyFill="1" applyAlignment="1">
      <alignment vertical="center"/>
    </xf>
    <xf numFmtId="168" fontId="17" fillId="0" borderId="2" xfId="1" quotePrefix="1" applyNumberFormat="1" applyFont="1" applyFill="1" applyBorder="1" applyAlignment="1">
      <alignment horizontal="center" vertical="center"/>
    </xf>
    <xf numFmtId="0" fontId="21" fillId="0" borderId="0" xfId="0" applyFont="1" applyFill="1" applyBorder="1" applyAlignment="1">
      <alignment horizontal="justify" vertical="center" wrapText="1"/>
    </xf>
    <xf numFmtId="0" fontId="34" fillId="0" borderId="0" xfId="0" applyFont="1" applyFill="1" applyBorder="1" applyAlignment="1">
      <alignment horizontal="justify" vertical="center" wrapText="1"/>
    </xf>
    <xf numFmtId="168" fontId="34" fillId="0" borderId="0" xfId="1" applyNumberFormat="1" applyFont="1" applyFill="1" applyBorder="1" applyAlignment="1">
      <alignment horizontal="justify" vertical="center" wrapText="1"/>
    </xf>
    <xf numFmtId="168" fontId="91" fillId="0" borderId="0" xfId="1" quotePrefix="1" applyNumberFormat="1" applyFont="1" applyFill="1" applyBorder="1" applyAlignment="1">
      <alignment horizontal="center" vertical="center"/>
    </xf>
    <xf numFmtId="168" fontId="21" fillId="0" borderId="7" xfId="1" applyNumberFormat="1" applyFont="1" applyFill="1" applyBorder="1" applyAlignment="1">
      <alignment vertical="center"/>
    </xf>
    <xf numFmtId="0" fontId="21" fillId="0" borderId="7" xfId="0" applyFont="1" applyFill="1" applyBorder="1" applyAlignment="1">
      <alignment vertical="center"/>
    </xf>
    <xf numFmtId="168" fontId="91" fillId="0" borderId="7" xfId="1" applyNumberFormat="1" applyFont="1" applyFill="1" applyBorder="1" applyAlignment="1">
      <alignment vertical="center"/>
    </xf>
    <xf numFmtId="0" fontId="21" fillId="0" borderId="13" xfId="0" applyFont="1" applyFill="1" applyBorder="1" applyAlignment="1">
      <alignment vertical="center"/>
    </xf>
    <xf numFmtId="168" fontId="21" fillId="0" borderId="13" xfId="1" applyNumberFormat="1" applyFont="1" applyFill="1" applyBorder="1" applyAlignment="1">
      <alignment vertical="center"/>
    </xf>
    <xf numFmtId="0" fontId="21" fillId="0" borderId="0" xfId="0" applyFont="1" applyFill="1" applyBorder="1" applyAlignment="1">
      <alignment horizontal="justify" vertical="center"/>
    </xf>
    <xf numFmtId="168" fontId="21" fillId="0" borderId="0" xfId="1" applyNumberFormat="1" applyFont="1" applyFill="1" applyAlignment="1">
      <alignment horizontal="justify" vertical="center"/>
    </xf>
    <xf numFmtId="0" fontId="21" fillId="0" borderId="0" xfId="0" applyFont="1" applyFill="1" applyAlignment="1">
      <alignment horizontal="justify" vertical="center"/>
    </xf>
    <xf numFmtId="168" fontId="91" fillId="0" borderId="0" xfId="1" applyNumberFormat="1" applyFont="1" applyFill="1" applyAlignment="1">
      <alignment horizontal="center" vertical="center"/>
    </xf>
    <xf numFmtId="0" fontId="91" fillId="0" borderId="0" xfId="0" applyFont="1" applyFill="1" applyAlignment="1">
      <alignment horizontal="center" vertical="center"/>
    </xf>
    <xf numFmtId="0" fontId="91" fillId="0" borderId="0" xfId="0" applyFont="1" applyFill="1" applyBorder="1" applyAlignment="1">
      <alignment horizontal="left" vertical="center"/>
    </xf>
    <xf numFmtId="168" fontId="17" fillId="0" borderId="0" xfId="1" quotePrefix="1" applyNumberFormat="1" applyFont="1" applyFill="1" applyBorder="1" applyAlignment="1">
      <alignment horizontal="center" vertical="center"/>
    </xf>
    <xf numFmtId="168" fontId="21" fillId="0" borderId="16" xfId="1" applyNumberFormat="1" applyFont="1" applyFill="1" applyBorder="1" applyAlignment="1">
      <alignment vertical="center"/>
    </xf>
    <xf numFmtId="168" fontId="21" fillId="0" borderId="1" xfId="1" applyNumberFormat="1" applyFont="1" applyFill="1" applyBorder="1" applyAlignment="1">
      <alignment vertical="center"/>
    </xf>
    <xf numFmtId="168" fontId="21" fillId="0" borderId="15" xfId="1" applyNumberFormat="1" applyFont="1" applyFill="1" applyBorder="1" applyAlignment="1">
      <alignment vertical="center"/>
    </xf>
    <xf numFmtId="164" fontId="17" fillId="0" borderId="0" xfId="0" applyNumberFormat="1" applyFont="1" applyFill="1" applyBorder="1" applyAlignment="1">
      <alignment vertical="center"/>
    </xf>
    <xf numFmtId="168" fontId="17" fillId="0" borderId="0" xfId="1" applyNumberFormat="1" applyFont="1" applyFill="1" applyBorder="1" applyAlignment="1">
      <alignment vertical="center"/>
    </xf>
    <xf numFmtId="174" fontId="21" fillId="0" borderId="0" xfId="0" applyNumberFormat="1" applyFont="1" applyFill="1" applyBorder="1" applyAlignment="1">
      <alignment vertical="center"/>
    </xf>
    <xf numFmtId="174" fontId="21" fillId="0" borderId="0" xfId="1" applyNumberFormat="1" applyFont="1" applyFill="1" applyBorder="1" applyAlignment="1">
      <alignment vertical="center"/>
    </xf>
    <xf numFmtId="0" fontId="107" fillId="0" borderId="0" xfId="0" applyFont="1" applyFill="1" applyBorder="1" applyAlignment="1">
      <alignment horizontal="justify" vertical="center" wrapText="1"/>
    </xf>
    <xf numFmtId="174" fontId="21" fillId="0" borderId="0" xfId="1" applyNumberFormat="1" applyFont="1" applyFill="1" applyBorder="1" applyAlignment="1">
      <alignment horizontal="center" vertical="center"/>
    </xf>
    <xf numFmtId="0" fontId="21" fillId="0" borderId="0" xfId="0" applyFont="1" applyFill="1" applyBorder="1" applyAlignment="1">
      <alignment horizontal="right" vertical="center"/>
    </xf>
    <xf numFmtId="168" fontId="21" fillId="0" borderId="5" xfId="1" applyNumberFormat="1" applyFont="1" applyFill="1" applyBorder="1" applyAlignment="1">
      <alignment horizontal="right" vertical="center"/>
    </xf>
    <xf numFmtId="0" fontId="21" fillId="0" borderId="5" xfId="0" applyFont="1" applyFill="1" applyBorder="1" applyAlignment="1">
      <alignment horizontal="right" vertical="center"/>
    </xf>
    <xf numFmtId="0" fontId="91" fillId="0" borderId="0" xfId="0" applyFont="1" applyFill="1" applyBorder="1" applyAlignment="1">
      <alignment horizontal="justify" vertical="center" wrapText="1"/>
    </xf>
    <xf numFmtId="174" fontId="21" fillId="0" borderId="0" xfId="1" applyNumberFormat="1" applyFont="1" applyFill="1" applyBorder="1" applyAlignment="1">
      <alignment horizontal="right" vertical="center"/>
    </xf>
    <xf numFmtId="174" fontId="21" fillId="0" borderId="7" xfId="1" applyNumberFormat="1" applyFont="1" applyFill="1" applyBorder="1" applyAlignment="1">
      <alignment vertical="center"/>
    </xf>
    <xf numFmtId="0" fontId="91" fillId="0" borderId="0" xfId="0" applyFont="1" applyFill="1" applyBorder="1" applyAlignment="1">
      <alignment horizontal="right" vertical="center"/>
    </xf>
    <xf numFmtId="9" fontId="21" fillId="0" borderId="0" xfId="5" applyFont="1" applyFill="1" applyBorder="1" applyAlignment="1">
      <alignment horizontal="right" vertical="center"/>
    </xf>
    <xf numFmtId="9" fontId="21" fillId="0" borderId="0" xfId="5" applyFont="1" applyFill="1" applyBorder="1" applyAlignment="1">
      <alignment vertical="center"/>
    </xf>
    <xf numFmtId="168" fontId="21" fillId="0" borderId="0" xfId="1" applyNumberFormat="1" applyFont="1" applyFill="1" applyBorder="1" applyAlignment="1">
      <alignment horizontal="right" vertical="center"/>
    </xf>
    <xf numFmtId="168" fontId="91" fillId="0" borderId="7" xfId="1" applyNumberFormat="1" applyFont="1" applyFill="1" applyBorder="1" applyAlignment="1">
      <alignment horizontal="right" vertical="center"/>
    </xf>
    <xf numFmtId="0" fontId="91" fillId="0" borderId="7" xfId="0" applyFont="1" applyFill="1" applyBorder="1" applyAlignment="1">
      <alignment horizontal="right" vertical="center"/>
    </xf>
    <xf numFmtId="0" fontId="108" fillId="0" borderId="0" xfId="0" applyFont="1" applyFill="1" applyBorder="1" applyAlignment="1">
      <alignment horizontal="justify" vertical="center" wrapText="1"/>
    </xf>
    <xf numFmtId="168" fontId="21" fillId="0" borderId="27" xfId="1" applyNumberFormat="1" applyFont="1" applyFill="1" applyBorder="1" applyAlignment="1">
      <alignment horizontal="right" vertical="center"/>
    </xf>
    <xf numFmtId="0" fontId="21" fillId="0" borderId="27" xfId="0" applyFont="1" applyFill="1" applyBorder="1" applyAlignment="1">
      <alignment horizontal="right" vertical="center"/>
    </xf>
    <xf numFmtId="168" fontId="91" fillId="0" borderId="43" xfId="1" applyNumberFormat="1" applyFont="1" applyFill="1" applyBorder="1" applyAlignment="1">
      <alignment horizontal="right" vertical="center"/>
    </xf>
    <xf numFmtId="0" fontId="91" fillId="0" borderId="43" xfId="0" applyFont="1" applyFill="1" applyBorder="1" applyAlignment="1">
      <alignment horizontal="right" vertical="center"/>
    </xf>
    <xf numFmtId="168" fontId="21" fillId="0" borderId="7" xfId="1" applyNumberFormat="1" applyFont="1" applyFill="1" applyBorder="1" applyAlignment="1">
      <alignment horizontal="right" vertical="center"/>
    </xf>
    <xf numFmtId="0" fontId="21" fillId="0" borderId="7" xfId="0" applyFont="1" applyFill="1" applyBorder="1" applyAlignment="1">
      <alignment horizontal="right" vertical="center"/>
    </xf>
    <xf numFmtId="168" fontId="2" fillId="0" borderId="0" xfId="1" applyNumberFormat="1" applyFont="1" applyFill="1" applyBorder="1" applyAlignment="1">
      <alignment horizontal="left" vertical="center" wrapText="1"/>
    </xf>
    <xf numFmtId="168" fontId="2" fillId="0" borderId="0" xfId="1" applyNumberFormat="1" applyFont="1" applyFill="1" applyBorder="1"/>
    <xf numFmtId="0" fontId="39" fillId="0" borderId="39" xfId="0" applyFont="1" applyFill="1" applyBorder="1" applyAlignment="1">
      <alignment horizontal="left" vertical="center" wrapText="1"/>
    </xf>
    <xf numFmtId="0" fontId="75" fillId="0" borderId="0" xfId="0" applyFont="1" applyFill="1" applyAlignment="1">
      <alignment horizontal="center"/>
    </xf>
    <xf numFmtId="0" fontId="75" fillId="0" borderId="0" xfId="0" applyFont="1" applyFill="1" applyAlignment="1">
      <alignment horizontal="center" vertical="center"/>
    </xf>
    <xf numFmtId="0" fontId="39" fillId="0" borderId="0" xfId="0" applyFont="1" applyFill="1" applyBorder="1" applyAlignment="1">
      <alignment horizontal="left" vertical="center" wrapText="1"/>
    </xf>
    <xf numFmtId="0" fontId="21" fillId="0" borderId="0" xfId="0" applyFont="1" applyFill="1" applyAlignment="1">
      <alignment vertical="center"/>
    </xf>
    <xf numFmtId="0" fontId="16" fillId="0" borderId="0" xfId="0" applyFont="1" applyFill="1" applyAlignment="1">
      <alignment vertical="center" wrapText="1"/>
    </xf>
    <xf numFmtId="168" fontId="2" fillId="0" borderId="0" xfId="1" applyNumberFormat="1" applyFont="1" applyFill="1" applyBorder="1" applyAlignment="1">
      <alignment horizontal="center"/>
    </xf>
    <xf numFmtId="0" fontId="2" fillId="0" borderId="0" xfId="0" applyFont="1" applyFill="1" applyBorder="1" applyAlignment="1">
      <alignment horizontal="justify" vertical="center" wrapText="1"/>
    </xf>
    <xf numFmtId="164" fontId="2" fillId="0" borderId="0" xfId="1" applyFont="1" applyFill="1" applyBorder="1"/>
    <xf numFmtId="168" fontId="2" fillId="0" borderId="1" xfId="1" applyNumberFormat="1" applyFont="1" applyFill="1" applyBorder="1" applyAlignment="1">
      <alignment vertical="center"/>
    </xf>
    <xf numFmtId="0" fontId="21" fillId="0" borderId="0" xfId="0" applyFont="1" applyFill="1" applyAlignment="1">
      <alignment vertical="center"/>
    </xf>
    <xf numFmtId="168" fontId="75" fillId="0" borderId="16" xfId="1" applyNumberFormat="1" applyFont="1" applyFill="1" applyBorder="1" applyAlignment="1">
      <alignment vertical="center" wrapText="1"/>
    </xf>
    <xf numFmtId="168" fontId="75" fillId="0" borderId="15" xfId="1" applyNumberFormat="1" applyFont="1" applyFill="1" applyBorder="1" applyAlignment="1">
      <alignment vertical="center" wrapText="1"/>
    </xf>
    <xf numFmtId="0" fontId="21" fillId="0" borderId="0" xfId="0" applyFont="1" applyFill="1" applyAlignment="1">
      <alignment wrapText="1"/>
    </xf>
    <xf numFmtId="0" fontId="0" fillId="0" borderId="0" xfId="0" quotePrefix="1" applyBorder="1"/>
    <xf numFmtId="176" fontId="0" fillId="0" borderId="0" xfId="0" applyNumberFormat="1" applyBorder="1"/>
    <xf numFmtId="0" fontId="0" fillId="0" borderId="2" xfId="0" applyFill="1" applyBorder="1"/>
    <xf numFmtId="0" fontId="0" fillId="0" borderId="2" xfId="0" quotePrefix="1" applyFill="1" applyBorder="1"/>
    <xf numFmtId="0" fontId="9" fillId="0" borderId="0" xfId="0" applyFont="1" applyBorder="1" applyAlignment="1">
      <alignment horizontal="justify" vertical="top" wrapText="1"/>
    </xf>
    <xf numFmtId="0" fontId="21" fillId="0" borderId="0" xfId="0" applyFont="1" applyFill="1" applyAlignment="1">
      <alignment vertical="center"/>
    </xf>
    <xf numFmtId="168" fontId="2" fillId="0" borderId="1" xfId="1" applyNumberFormat="1" applyFont="1" applyFill="1" applyBorder="1" applyAlignment="1">
      <alignment horizontal="right" vertical="center" wrapText="1"/>
    </xf>
    <xf numFmtId="0" fontId="2" fillId="0" borderId="0" xfId="0" applyFont="1" applyFill="1" applyBorder="1" applyAlignment="1">
      <alignment horizontal="left" vertical="center" wrapText="1"/>
    </xf>
    <xf numFmtId="0" fontId="23" fillId="0" borderId="0" xfId="0" applyFont="1" applyFill="1" applyBorder="1" applyAlignment="1">
      <alignment vertical="center"/>
    </xf>
    <xf numFmtId="0" fontId="91" fillId="0" borderId="0" xfId="0" applyFont="1" applyFill="1" applyBorder="1" applyAlignment="1">
      <alignment horizontal="justify" vertical="center"/>
    </xf>
    <xf numFmtId="0" fontId="108" fillId="0" borderId="0" xfId="0" applyFont="1" applyFill="1" applyBorder="1" applyAlignment="1">
      <alignment horizontal="justify" vertical="center"/>
    </xf>
    <xf numFmtId="0" fontId="109" fillId="0" borderId="0" xfId="0" applyFont="1" applyFill="1" applyBorder="1" applyAlignment="1">
      <alignment horizontal="justify" vertical="center"/>
    </xf>
    <xf numFmtId="168" fontId="91" fillId="0" borderId="0" xfId="1" applyNumberFormat="1" applyFont="1" applyFill="1" applyBorder="1" applyAlignment="1">
      <alignment horizontal="right" vertical="center"/>
    </xf>
    <xf numFmtId="0" fontId="2" fillId="0" borderId="0" xfId="0" applyFont="1" applyFill="1" applyBorder="1" applyAlignment="1"/>
    <xf numFmtId="0" fontId="2" fillId="0" borderId="0" xfId="0" applyFont="1" applyFill="1" applyBorder="1" applyAlignment="1">
      <alignment horizontal="center" vertical="justify" wrapText="1"/>
    </xf>
    <xf numFmtId="0" fontId="2" fillId="0" borderId="0" xfId="0" applyFont="1" applyFill="1" applyBorder="1" applyAlignment="1">
      <alignment horizontal="center"/>
    </xf>
    <xf numFmtId="0" fontId="2" fillId="0" borderId="0" xfId="0" applyFont="1" applyFill="1" applyBorder="1" applyAlignment="1">
      <alignment horizontal="center" vertical="justify"/>
    </xf>
    <xf numFmtId="0" fontId="2" fillId="0" borderId="0" xfId="0" applyFont="1" applyFill="1" applyBorder="1" applyAlignment="1">
      <alignment horizontal="justify" vertical="justify" wrapText="1"/>
    </xf>
    <xf numFmtId="174" fontId="2" fillId="0" borderId="0" xfId="1" applyNumberFormat="1" applyFont="1" applyFill="1" applyBorder="1" applyAlignment="1"/>
    <xf numFmtId="168" fontId="2" fillId="0" borderId="0" xfId="1" applyNumberFormat="1" applyFont="1" applyFill="1" applyBorder="1" applyAlignment="1"/>
    <xf numFmtId="168" fontId="2" fillId="0" borderId="7" xfId="1" applyNumberFormat="1" applyFont="1" applyFill="1" applyBorder="1" applyAlignment="1"/>
    <xf numFmtId="164" fontId="2" fillId="0" borderId="0" xfId="1" applyFont="1" applyFill="1" applyBorder="1" applyAlignment="1"/>
    <xf numFmtId="0" fontId="2" fillId="0" borderId="0" xfId="0" applyFont="1" applyFill="1" applyBorder="1" applyAlignment="1">
      <alignment wrapText="1"/>
    </xf>
    <xf numFmtId="168" fontId="2" fillId="0" borderId="0" xfId="1" applyNumberFormat="1" applyFont="1" applyFill="1" applyBorder="1" applyAlignment="1">
      <alignment wrapText="1"/>
    </xf>
    <xf numFmtId="164" fontId="2" fillId="0" borderId="0" xfId="1" applyFont="1" applyFill="1" applyBorder="1" applyAlignment="1">
      <alignment wrapText="1"/>
    </xf>
    <xf numFmtId="0" fontId="2" fillId="0" borderId="0" xfId="7" applyFont="1" applyFill="1" applyBorder="1" applyAlignment="1">
      <alignment horizontal="left" wrapText="1"/>
    </xf>
    <xf numFmtId="168" fontId="75" fillId="0" borderId="0" xfId="1" applyNumberFormat="1" applyFont="1" applyFill="1" applyBorder="1" applyAlignment="1">
      <alignment horizontal="center"/>
    </xf>
    <xf numFmtId="0" fontId="21" fillId="0" borderId="0" xfId="0" applyFont="1" applyFill="1" applyAlignment="1">
      <alignment vertical="center"/>
    </xf>
    <xf numFmtId="0" fontId="39" fillId="0" borderId="39" xfId="0" applyFont="1" applyFill="1" applyBorder="1" applyAlignment="1">
      <alignment horizontal="left" vertical="center" wrapText="1"/>
    </xf>
    <xf numFmtId="0" fontId="17" fillId="0" borderId="0" xfId="0" applyFont="1" applyFill="1" applyBorder="1" applyAlignment="1">
      <alignment horizontal="center" vertical="center"/>
    </xf>
    <xf numFmtId="15" fontId="17" fillId="0" borderId="0" xfId="0" quotePrefix="1" applyNumberFormat="1" applyFont="1" applyFill="1" applyBorder="1" applyAlignment="1">
      <alignment horizontal="center" vertical="center"/>
    </xf>
    <xf numFmtId="166" fontId="91" fillId="0" borderId="0" xfId="0" applyNumberFormat="1" applyFont="1" applyFill="1" applyBorder="1" applyAlignment="1">
      <alignment horizontal="center" vertical="center"/>
    </xf>
    <xf numFmtId="166" fontId="91" fillId="0" borderId="0" xfId="0" quotePrefix="1" applyNumberFormat="1" applyFont="1" applyFill="1" applyBorder="1" applyAlignment="1">
      <alignment horizontal="center" vertical="center"/>
    </xf>
    <xf numFmtId="0" fontId="17" fillId="0" borderId="0" xfId="0" applyFont="1" applyFill="1" applyBorder="1" applyAlignment="1">
      <alignment horizontal="center"/>
    </xf>
    <xf numFmtId="0" fontId="75" fillId="0" borderId="0" xfId="0" applyFont="1" applyFill="1" applyBorder="1" applyAlignment="1">
      <alignment horizontal="center"/>
    </xf>
    <xf numFmtId="15" fontId="17" fillId="0" borderId="0" xfId="0" quotePrefix="1" applyNumberFormat="1" applyFont="1" applyFill="1" applyBorder="1" applyAlignment="1">
      <alignment horizontal="center"/>
    </xf>
    <xf numFmtId="15" fontId="17" fillId="0" borderId="0" xfId="0" applyNumberFormat="1" applyFont="1" applyFill="1" applyBorder="1" applyAlignment="1">
      <alignment horizontal="center"/>
    </xf>
    <xf numFmtId="168" fontId="75" fillId="0" borderId="0" xfId="1" quotePrefix="1" applyNumberFormat="1" applyFont="1" applyFill="1" applyBorder="1" applyAlignment="1">
      <alignment horizontal="center" vertical="center"/>
    </xf>
    <xf numFmtId="0" fontId="75" fillId="0" borderId="0" xfId="0" quotePrefix="1" applyFont="1" applyFill="1" applyBorder="1" applyAlignment="1">
      <alignment horizontal="center" vertical="center"/>
    </xf>
    <xf numFmtId="168" fontId="75" fillId="0" borderId="0" xfId="1" quotePrefix="1" applyNumberFormat="1" applyFont="1" applyFill="1" applyBorder="1" applyAlignment="1">
      <alignment horizontal="center"/>
    </xf>
    <xf numFmtId="0" fontId="75" fillId="0" borderId="0" xfId="0" quotePrefix="1" applyFont="1" applyFill="1" applyBorder="1" applyAlignment="1">
      <alignment horizontal="center"/>
    </xf>
    <xf numFmtId="0" fontId="16" fillId="0" borderId="0" xfId="0" applyFont="1" applyFill="1" applyBorder="1" applyAlignment="1">
      <alignment horizontal="left" vertical="center" wrapText="1"/>
    </xf>
    <xf numFmtId="0" fontId="75" fillId="0" borderId="9" xfId="0" applyFont="1" applyFill="1" applyBorder="1" applyAlignment="1">
      <alignment horizontal="center" vertical="center" wrapText="1"/>
    </xf>
    <xf numFmtId="0" fontId="75" fillId="0" borderId="0" xfId="0" applyFont="1" applyFill="1" applyBorder="1" applyAlignment="1">
      <alignment horizontal="center" vertical="center" wrapText="1"/>
    </xf>
    <xf numFmtId="0" fontId="16" fillId="0" borderId="0" xfId="0" applyFont="1" applyFill="1" applyBorder="1" applyAlignment="1">
      <alignment horizontal="center" vertical="center" wrapText="1"/>
    </xf>
    <xf numFmtId="0" fontId="82" fillId="0" borderId="0" xfId="0" applyFont="1" applyFill="1" applyBorder="1" applyAlignment="1">
      <alignment vertical="center" wrapText="1"/>
    </xf>
    <xf numFmtId="0" fontId="27" fillId="0" borderId="0" xfId="0" applyFont="1" applyFill="1" applyBorder="1" applyAlignment="1">
      <alignment horizontal="left" vertical="center" wrapText="1"/>
    </xf>
    <xf numFmtId="0" fontId="4" fillId="0" borderId="9" xfId="0" applyFont="1" applyFill="1" applyBorder="1" applyAlignment="1">
      <alignment horizontal="left" vertical="center" wrapText="1"/>
    </xf>
    <xf numFmtId="0" fontId="4" fillId="0" borderId="0" xfId="0" applyFont="1" applyFill="1" applyBorder="1" applyAlignment="1">
      <alignment horizontal="left" vertical="center" wrapText="1"/>
    </xf>
    <xf numFmtId="0" fontId="4" fillId="0" borderId="26" xfId="0" applyFont="1" applyFill="1" applyBorder="1" applyAlignment="1">
      <alignment horizontal="left" vertical="center" wrapText="1"/>
    </xf>
    <xf numFmtId="0" fontId="27" fillId="0" borderId="0" xfId="3" quotePrefix="1" applyFont="1" applyFill="1" applyBorder="1" applyAlignment="1">
      <alignment horizontal="center" vertical="center"/>
    </xf>
    <xf numFmtId="0" fontId="21" fillId="0" borderId="0" xfId="0" applyFont="1" applyFill="1" applyBorder="1" applyAlignment="1">
      <alignment horizontal="left" vertical="center" wrapText="1"/>
    </xf>
    <xf numFmtId="0" fontId="91" fillId="0" borderId="14" xfId="0" applyFont="1" applyFill="1" applyBorder="1" applyAlignment="1">
      <alignment horizontal="center" vertical="center"/>
    </xf>
    <xf numFmtId="0" fontId="21" fillId="0" borderId="0" xfId="0" applyFont="1" applyFill="1" applyBorder="1" applyAlignment="1">
      <alignment horizontal="left" vertical="center"/>
    </xf>
    <xf numFmtId="0" fontId="21" fillId="0" borderId="0" xfId="0" applyFont="1" applyFill="1" applyBorder="1" applyAlignment="1">
      <alignment vertical="center" wrapText="1"/>
    </xf>
    <xf numFmtId="0" fontId="75" fillId="0" borderId="13" xfId="0" applyFont="1" applyFill="1" applyBorder="1" applyAlignment="1">
      <alignment horizontal="center"/>
    </xf>
    <xf numFmtId="0" fontId="75" fillId="0" borderId="14" xfId="0" applyFont="1" applyFill="1" applyBorder="1" applyAlignment="1">
      <alignment horizontal="center"/>
    </xf>
    <xf numFmtId="0" fontId="75" fillId="0" borderId="9" xfId="0" applyFont="1" applyFill="1" applyBorder="1" applyAlignment="1">
      <alignment horizontal="center"/>
    </xf>
    <xf numFmtId="0" fontId="75" fillId="0" borderId="4" xfId="0" applyFont="1" applyFill="1" applyBorder="1" applyAlignment="1">
      <alignment horizontal="center"/>
    </xf>
    <xf numFmtId="0" fontId="75" fillId="0" borderId="40" xfId="0" applyFont="1" applyFill="1" applyBorder="1" applyAlignment="1">
      <alignment horizontal="center" vertical="center" wrapText="1"/>
    </xf>
    <xf numFmtId="0" fontId="75" fillId="0" borderId="2" xfId="0" applyFont="1" applyFill="1" applyBorder="1" applyAlignment="1">
      <alignment horizontal="center" vertical="center" wrapText="1"/>
    </xf>
    <xf numFmtId="0" fontId="16" fillId="0" borderId="69" xfId="0" applyFont="1" applyFill="1" applyBorder="1" applyAlignment="1">
      <alignment vertical="center"/>
    </xf>
    <xf numFmtId="0" fontId="16" fillId="0" borderId="70" xfId="0" applyFont="1" applyFill="1" applyBorder="1" applyAlignment="1">
      <alignment vertical="center"/>
    </xf>
    <xf numFmtId="0" fontId="75" fillId="0" borderId="19" xfId="0" applyFont="1" applyFill="1" applyBorder="1" applyAlignment="1">
      <alignment horizontal="center" vertical="center"/>
    </xf>
    <xf numFmtId="0" fontId="16" fillId="0" borderId="19" xfId="0" applyFont="1" applyFill="1" applyBorder="1" applyAlignment="1">
      <alignment vertical="center"/>
    </xf>
    <xf numFmtId="0" fontId="75" fillId="0" borderId="19" xfId="0" applyFont="1" applyFill="1" applyBorder="1" applyAlignment="1">
      <alignment vertical="center"/>
    </xf>
    <xf numFmtId="0" fontId="75" fillId="0" borderId="29" xfId="0" applyFont="1" applyFill="1" applyBorder="1" applyAlignment="1">
      <alignment horizontal="center" vertical="center"/>
    </xf>
    <xf numFmtId="0" fontId="75" fillId="0" borderId="19" xfId="0" quotePrefix="1" applyFont="1" applyFill="1" applyBorder="1" applyAlignment="1">
      <alignment horizontal="center" vertical="center"/>
    </xf>
    <xf numFmtId="0" fontId="16" fillId="0" borderId="19" xfId="0" applyFont="1" applyFill="1" applyBorder="1" applyAlignment="1">
      <alignment vertical="center" wrapText="1"/>
    </xf>
    <xf numFmtId="0" fontId="16" fillId="0" borderId="19" xfId="0" applyFont="1" applyFill="1" applyBorder="1" applyAlignment="1">
      <alignment horizontal="justify" vertical="center" wrapText="1"/>
    </xf>
    <xf numFmtId="0" fontId="16" fillId="0" borderId="69" xfId="0" applyFont="1" applyFill="1" applyBorder="1" applyAlignment="1">
      <alignment vertical="center" wrapText="1"/>
    </xf>
    <xf numFmtId="0" fontId="16" fillId="0" borderId="70" xfId="0" applyFont="1" applyFill="1" applyBorder="1" applyAlignment="1">
      <alignment vertical="center" wrapText="1"/>
    </xf>
    <xf numFmtId="0" fontId="75" fillId="0" borderId="19" xfId="0" applyFont="1" applyFill="1" applyBorder="1" applyAlignment="1">
      <alignment horizontal="center" vertical="center" wrapText="1"/>
    </xf>
    <xf numFmtId="0" fontId="16" fillId="0" borderId="22" xfId="0" applyFont="1" applyFill="1" applyBorder="1" applyAlignment="1">
      <alignment vertical="center" wrapText="1"/>
    </xf>
    <xf numFmtId="168" fontId="4" fillId="0" borderId="11" xfId="1" quotePrefix="1" applyNumberFormat="1" applyFont="1" applyFill="1" applyBorder="1" applyAlignment="1">
      <alignment horizontal="center" vertical="center"/>
    </xf>
    <xf numFmtId="168" fontId="4" fillId="0" borderId="14" xfId="1" applyNumberFormat="1" applyFont="1" applyFill="1" applyBorder="1" applyAlignment="1">
      <alignment vertical="center"/>
    </xf>
    <xf numFmtId="168" fontId="4" fillId="0" borderId="4" xfId="1" applyNumberFormat="1" applyFont="1" applyFill="1" applyBorder="1" applyAlignment="1">
      <alignment vertical="center"/>
    </xf>
    <xf numFmtId="168" fontId="4" fillId="0" borderId="6" xfId="1" applyNumberFormat="1" applyFont="1" applyFill="1" applyBorder="1" applyAlignment="1">
      <alignment vertical="center"/>
    </xf>
    <xf numFmtId="168" fontId="27" fillId="0" borderId="11" xfId="1" applyNumberFormat="1" applyFont="1" applyFill="1" applyBorder="1" applyAlignment="1">
      <alignment vertical="center"/>
    </xf>
    <xf numFmtId="168" fontId="4" fillId="0" borderId="11" xfId="1" applyNumberFormat="1" applyFont="1" applyFill="1" applyBorder="1" applyAlignment="1">
      <alignment vertical="center"/>
    </xf>
    <xf numFmtId="168" fontId="21" fillId="0" borderId="2" xfId="1" applyNumberFormat="1" applyFont="1" applyFill="1" applyBorder="1" applyAlignment="1">
      <alignment vertical="center"/>
    </xf>
    <xf numFmtId="0" fontId="39" fillId="0" borderId="0" xfId="0" applyFont="1" applyFill="1" applyBorder="1"/>
    <xf numFmtId="0" fontId="34" fillId="0" borderId="2" xfId="0" applyFont="1" applyFill="1" applyBorder="1"/>
    <xf numFmtId="176" fontId="34" fillId="0" borderId="2" xfId="0" applyNumberFormat="1" applyFont="1" applyFill="1" applyBorder="1"/>
    <xf numFmtId="0" fontId="4" fillId="0" borderId="4" xfId="3" applyFont="1" applyFill="1" applyBorder="1" applyAlignment="1">
      <alignment vertical="center"/>
    </xf>
    <xf numFmtId="0" fontId="4" fillId="0" borderId="6" xfId="3" applyFont="1" applyFill="1" applyBorder="1" applyAlignment="1">
      <alignment vertical="center"/>
    </xf>
    <xf numFmtId="0" fontId="4" fillId="0" borderId="14" xfId="3" applyFont="1" applyFill="1" applyBorder="1" applyAlignment="1">
      <alignment vertical="center"/>
    </xf>
    <xf numFmtId="0" fontId="4" fillId="0" borderId="8" xfId="3" applyFont="1" applyFill="1" applyBorder="1" applyAlignment="1">
      <alignment vertical="center"/>
    </xf>
    <xf numFmtId="170" fontId="4" fillId="0" borderId="5" xfId="1" applyNumberFormat="1" applyFont="1" applyFill="1" applyBorder="1" applyAlignment="1">
      <alignment vertical="center"/>
    </xf>
    <xf numFmtId="0" fontId="4" fillId="0" borderId="5" xfId="3" applyFont="1" applyFill="1" applyBorder="1" applyAlignment="1">
      <alignment vertical="center"/>
    </xf>
    <xf numFmtId="168" fontId="17" fillId="0" borderId="1" xfId="1" quotePrefix="1" applyNumberFormat="1" applyFont="1" applyFill="1" applyBorder="1" applyAlignment="1">
      <alignment horizontal="center" vertical="center"/>
    </xf>
    <xf numFmtId="168" fontId="17" fillId="0" borderId="11" xfId="1" quotePrefix="1" applyNumberFormat="1" applyFont="1" applyFill="1" applyBorder="1" applyAlignment="1">
      <alignment horizontal="center" vertical="center"/>
    </xf>
    <xf numFmtId="168" fontId="17" fillId="0" borderId="9" xfId="1" quotePrefix="1" applyNumberFormat="1" applyFont="1" applyFill="1" applyBorder="1" applyAlignment="1">
      <alignment horizontal="center" vertical="center"/>
    </xf>
    <xf numFmtId="164" fontId="21" fillId="0" borderId="0" xfId="1" applyFont="1" applyFill="1" applyBorder="1" applyAlignment="1">
      <alignment vertical="center"/>
    </xf>
    <xf numFmtId="164" fontId="91" fillId="0" borderId="7" xfId="1" applyFont="1" applyFill="1" applyBorder="1" applyAlignment="1">
      <alignment vertical="center"/>
    </xf>
    <xf numFmtId="164" fontId="91" fillId="0" borderId="0" xfId="1" applyFont="1" applyFill="1" applyBorder="1" applyAlignment="1">
      <alignment vertical="center"/>
    </xf>
    <xf numFmtId="164" fontId="91" fillId="0" borderId="7" xfId="0" applyNumberFormat="1" applyFont="1" applyFill="1" applyBorder="1" applyAlignment="1">
      <alignment vertical="center"/>
    </xf>
    <xf numFmtId="164" fontId="91" fillId="0" borderId="0" xfId="0" applyNumberFormat="1" applyFont="1" applyFill="1" applyBorder="1" applyAlignment="1">
      <alignment vertical="center"/>
    </xf>
    <xf numFmtId="176" fontId="0" fillId="0" borderId="0" xfId="0" applyNumberFormat="1" applyFont="1" applyBorder="1"/>
    <xf numFmtId="0" fontId="2" fillId="0" borderId="0" xfId="0" applyFont="1" applyFill="1" applyBorder="1" applyAlignment="1">
      <alignment vertical="center"/>
    </xf>
    <xf numFmtId="168" fontId="21" fillId="0" borderId="0" xfId="1" applyNumberFormat="1" applyFont="1" applyFill="1" applyBorder="1" applyAlignment="1">
      <alignment horizontal="left" vertical="center" wrapText="1"/>
    </xf>
    <xf numFmtId="0" fontId="91" fillId="0" borderId="0" xfId="0" applyFont="1" applyFill="1" applyBorder="1" applyAlignment="1">
      <alignment wrapText="1"/>
    </xf>
    <xf numFmtId="0" fontId="21" fillId="0" borderId="5" xfId="0" applyFont="1" applyFill="1" applyBorder="1" applyAlignment="1">
      <alignment horizontal="justify" vertical="center" wrapText="1"/>
    </xf>
    <xf numFmtId="174" fontId="21" fillId="0" borderId="5" xfId="1" applyNumberFormat="1" applyFont="1" applyFill="1" applyBorder="1" applyAlignment="1">
      <alignment vertical="center"/>
    </xf>
    <xf numFmtId="174" fontId="21" fillId="0" borderId="5" xfId="0" applyNumberFormat="1" applyFont="1" applyFill="1" applyBorder="1" applyAlignment="1">
      <alignment vertical="center"/>
    </xf>
    <xf numFmtId="0" fontId="2" fillId="0" borderId="9" xfId="0" applyFont="1" applyFill="1" applyBorder="1" applyAlignment="1">
      <alignment vertical="center"/>
    </xf>
    <xf numFmtId="168" fontId="21" fillId="0" borderId="4" xfId="1" applyNumberFormat="1" applyFont="1" applyFill="1" applyBorder="1" applyAlignment="1">
      <alignment vertical="center"/>
    </xf>
    <xf numFmtId="168" fontId="91" fillId="0" borderId="4" xfId="0" applyNumberFormat="1" applyFont="1" applyFill="1" applyBorder="1" applyAlignment="1">
      <alignment horizontal="center" vertical="center"/>
    </xf>
    <xf numFmtId="168" fontId="91" fillId="0" borderId="4" xfId="1" applyNumberFormat="1" applyFont="1" applyFill="1" applyBorder="1" applyAlignment="1">
      <alignment horizontal="center" vertical="center"/>
    </xf>
    <xf numFmtId="168" fontId="91" fillId="0" borderId="4" xfId="1" applyNumberFormat="1" applyFont="1" applyFill="1" applyBorder="1" applyAlignment="1">
      <alignment vertical="center"/>
    </xf>
    <xf numFmtId="168" fontId="91" fillId="0" borderId="4" xfId="1" applyNumberFormat="1" applyFont="1" applyFill="1" applyBorder="1" applyAlignment="1">
      <alignment horizontal="right" vertical="center" wrapText="1"/>
    </xf>
    <xf numFmtId="168" fontId="91" fillId="0" borderId="62" xfId="1" applyNumberFormat="1" applyFont="1" applyFill="1" applyBorder="1" applyAlignment="1">
      <alignment horizontal="right" vertical="center" wrapText="1"/>
    </xf>
    <xf numFmtId="168" fontId="91" fillId="0" borderId="4" xfId="1" applyNumberFormat="1" applyFont="1" applyFill="1" applyBorder="1" applyAlignment="1">
      <alignment horizontal="center" vertical="center" wrapText="1"/>
    </xf>
    <xf numFmtId="168" fontId="21" fillId="0" borderId="4" xfId="1" applyNumberFormat="1" applyFont="1" applyFill="1" applyBorder="1" applyAlignment="1">
      <alignment vertical="center" wrapText="1"/>
    </xf>
    <xf numFmtId="0" fontId="21" fillId="0" borderId="8" xfId="0" applyFont="1" applyFill="1" applyBorder="1" applyAlignment="1">
      <alignment vertical="center"/>
    </xf>
    <xf numFmtId="168" fontId="21" fillId="0" borderId="6" xfId="1" applyNumberFormat="1" applyFont="1" applyFill="1" applyBorder="1" applyAlignment="1">
      <alignment vertical="center"/>
    </xf>
    <xf numFmtId="168" fontId="16" fillId="0" borderId="14" xfId="1" applyNumberFormat="1" applyFont="1" applyFill="1" applyBorder="1"/>
    <xf numFmtId="15" fontId="16" fillId="0" borderId="9" xfId="0" applyNumberFormat="1" applyFont="1" applyFill="1" applyBorder="1" applyAlignment="1">
      <alignment horizontal="center"/>
    </xf>
    <xf numFmtId="168" fontId="16" fillId="0" borderId="4" xfId="1" applyNumberFormat="1" applyFont="1" applyFill="1" applyBorder="1" applyAlignment="1">
      <alignment horizontal="center"/>
    </xf>
    <xf numFmtId="168" fontId="75" fillId="0" borderId="4" xfId="1" applyNumberFormat="1" applyFont="1" applyFill="1" applyBorder="1" applyAlignment="1">
      <alignment horizontal="center"/>
    </xf>
    <xf numFmtId="0" fontId="75" fillId="0" borderId="9" xfId="0" applyFont="1" applyFill="1" applyBorder="1"/>
    <xf numFmtId="0" fontId="21" fillId="0" borderId="9" xfId="0" applyFont="1" applyFill="1" applyBorder="1"/>
    <xf numFmtId="0" fontId="91" fillId="0" borderId="9" xfId="0" applyFont="1" applyFill="1" applyBorder="1" applyAlignment="1">
      <alignment horizontal="left" indent="1"/>
    </xf>
    <xf numFmtId="168" fontId="75" fillId="0" borderId="62" xfId="1" applyNumberFormat="1" applyFont="1" applyFill="1" applyBorder="1" applyAlignment="1">
      <alignment horizontal="center"/>
    </xf>
    <xf numFmtId="0" fontId="75" fillId="0" borderId="9" xfId="0" applyFont="1" applyFill="1" applyBorder="1" applyAlignment="1">
      <alignment horizontal="left" indent="1"/>
    </xf>
    <xf numFmtId="168" fontId="16" fillId="0" borderId="4" xfId="1" applyNumberFormat="1" applyFont="1" applyFill="1" applyBorder="1" applyAlignment="1" applyProtection="1">
      <alignment horizontal="right"/>
    </xf>
    <xf numFmtId="0" fontId="21" fillId="0" borderId="9" xfId="0" applyFont="1" applyFill="1" applyBorder="1" applyAlignment="1">
      <alignment horizontal="left" vertical="center" wrapText="1"/>
    </xf>
    <xf numFmtId="0" fontId="21" fillId="0" borderId="9" xfId="0" applyFont="1" applyFill="1" applyBorder="1" applyAlignment="1">
      <alignment wrapText="1"/>
    </xf>
    <xf numFmtId="0" fontId="91" fillId="0" borderId="9" xfId="0" applyFont="1" applyFill="1" applyBorder="1"/>
    <xf numFmtId="168" fontId="75" fillId="0" borderId="6" xfId="1" applyNumberFormat="1" applyFont="1" applyFill="1" applyBorder="1" applyAlignment="1">
      <alignment horizontal="center"/>
    </xf>
    <xf numFmtId="168" fontId="16" fillId="0" borderId="6" xfId="1" applyNumberFormat="1" applyFont="1" applyFill="1" applyBorder="1"/>
    <xf numFmtId="0" fontId="75" fillId="0" borderId="14" xfId="0" applyFont="1" applyFill="1" applyBorder="1" applyAlignment="1">
      <alignment vertical="center"/>
    </xf>
    <xf numFmtId="0" fontId="16" fillId="0" borderId="4" xfId="0" applyFont="1" applyFill="1" applyBorder="1" applyAlignment="1">
      <alignment horizontal="left" vertical="center" wrapText="1"/>
    </xf>
    <xf numFmtId="0" fontId="16" fillId="0" borderId="4" xfId="0" applyFont="1" applyFill="1" applyBorder="1" applyAlignment="1">
      <alignment horizontal="center"/>
    </xf>
    <xf numFmtId="0" fontId="16" fillId="0" borderId="14" xfId="0" applyFont="1" applyFill="1" applyBorder="1" applyAlignment="1"/>
    <xf numFmtId="0" fontId="16" fillId="0" borderId="4" xfId="0" applyFont="1" applyFill="1" applyBorder="1" applyAlignment="1">
      <alignment horizontal="left" wrapText="1"/>
    </xf>
    <xf numFmtId="0" fontId="75" fillId="0" borderId="4" xfId="0" applyFont="1" applyFill="1" applyBorder="1" applyAlignment="1"/>
    <xf numFmtId="0" fontId="21" fillId="0" borderId="5" xfId="0" applyFont="1" applyFill="1" applyBorder="1" applyAlignment="1">
      <alignment wrapText="1"/>
    </xf>
    <xf numFmtId="0" fontId="16" fillId="0" borderId="6" xfId="0" applyFont="1" applyFill="1" applyBorder="1" applyAlignment="1">
      <alignment wrapText="1"/>
    </xf>
    <xf numFmtId="168" fontId="27" fillId="0" borderId="11" xfId="1" quotePrefix="1" applyNumberFormat="1" applyFont="1" applyFill="1" applyBorder="1" applyAlignment="1">
      <alignment horizontal="center"/>
    </xf>
    <xf numFmtId="164" fontId="3" fillId="0" borderId="14" xfId="1" applyFont="1" applyFill="1" applyBorder="1"/>
    <xf numFmtId="164" fontId="3" fillId="0" borderId="4" xfId="1" applyFont="1" applyFill="1" applyBorder="1"/>
    <xf numFmtId="164" fontId="3" fillId="0" borderId="6" xfId="1" applyFont="1" applyFill="1" applyBorder="1"/>
    <xf numFmtId="0" fontId="0" fillId="0" borderId="4" xfId="0" applyBorder="1"/>
    <xf numFmtId="0" fontId="16" fillId="0" borderId="4" xfId="0" applyFont="1" applyFill="1" applyBorder="1" applyAlignment="1">
      <alignment horizontal="justify" vertical="justify" wrapText="1"/>
    </xf>
    <xf numFmtId="168" fontId="16" fillId="0" borderId="6" xfId="0" applyNumberFormat="1" applyFont="1" applyFill="1" applyBorder="1" applyAlignment="1">
      <alignment vertical="center" wrapText="1"/>
    </xf>
    <xf numFmtId="0" fontId="27" fillId="0" borderId="4" xfId="3" quotePrefix="1" applyFont="1" applyFill="1" applyBorder="1" applyAlignment="1">
      <alignment horizontal="center" vertical="center"/>
    </xf>
    <xf numFmtId="0" fontId="16" fillId="0" borderId="74" xfId="0" applyFont="1" applyFill="1" applyBorder="1" applyAlignment="1">
      <alignment vertical="center"/>
    </xf>
    <xf numFmtId="168" fontId="16" fillId="0" borderId="75" xfId="1" applyNumberFormat="1" applyFont="1" applyFill="1" applyBorder="1" applyAlignment="1">
      <alignment vertical="center"/>
    </xf>
    <xf numFmtId="168" fontId="75" fillId="0" borderId="76" xfId="1" quotePrefix="1" applyNumberFormat="1" applyFont="1" applyFill="1" applyBorder="1" applyAlignment="1">
      <alignment horizontal="center" vertical="center"/>
    </xf>
    <xf numFmtId="168" fontId="75" fillId="0" borderId="75" xfId="1" applyNumberFormat="1" applyFont="1" applyFill="1" applyBorder="1" applyAlignment="1">
      <alignment horizontal="center" vertical="center"/>
    </xf>
    <xf numFmtId="0" fontId="75" fillId="0" borderId="74" xfId="0" applyFont="1" applyFill="1" applyBorder="1" applyAlignment="1">
      <alignment vertical="center"/>
    </xf>
    <xf numFmtId="168" fontId="75" fillId="0" borderId="77" xfId="1" applyNumberFormat="1" applyFont="1" applyFill="1" applyBorder="1" applyAlignment="1">
      <alignment vertical="center"/>
    </xf>
    <xf numFmtId="168" fontId="16" fillId="0" borderId="78" xfId="1" applyNumberFormat="1" applyFont="1" applyFill="1" applyBorder="1" applyAlignment="1">
      <alignment vertical="center"/>
    </xf>
    <xf numFmtId="168" fontId="16" fillId="0" borderId="79" xfId="1" applyNumberFormat="1" applyFont="1" applyFill="1" applyBorder="1" applyAlignment="1">
      <alignment vertical="center"/>
    </xf>
    <xf numFmtId="168" fontId="75" fillId="0" borderId="75" xfId="1" applyNumberFormat="1" applyFont="1" applyFill="1" applyBorder="1" applyAlignment="1">
      <alignment vertical="center"/>
    </xf>
    <xf numFmtId="168" fontId="16" fillId="0" borderId="76" xfId="1" applyNumberFormat="1" applyFont="1" applyFill="1" applyBorder="1" applyAlignment="1">
      <alignment vertical="center"/>
    </xf>
    <xf numFmtId="168" fontId="16" fillId="0" borderId="80" xfId="1" applyNumberFormat="1" applyFont="1" applyFill="1" applyBorder="1" applyAlignment="1">
      <alignment vertical="center"/>
    </xf>
    <xf numFmtId="0" fontId="82" fillId="0" borderId="74" xfId="0" applyFont="1" applyFill="1" applyBorder="1" applyAlignment="1">
      <alignment vertical="center"/>
    </xf>
    <xf numFmtId="0" fontId="2" fillId="0" borderId="74" xfId="0" applyFont="1" applyFill="1" applyBorder="1" applyAlignment="1">
      <alignment vertical="center"/>
    </xf>
    <xf numFmtId="0" fontId="16" fillId="0" borderId="81" xfId="0" applyFont="1" applyFill="1" applyBorder="1" applyAlignment="1">
      <alignment vertical="center"/>
    </xf>
    <xf numFmtId="0" fontId="16" fillId="0" borderId="82" xfId="0" applyFont="1" applyFill="1" applyBorder="1" applyAlignment="1">
      <alignment horizontal="center" vertical="center"/>
    </xf>
    <xf numFmtId="168" fontId="16" fillId="0" borderId="82" xfId="1" applyNumberFormat="1" applyFont="1" applyFill="1" applyBorder="1" applyAlignment="1">
      <alignment vertical="center"/>
    </xf>
    <xf numFmtId="168" fontId="16" fillId="0" borderId="83" xfId="1" applyNumberFormat="1" applyFont="1" applyFill="1" applyBorder="1" applyAlignment="1">
      <alignment vertical="center"/>
    </xf>
    <xf numFmtId="168" fontId="75" fillId="0" borderId="40" xfId="1" quotePrefix="1" applyNumberFormat="1" applyFont="1" applyFill="1" applyBorder="1" applyAlignment="1">
      <alignment horizontal="center" vertical="center"/>
    </xf>
    <xf numFmtId="168" fontId="16" fillId="0" borderId="40" xfId="1" applyNumberFormat="1" applyFont="1" applyFill="1" applyBorder="1" applyAlignment="1">
      <alignment vertical="center"/>
    </xf>
    <xf numFmtId="0" fontId="17" fillId="0" borderId="72" xfId="0" applyFont="1" applyFill="1" applyBorder="1" applyAlignment="1">
      <alignment horizontal="center" vertical="center"/>
    </xf>
    <xf numFmtId="166" fontId="91" fillId="0" borderId="13" xfId="0" applyNumberFormat="1" applyFont="1" applyFill="1" applyBorder="1" applyAlignment="1">
      <alignment horizontal="center" vertical="center"/>
    </xf>
    <xf numFmtId="166" fontId="91" fillId="0" borderId="14" xfId="0" applyNumberFormat="1" applyFont="1" applyFill="1" applyBorder="1" applyAlignment="1">
      <alignment horizontal="center" vertical="center"/>
    </xf>
    <xf numFmtId="166" fontId="91" fillId="0" borderId="4" xfId="0" applyNumberFormat="1" applyFont="1" applyFill="1" applyBorder="1" applyAlignment="1">
      <alignment horizontal="center" vertical="center"/>
    </xf>
    <xf numFmtId="166" fontId="91" fillId="0" borderId="4" xfId="0" quotePrefix="1" applyNumberFormat="1" applyFont="1" applyFill="1" applyBorder="1" applyAlignment="1">
      <alignment horizontal="center" vertical="center"/>
    </xf>
    <xf numFmtId="0" fontId="21" fillId="0" borderId="74" xfId="0" applyFont="1" applyFill="1" applyBorder="1" applyAlignment="1">
      <alignment vertical="center"/>
    </xf>
    <xf numFmtId="168" fontId="21" fillId="0" borderId="75" xfId="1" applyNumberFormat="1" applyFont="1" applyFill="1" applyBorder="1" applyAlignment="1">
      <alignment vertical="center"/>
    </xf>
    <xf numFmtId="0" fontId="91" fillId="0" borderId="74" xfId="0" applyFont="1" applyFill="1" applyBorder="1" applyAlignment="1">
      <alignment vertical="center"/>
    </xf>
    <xf numFmtId="168" fontId="91" fillId="0" borderId="75" xfId="0" applyNumberFormat="1" applyFont="1" applyFill="1" applyBorder="1" applyAlignment="1">
      <alignment horizontal="center" vertical="center"/>
    </xf>
    <xf numFmtId="168" fontId="91" fillId="0" borderId="76" xfId="1" quotePrefix="1" applyNumberFormat="1" applyFont="1" applyFill="1" applyBorder="1" applyAlignment="1">
      <alignment horizontal="center" vertical="center"/>
    </xf>
    <xf numFmtId="168" fontId="91" fillId="0" borderId="75" xfId="1" applyNumberFormat="1" applyFont="1" applyFill="1" applyBorder="1" applyAlignment="1">
      <alignment horizontal="center" vertical="center"/>
    </xf>
    <xf numFmtId="168" fontId="91" fillId="0" borderId="75" xfId="1" applyNumberFormat="1" applyFont="1" applyFill="1" applyBorder="1" applyAlignment="1">
      <alignment vertical="center"/>
    </xf>
    <xf numFmtId="0" fontId="16" fillId="0" borderId="84" xfId="0" applyFont="1" applyFill="1" applyBorder="1" applyAlignment="1">
      <alignment vertical="center"/>
    </xf>
    <xf numFmtId="168" fontId="21" fillId="0" borderId="80" xfId="1" applyNumberFormat="1" applyFont="1" applyFill="1" applyBorder="1" applyAlignment="1">
      <alignment horizontal="right" vertical="center" wrapText="1"/>
    </xf>
    <xf numFmtId="168" fontId="21" fillId="0" borderId="78" xfId="1" applyNumberFormat="1" applyFont="1" applyFill="1" applyBorder="1" applyAlignment="1">
      <alignment horizontal="right" vertical="center" wrapText="1"/>
    </xf>
    <xf numFmtId="0" fontId="16" fillId="0" borderId="74" xfId="0" applyFont="1" applyFill="1" applyBorder="1" applyAlignment="1">
      <alignment horizontal="left" vertical="center"/>
    </xf>
    <xf numFmtId="168" fontId="21" fillId="0" borderId="79" xfId="1" applyNumberFormat="1" applyFont="1" applyFill="1" applyBorder="1" applyAlignment="1">
      <alignment horizontal="right" vertical="center" wrapText="1"/>
    </xf>
    <xf numFmtId="0" fontId="91" fillId="0" borderId="85" xfId="0" applyFont="1" applyFill="1" applyBorder="1" applyAlignment="1">
      <alignment vertical="center"/>
    </xf>
    <xf numFmtId="168" fontId="91" fillId="0" borderId="77" xfId="1" applyNumberFormat="1" applyFont="1" applyFill="1" applyBorder="1" applyAlignment="1">
      <alignment horizontal="right" vertical="center" wrapText="1"/>
    </xf>
    <xf numFmtId="168" fontId="91" fillId="0" borderId="75" xfId="1" applyNumberFormat="1" applyFont="1" applyFill="1" applyBorder="1" applyAlignment="1">
      <alignment horizontal="right" vertical="center" wrapText="1"/>
    </xf>
    <xf numFmtId="0" fontId="75" fillId="0" borderId="84" xfId="0" applyFont="1" applyFill="1" applyBorder="1" applyAlignment="1">
      <alignment vertical="center"/>
    </xf>
    <xf numFmtId="168" fontId="91" fillId="0" borderId="86" xfId="1" applyNumberFormat="1" applyFont="1" applyFill="1" applyBorder="1" applyAlignment="1">
      <alignment horizontal="right" vertical="center" wrapText="1"/>
    </xf>
    <xf numFmtId="168" fontId="91" fillId="0" borderId="75" xfId="1" applyNumberFormat="1" applyFont="1" applyFill="1" applyBorder="1" applyAlignment="1">
      <alignment horizontal="center" vertical="center" wrapText="1"/>
    </xf>
    <xf numFmtId="0" fontId="91" fillId="0" borderId="74" xfId="0" applyFont="1" applyFill="1" applyBorder="1" applyAlignment="1">
      <alignment horizontal="left" vertical="center"/>
    </xf>
    <xf numFmtId="168" fontId="21" fillId="0" borderId="75" xfId="1" applyNumberFormat="1" applyFont="1" applyFill="1" applyBorder="1" applyAlignment="1">
      <alignment vertical="center" wrapText="1"/>
    </xf>
    <xf numFmtId="168" fontId="91" fillId="0" borderId="76" xfId="1" applyNumberFormat="1" applyFont="1" applyFill="1" applyBorder="1" applyAlignment="1">
      <alignment horizontal="right" vertical="center" wrapText="1"/>
    </xf>
    <xf numFmtId="168" fontId="21" fillId="0" borderId="76" xfId="1" applyNumberFormat="1" applyFont="1" applyFill="1" applyBorder="1" applyAlignment="1">
      <alignment horizontal="right" vertical="center" wrapText="1"/>
    </xf>
    <xf numFmtId="0" fontId="91" fillId="0" borderId="84" xfId="0" applyFont="1" applyFill="1" applyBorder="1" applyAlignment="1">
      <alignment vertical="center"/>
    </xf>
    <xf numFmtId="168" fontId="91" fillId="0" borderId="80" xfId="1" applyNumberFormat="1" applyFont="1" applyFill="1" applyBorder="1" applyAlignment="1">
      <alignment horizontal="right" vertical="center" wrapText="1"/>
    </xf>
    <xf numFmtId="0" fontId="91" fillId="0" borderId="87" xfId="0" applyFont="1" applyFill="1" applyBorder="1" applyAlignment="1">
      <alignment vertical="center"/>
    </xf>
    <xf numFmtId="168" fontId="91" fillId="0" borderId="79" xfId="1" applyNumberFormat="1" applyFont="1" applyFill="1" applyBorder="1" applyAlignment="1">
      <alignment horizontal="right" vertical="center" wrapText="1"/>
    </xf>
    <xf numFmtId="0" fontId="21" fillId="0" borderId="81" xfId="0" applyFont="1" applyFill="1" applyBorder="1" applyAlignment="1">
      <alignment vertical="center"/>
    </xf>
    <xf numFmtId="0" fontId="21" fillId="0" borderId="82" xfId="0" applyFont="1" applyFill="1" applyBorder="1" applyAlignment="1">
      <alignment horizontal="center" vertical="center"/>
    </xf>
    <xf numFmtId="168" fontId="21" fillId="0" borderId="82" xfId="1" applyNumberFormat="1" applyFont="1" applyFill="1" applyBorder="1" applyAlignment="1">
      <alignment horizontal="center" vertical="center"/>
    </xf>
    <xf numFmtId="0" fontId="21" fillId="0" borderId="82" xfId="0" applyFont="1" applyFill="1" applyBorder="1" applyAlignment="1">
      <alignment vertical="center"/>
    </xf>
    <xf numFmtId="168" fontId="21" fillId="0" borderId="83" xfId="1" applyNumberFormat="1" applyFont="1" applyFill="1" applyBorder="1" applyAlignment="1">
      <alignment vertical="center"/>
    </xf>
    <xf numFmtId="0" fontId="17" fillId="0" borderId="9" xfId="0" applyFont="1" applyFill="1" applyBorder="1" applyAlignment="1">
      <alignment horizontal="center"/>
    </xf>
    <xf numFmtId="0" fontId="17" fillId="0" borderId="4" xfId="0" applyFont="1" applyFill="1" applyBorder="1" applyAlignment="1">
      <alignment horizontal="center"/>
    </xf>
    <xf numFmtId="15" fontId="17" fillId="0" borderId="9" xfId="0" quotePrefix="1" applyNumberFormat="1" applyFont="1" applyFill="1" applyBorder="1" applyAlignment="1">
      <alignment horizontal="center"/>
    </xf>
    <xf numFmtId="15" fontId="17" fillId="0" borderId="4" xfId="0" applyNumberFormat="1" applyFont="1" applyFill="1" applyBorder="1" applyAlignment="1">
      <alignment horizontal="center"/>
    </xf>
    <xf numFmtId="168" fontId="75" fillId="0" borderId="11" xfId="1" quotePrefix="1" applyNumberFormat="1" applyFont="1" applyFill="1" applyBorder="1" applyAlignment="1">
      <alignment horizontal="center"/>
    </xf>
    <xf numFmtId="0" fontId="16" fillId="0" borderId="71" xfId="0" applyFont="1" applyFill="1" applyBorder="1"/>
    <xf numFmtId="0" fontId="16" fillId="0" borderId="88" xfId="0" applyFont="1" applyFill="1" applyBorder="1"/>
    <xf numFmtId="0" fontId="16" fillId="0" borderId="72" xfId="0" applyFont="1" applyFill="1" applyBorder="1"/>
    <xf numFmtId="0" fontId="16" fillId="0" borderId="72" xfId="0" applyFont="1" applyFill="1" applyBorder="1" applyAlignment="1">
      <alignment horizontal="center"/>
    </xf>
    <xf numFmtId="168" fontId="16" fillId="0" borderId="73" xfId="1" applyNumberFormat="1" applyFont="1" applyFill="1" applyBorder="1"/>
    <xf numFmtId="0" fontId="16" fillId="0" borderId="74" xfId="0" applyFont="1" applyFill="1" applyBorder="1"/>
    <xf numFmtId="0" fontId="17" fillId="0" borderId="75" xfId="0" applyFont="1" applyFill="1" applyBorder="1" applyAlignment="1">
      <alignment horizontal="center"/>
    </xf>
    <xf numFmtId="0" fontId="75" fillId="0" borderId="75" xfId="0" applyFont="1" applyFill="1" applyBorder="1" applyAlignment="1">
      <alignment horizontal="center"/>
    </xf>
    <xf numFmtId="15" fontId="17" fillId="0" borderId="75" xfId="0" applyNumberFormat="1" applyFont="1" applyFill="1" applyBorder="1" applyAlignment="1">
      <alignment horizontal="center"/>
    </xf>
    <xf numFmtId="168" fontId="16" fillId="0" borderId="75" xfId="0" applyNumberFormat="1" applyFont="1" applyFill="1" applyBorder="1" applyAlignment="1">
      <alignment horizontal="center"/>
    </xf>
    <xf numFmtId="168" fontId="75" fillId="0" borderId="75" xfId="0" quotePrefix="1" applyNumberFormat="1" applyFont="1" applyFill="1" applyBorder="1" applyAlignment="1">
      <alignment horizontal="center"/>
    </xf>
    <xf numFmtId="168" fontId="75" fillId="0" borderId="75" xfId="1" applyNumberFormat="1" applyFont="1" applyFill="1" applyBorder="1" applyAlignment="1">
      <alignment horizontal="center"/>
    </xf>
    <xf numFmtId="0" fontId="75" fillId="0" borderId="74" xfId="0" applyFont="1" applyFill="1" applyBorder="1"/>
    <xf numFmtId="168" fontId="16" fillId="0" borderId="75" xfId="1" applyNumberFormat="1" applyFont="1" applyFill="1" applyBorder="1" applyAlignment="1">
      <alignment horizontal="center"/>
    </xf>
    <xf numFmtId="0" fontId="75" fillId="0" borderId="81" xfId="0" applyFont="1" applyFill="1" applyBorder="1"/>
    <xf numFmtId="0" fontId="16" fillId="0" borderId="89" xfId="0" applyFont="1" applyFill="1" applyBorder="1"/>
    <xf numFmtId="0" fontId="16" fillId="0" borderId="82" xfId="0" applyFont="1" applyFill="1" applyBorder="1"/>
    <xf numFmtId="0" fontId="16" fillId="0" borderId="82" xfId="0" applyFont="1" applyFill="1" applyBorder="1" applyAlignment="1">
      <alignment horizontal="center"/>
    </xf>
    <xf numFmtId="168" fontId="16" fillId="0" borderId="83" xfId="1" applyNumberFormat="1" applyFont="1" applyFill="1" applyBorder="1"/>
    <xf numFmtId="168" fontId="16" fillId="0" borderId="90" xfId="1" applyNumberFormat="1" applyFont="1" applyFill="1" applyBorder="1"/>
    <xf numFmtId="168" fontId="75" fillId="0" borderId="68" xfId="1" applyNumberFormat="1" applyFont="1" applyFill="1" applyBorder="1" applyAlignment="1">
      <alignment horizontal="center"/>
    </xf>
    <xf numFmtId="168" fontId="16" fillId="0" borderId="91" xfId="1" applyNumberFormat="1" applyFont="1" applyFill="1" applyBorder="1"/>
    <xf numFmtId="0" fontId="75" fillId="0" borderId="74" xfId="0" applyFont="1" applyFill="1" applyBorder="1" applyAlignment="1"/>
    <xf numFmtId="168" fontId="75" fillId="0" borderId="77" xfId="1" applyNumberFormat="1" applyFont="1" applyFill="1" applyBorder="1" applyAlignment="1"/>
    <xf numFmtId="0" fontId="75" fillId="0" borderId="92" xfId="0" applyFont="1" applyFill="1" applyBorder="1" applyAlignment="1">
      <alignment horizontal="center" vertical="center"/>
    </xf>
    <xf numFmtId="168" fontId="75" fillId="0" borderId="76" xfId="1" applyNumberFormat="1" applyFont="1" applyFill="1" applyBorder="1" applyAlignment="1">
      <alignment horizontal="center" vertical="center" wrapText="1"/>
    </xf>
    <xf numFmtId="0" fontId="75" fillId="0" borderId="93" xfId="0" applyFont="1" applyFill="1" applyBorder="1" applyAlignment="1">
      <alignment horizontal="center" vertical="top"/>
    </xf>
    <xf numFmtId="168" fontId="75" fillId="0" borderId="78" xfId="1" applyNumberFormat="1" applyFont="1" applyFill="1" applyBorder="1" applyAlignment="1">
      <alignment horizontal="center" vertical="top" wrapText="1"/>
    </xf>
    <xf numFmtId="0" fontId="75" fillId="0" borderId="94" xfId="0" applyFont="1" applyFill="1" applyBorder="1" applyAlignment="1">
      <alignment horizontal="left" vertical="top"/>
    </xf>
    <xf numFmtId="168" fontId="16" fillId="0" borderId="78" xfId="1" applyNumberFormat="1" applyFont="1" applyFill="1" applyBorder="1" applyAlignment="1"/>
    <xf numFmtId="0" fontId="75" fillId="0" borderId="94" xfId="0" applyFont="1" applyFill="1" applyBorder="1" applyAlignment="1">
      <alignment vertical="top"/>
    </xf>
    <xf numFmtId="168" fontId="75" fillId="0" borderId="78" xfId="1" applyNumberFormat="1" applyFont="1" applyFill="1" applyBorder="1" applyAlignment="1"/>
    <xf numFmtId="168" fontId="16" fillId="0" borderId="94" xfId="1" applyNumberFormat="1" applyFont="1" applyFill="1" applyBorder="1" applyAlignment="1">
      <alignment horizontal="left" vertical="center" wrapText="1"/>
    </xf>
    <xf numFmtId="168" fontId="75" fillId="0" borderId="76" xfId="1" applyNumberFormat="1" applyFont="1" applyFill="1" applyBorder="1" applyAlignment="1"/>
    <xf numFmtId="0" fontId="16" fillId="0" borderId="94" xfId="0" applyFont="1" applyFill="1" applyBorder="1" applyAlignment="1">
      <alignment vertical="top"/>
    </xf>
    <xf numFmtId="168" fontId="75" fillId="0" borderId="95" xfId="1" applyNumberFormat="1" applyFont="1" applyFill="1" applyBorder="1" applyAlignment="1"/>
    <xf numFmtId="175" fontId="16" fillId="0" borderId="94" xfId="0" applyNumberFormat="1" applyFont="1" applyFill="1" applyBorder="1" applyAlignment="1">
      <alignment vertical="top"/>
    </xf>
    <xf numFmtId="175" fontId="16" fillId="0" borderId="94" xfId="0" applyNumberFormat="1" applyFont="1" applyFill="1" applyBorder="1" applyAlignment="1">
      <alignment vertical="top" wrapText="1"/>
    </xf>
    <xf numFmtId="0" fontId="75" fillId="0" borderId="92" xfId="0" applyFont="1" applyFill="1" applyBorder="1" applyAlignment="1">
      <alignment vertical="top"/>
    </xf>
    <xf numFmtId="0" fontId="16" fillId="0" borderId="74" xfId="0" applyFont="1" applyFill="1" applyBorder="1" applyAlignment="1"/>
    <xf numFmtId="168" fontId="16" fillId="0" borderId="75" xfId="1" applyNumberFormat="1" applyFont="1" applyFill="1" applyBorder="1" applyAlignment="1"/>
    <xf numFmtId="168" fontId="16" fillId="0" borderId="80" xfId="1" applyNumberFormat="1" applyFont="1" applyFill="1" applyBorder="1" applyAlignment="1"/>
    <xf numFmtId="168" fontId="16" fillId="0" borderId="75" xfId="1" applyNumberFormat="1" applyFont="1" applyFill="1" applyBorder="1" applyAlignment="1">
      <alignment horizontal="left" vertical="center"/>
    </xf>
    <xf numFmtId="0" fontId="16" fillId="0" borderId="74" xfId="0" applyFont="1" applyFill="1" applyBorder="1" applyAlignment="1">
      <alignment vertical="center" wrapText="1"/>
    </xf>
    <xf numFmtId="168" fontId="16" fillId="0" borderId="75" xfId="1" applyNumberFormat="1" applyFont="1" applyFill="1" applyBorder="1" applyAlignment="1">
      <alignment vertical="center" wrapText="1"/>
    </xf>
    <xf numFmtId="0" fontId="75" fillId="0" borderId="96" xfId="0" applyFont="1" applyFill="1" applyBorder="1" applyAlignment="1">
      <alignment vertical="top"/>
    </xf>
    <xf numFmtId="168" fontId="75" fillId="0" borderId="97" xfId="1" applyNumberFormat="1" applyFont="1" applyFill="1" applyBorder="1" applyAlignment="1"/>
    <xf numFmtId="168" fontId="75" fillId="0" borderId="98" xfId="1" applyNumberFormat="1" applyFont="1" applyFill="1" applyBorder="1" applyAlignment="1"/>
    <xf numFmtId="168" fontId="36" fillId="0" borderId="71" xfId="1" quotePrefix="1" applyNumberFormat="1" applyFont="1" applyBorder="1" applyAlignment="1">
      <alignment horizontal="center"/>
    </xf>
    <xf numFmtId="0" fontId="36" fillId="0" borderId="73" xfId="0" applyFont="1" applyBorder="1"/>
    <xf numFmtId="168" fontId="3" fillId="0" borderId="74" xfId="1" applyNumberFormat="1" applyFont="1" applyBorder="1"/>
    <xf numFmtId="0" fontId="3" fillId="0" borderId="75" xfId="0" applyFont="1" applyBorder="1"/>
    <xf numFmtId="168" fontId="27" fillId="0" borderId="74" xfId="1" applyNumberFormat="1" applyFont="1" applyBorder="1"/>
    <xf numFmtId="0" fontId="27" fillId="0" borderId="75" xfId="0" applyFont="1" applyBorder="1"/>
    <xf numFmtId="168" fontId="3" fillId="0" borderId="74" xfId="1" applyNumberFormat="1" applyFont="1" applyBorder="1" applyAlignment="1">
      <alignment horizontal="justify" vertical="top"/>
    </xf>
    <xf numFmtId="0" fontId="3" fillId="0" borderId="75" xfId="0" applyFont="1" applyBorder="1" applyAlignment="1">
      <alignment horizontal="justify" vertical="top"/>
    </xf>
    <xf numFmtId="168" fontId="27" fillId="0" borderId="74" xfId="1" applyNumberFormat="1" applyFont="1" applyBorder="1" applyAlignment="1">
      <alignment horizontal="justify" vertical="top"/>
    </xf>
    <xf numFmtId="0" fontId="27" fillId="0" borderId="75" xfId="0" applyFont="1" applyBorder="1" applyAlignment="1">
      <alignment horizontal="justify" vertical="top"/>
    </xf>
    <xf numFmtId="0" fontId="38" fillId="0" borderId="75" xfId="0" applyFont="1" applyBorder="1" applyAlignment="1">
      <alignment horizontal="center" vertical="top"/>
    </xf>
    <xf numFmtId="16" fontId="3" fillId="0" borderId="75" xfId="0" quotePrefix="1" applyNumberFormat="1" applyFont="1" applyBorder="1" applyAlignment="1">
      <alignment horizontal="center" vertical="top"/>
    </xf>
    <xf numFmtId="0" fontId="3" fillId="0" borderId="75" xfId="0" applyFont="1" applyBorder="1" applyAlignment="1">
      <alignment horizontal="center" vertical="top"/>
    </xf>
    <xf numFmtId="0" fontId="3" fillId="0" borderId="75" xfId="0" quotePrefix="1" applyFont="1" applyBorder="1" applyAlignment="1">
      <alignment horizontal="center" vertical="top"/>
    </xf>
    <xf numFmtId="0" fontId="3" fillId="0" borderId="75" xfId="2" applyFont="1" applyFill="1" applyBorder="1" applyAlignment="1">
      <alignment horizontal="justify" vertical="top" wrapText="1"/>
    </xf>
    <xf numFmtId="168" fontId="3" fillId="0" borderId="81" xfId="1" applyNumberFormat="1" applyFont="1" applyBorder="1" applyAlignment="1">
      <alignment horizontal="justify" vertical="top"/>
    </xf>
    <xf numFmtId="164" fontId="3" fillId="0" borderId="82" xfId="1" applyNumberFormat="1" applyFont="1" applyBorder="1" applyAlignment="1">
      <alignment vertical="top"/>
    </xf>
    <xf numFmtId="0" fontId="3" fillId="0" borderId="82" xfId="0" applyFont="1" applyBorder="1" applyAlignment="1">
      <alignment horizontal="justify" vertical="top" wrapText="1"/>
    </xf>
    <xf numFmtId="0" fontId="3" fillId="0" borderId="83" xfId="0" applyFont="1" applyBorder="1" applyAlignment="1">
      <alignment horizontal="justify" vertical="top"/>
    </xf>
    <xf numFmtId="168" fontId="75" fillId="0" borderId="13" xfId="1" applyNumberFormat="1" applyFont="1" applyFill="1" applyBorder="1" applyAlignment="1">
      <alignment horizontal="center" vertical="center"/>
    </xf>
    <xf numFmtId="168" fontId="75" fillId="0" borderId="14" xfId="1" applyNumberFormat="1" applyFont="1" applyFill="1" applyBorder="1" applyAlignment="1">
      <alignment horizontal="center" vertical="center"/>
    </xf>
    <xf numFmtId="168" fontId="75" fillId="0" borderId="4" xfId="1" quotePrefix="1" applyNumberFormat="1" applyFont="1" applyFill="1" applyBorder="1" applyAlignment="1">
      <alignment horizontal="center" vertical="center"/>
    </xf>
    <xf numFmtId="168" fontId="75" fillId="0" borderId="74" xfId="1" quotePrefix="1" applyNumberFormat="1" applyFont="1" applyFill="1" applyBorder="1" applyAlignment="1">
      <alignment horizontal="center" vertical="center"/>
    </xf>
    <xf numFmtId="168" fontId="75" fillId="0" borderId="87" xfId="1" applyNumberFormat="1" applyFont="1" applyFill="1" applyBorder="1" applyAlignment="1">
      <alignment horizontal="center" vertical="center"/>
    </xf>
    <xf numFmtId="168" fontId="16" fillId="0" borderId="77" xfId="1" applyNumberFormat="1" applyFont="1" applyFill="1" applyBorder="1" applyAlignment="1">
      <alignment vertical="center"/>
    </xf>
    <xf numFmtId="168" fontId="75" fillId="0" borderId="84" xfId="1" applyNumberFormat="1" applyFont="1" applyFill="1" applyBorder="1" applyAlignment="1">
      <alignment horizontal="center" vertical="center"/>
    </xf>
    <xf numFmtId="168" fontId="16" fillId="0" borderId="99" xfId="1" applyNumberFormat="1" applyFont="1" applyFill="1" applyBorder="1" applyAlignment="1">
      <alignment vertical="center"/>
    </xf>
    <xf numFmtId="168" fontId="75" fillId="0" borderId="74" xfId="1" applyNumberFormat="1" applyFont="1" applyFill="1" applyBorder="1" applyAlignment="1">
      <alignment horizontal="center" vertical="center"/>
    </xf>
    <xf numFmtId="168" fontId="16" fillId="0" borderId="75" xfId="1" applyNumberFormat="1" applyFont="1" applyFill="1" applyBorder="1" applyAlignment="1">
      <alignment horizontal="left" vertical="center" wrapText="1"/>
    </xf>
    <xf numFmtId="174" fontId="16" fillId="0" borderId="75" xfId="1" applyNumberFormat="1" applyFont="1" applyFill="1" applyBorder="1" applyAlignment="1"/>
    <xf numFmtId="0" fontId="16" fillId="0" borderId="75" xfId="0" applyFont="1" applyFill="1" applyBorder="1" applyAlignment="1">
      <alignment horizontal="center" vertical="justify"/>
    </xf>
    <xf numFmtId="0" fontId="16" fillId="0" borderId="75" xfId="0" applyFont="1" applyFill="1" applyBorder="1" applyAlignment="1">
      <alignment horizontal="center" vertical="justify" wrapText="1"/>
    </xf>
    <xf numFmtId="0" fontId="16" fillId="0" borderId="75" xfId="0" applyFont="1" applyFill="1" applyBorder="1" applyAlignment="1"/>
    <xf numFmtId="168" fontId="16" fillId="0" borderId="86" xfId="1" applyNumberFormat="1" applyFont="1" applyFill="1" applyBorder="1" applyAlignment="1"/>
    <xf numFmtId="168" fontId="16" fillId="0" borderId="99" xfId="1" applyNumberFormat="1" applyFont="1" applyFill="1" applyBorder="1" applyAlignment="1"/>
    <xf numFmtId="168" fontId="2" fillId="0" borderId="75" xfId="1" applyNumberFormat="1" applyFont="1" applyFill="1" applyBorder="1" applyAlignment="1">
      <alignment vertical="center"/>
    </xf>
    <xf numFmtId="168" fontId="75" fillId="0" borderId="81" xfId="1" applyNumberFormat="1" applyFont="1" applyFill="1" applyBorder="1" applyAlignment="1">
      <alignment horizontal="center" vertical="center"/>
    </xf>
    <xf numFmtId="0" fontId="16" fillId="0" borderId="82" xfId="0" applyFont="1" applyFill="1" applyBorder="1" applyAlignment="1">
      <alignment vertical="center"/>
    </xf>
    <xf numFmtId="164" fontId="16" fillId="0" borderId="82" xfId="1" applyFont="1" applyFill="1" applyBorder="1" applyAlignment="1">
      <alignment vertical="center"/>
    </xf>
    <xf numFmtId="0" fontId="2" fillId="0" borderId="0" xfId="0" applyFont="1" applyFill="1" applyBorder="1" applyAlignment="1">
      <alignment vertical="center" wrapText="1"/>
    </xf>
    <xf numFmtId="0" fontId="2" fillId="0" borderId="9" xfId="0" applyFont="1" applyFill="1" applyBorder="1" applyAlignment="1">
      <alignment vertical="center" wrapText="1"/>
    </xf>
    <xf numFmtId="168" fontId="2" fillId="0" borderId="1" xfId="1" applyNumberFormat="1" applyFont="1" applyFill="1" applyBorder="1" applyAlignment="1">
      <alignment vertical="center" wrapText="1"/>
    </xf>
    <xf numFmtId="164" fontId="2" fillId="0" borderId="4" xfId="1" applyFont="1" applyFill="1" applyBorder="1" applyAlignment="1">
      <alignment vertical="center" wrapText="1"/>
    </xf>
    <xf numFmtId="164" fontId="2" fillId="0" borderId="0" xfId="1" applyFont="1" applyFill="1" applyBorder="1" applyAlignment="1">
      <alignment vertical="center" wrapText="1"/>
    </xf>
    <xf numFmtId="0" fontId="75" fillId="0" borderId="74" xfId="0" applyFont="1" applyFill="1" applyBorder="1" applyAlignment="1">
      <alignment horizontal="center" vertical="center"/>
    </xf>
    <xf numFmtId="0" fontId="16" fillId="0" borderId="75" xfId="0" applyFont="1" applyFill="1" applyBorder="1" applyAlignment="1">
      <alignment vertical="center"/>
    </xf>
    <xf numFmtId="0" fontId="17" fillId="0" borderId="74" xfId="0" quotePrefix="1" applyFont="1" applyFill="1" applyBorder="1" applyAlignment="1">
      <alignment horizontal="center" vertical="center"/>
    </xf>
    <xf numFmtId="0" fontId="20" fillId="0" borderId="75" xfId="0" applyFont="1" applyFill="1" applyBorder="1" applyAlignment="1">
      <alignment vertical="center"/>
    </xf>
    <xf numFmtId="0" fontId="75" fillId="0" borderId="75" xfId="0" applyFont="1" applyFill="1" applyBorder="1" applyAlignment="1">
      <alignment horizontal="center" vertical="center"/>
    </xf>
    <xf numFmtId="0" fontId="75" fillId="0" borderId="75" xfId="0" applyFont="1" applyFill="1" applyBorder="1" applyAlignment="1">
      <alignment vertical="center"/>
    </xf>
    <xf numFmtId="0" fontId="75" fillId="0" borderId="87" xfId="0" applyFont="1" applyFill="1" applyBorder="1" applyAlignment="1">
      <alignment horizontal="center" vertical="center"/>
    </xf>
    <xf numFmtId="0" fontId="16" fillId="0" borderId="77" xfId="0" applyFont="1" applyFill="1" applyBorder="1" applyAlignment="1">
      <alignment vertical="center"/>
    </xf>
    <xf numFmtId="0" fontId="75" fillId="0" borderId="81" xfId="0" applyFont="1" applyFill="1" applyBorder="1" applyAlignment="1">
      <alignment horizontal="center" vertical="center"/>
    </xf>
    <xf numFmtId="0" fontId="16" fillId="0" borderId="83" xfId="0" applyFont="1" applyFill="1" applyBorder="1" applyAlignment="1">
      <alignment vertical="center"/>
    </xf>
    <xf numFmtId="0" fontId="4" fillId="0" borderId="73" xfId="0" applyFont="1" applyFill="1" applyBorder="1"/>
    <xf numFmtId="0" fontId="4" fillId="0" borderId="75" xfId="0" applyFont="1" applyFill="1" applyBorder="1"/>
    <xf numFmtId="0" fontId="27" fillId="0" borderId="74" xfId="0" quotePrefix="1" applyFont="1" applyFill="1" applyBorder="1" applyAlignment="1">
      <alignment horizontal="center" vertical="center"/>
    </xf>
    <xf numFmtId="0" fontId="49" fillId="0" borderId="75" xfId="0" applyFont="1" applyFill="1" applyBorder="1"/>
    <xf numFmtId="0" fontId="27" fillId="0" borderId="74" xfId="0" applyFont="1" applyFill="1" applyBorder="1" applyAlignment="1">
      <alignment horizontal="center" vertical="center"/>
    </xf>
    <xf numFmtId="0" fontId="27" fillId="0" borderId="75" xfId="0" applyFont="1" applyFill="1" applyBorder="1" applyAlignment="1">
      <alignment horizontal="center"/>
    </xf>
    <xf numFmtId="0" fontId="27" fillId="0" borderId="75" xfId="0" applyFont="1" applyFill="1" applyBorder="1"/>
    <xf numFmtId="0" fontId="27" fillId="0" borderId="81" xfId="0" applyFont="1" applyFill="1" applyBorder="1" applyAlignment="1">
      <alignment horizontal="center" vertical="center"/>
    </xf>
    <xf numFmtId="0" fontId="4" fillId="0" borderId="82" xfId="0" applyFont="1" applyFill="1" applyBorder="1" applyAlignment="1">
      <alignment vertical="center" wrapText="1"/>
    </xf>
    <xf numFmtId="164" fontId="4" fillId="0" borderId="82" xfId="1" applyFont="1" applyFill="1" applyBorder="1" applyAlignment="1">
      <alignment vertical="center"/>
    </xf>
    <xf numFmtId="168" fontId="4" fillId="0" borderId="82" xfId="1" applyNumberFormat="1" applyFont="1" applyFill="1" applyBorder="1" applyAlignment="1">
      <alignment vertical="center"/>
    </xf>
    <xf numFmtId="0" fontId="4" fillId="0" borderId="83" xfId="0" applyFont="1" applyFill="1" applyBorder="1"/>
    <xf numFmtId="168" fontId="20" fillId="0" borderId="75" xfId="1" applyNumberFormat="1" applyFont="1" applyFill="1" applyBorder="1" applyAlignment="1">
      <alignment vertical="center"/>
    </xf>
    <xf numFmtId="168" fontId="75" fillId="0" borderId="80" xfId="1" applyNumberFormat="1" applyFont="1" applyFill="1" applyBorder="1" applyAlignment="1">
      <alignment horizontal="center" vertical="center" wrapText="1"/>
    </xf>
    <xf numFmtId="168" fontId="75" fillId="0" borderId="78" xfId="1" applyNumberFormat="1" applyFont="1" applyFill="1" applyBorder="1" applyAlignment="1">
      <alignment horizontal="center" vertical="center"/>
    </xf>
    <xf numFmtId="168" fontId="75" fillId="0" borderId="80" xfId="1" applyNumberFormat="1" applyFont="1" applyFill="1" applyBorder="1" applyAlignment="1">
      <alignment vertical="center"/>
    </xf>
    <xf numFmtId="168" fontId="75" fillId="0" borderId="78" xfId="1" applyNumberFormat="1" applyFont="1" applyFill="1" applyBorder="1" applyAlignment="1">
      <alignment vertical="center"/>
    </xf>
    <xf numFmtId="0" fontId="75" fillId="0" borderId="82" xfId="0" applyFont="1" applyFill="1" applyBorder="1" applyAlignment="1">
      <alignment vertical="center" wrapText="1"/>
    </xf>
    <xf numFmtId="168" fontId="75" fillId="0" borderId="13" xfId="1" applyNumberFormat="1" applyFont="1" applyFill="1" applyBorder="1" applyAlignment="1">
      <alignment horizontal="center"/>
    </xf>
    <xf numFmtId="168" fontId="75" fillId="0" borderId="14" xfId="1" applyNumberFormat="1" applyFont="1" applyFill="1" applyBorder="1" applyAlignment="1">
      <alignment horizontal="center"/>
    </xf>
    <xf numFmtId="168" fontId="75" fillId="0" borderId="4" xfId="1" quotePrefix="1" applyNumberFormat="1" applyFont="1" applyFill="1" applyBorder="1" applyAlignment="1">
      <alignment horizontal="center"/>
    </xf>
    <xf numFmtId="168" fontId="75" fillId="0" borderId="74" xfId="1" quotePrefix="1" applyNumberFormat="1" applyFont="1" applyFill="1" applyBorder="1" applyAlignment="1">
      <alignment horizontal="center"/>
    </xf>
    <xf numFmtId="168" fontId="75" fillId="0" borderId="74" xfId="1" applyNumberFormat="1" applyFont="1" applyFill="1" applyBorder="1" applyAlignment="1">
      <alignment horizontal="left"/>
    </xf>
    <xf numFmtId="168" fontId="75" fillId="0" borderId="84" xfId="1" applyNumberFormat="1" applyFont="1" applyFill="1" applyBorder="1" applyAlignment="1">
      <alignment horizontal="left"/>
    </xf>
    <xf numFmtId="0" fontId="16" fillId="0" borderId="99" xfId="0" applyFont="1" applyFill="1" applyBorder="1" applyAlignment="1"/>
    <xf numFmtId="168" fontId="75" fillId="0" borderId="74" xfId="1" applyNumberFormat="1" applyFont="1" applyFill="1" applyBorder="1" applyAlignment="1">
      <alignment horizontal="center"/>
    </xf>
    <xf numFmtId="0" fontId="16" fillId="0" borderId="75" xfId="0" applyFont="1" applyFill="1" applyBorder="1" applyAlignment="1">
      <alignment horizontal="left" wrapText="1"/>
    </xf>
    <xf numFmtId="168" fontId="75" fillId="0" borderId="87" xfId="1" applyNumberFormat="1" applyFont="1" applyFill="1" applyBorder="1" applyAlignment="1">
      <alignment horizontal="center"/>
    </xf>
    <xf numFmtId="0" fontId="16" fillId="0" borderId="77" xfId="0" applyFont="1" applyFill="1" applyBorder="1" applyAlignment="1"/>
    <xf numFmtId="168" fontId="75" fillId="0" borderId="84" xfId="1" applyNumberFormat="1" applyFont="1" applyFill="1" applyBorder="1" applyAlignment="1">
      <alignment horizontal="center"/>
    </xf>
    <xf numFmtId="0" fontId="75" fillId="0" borderId="74" xfId="0" applyFont="1" applyFill="1" applyBorder="1" applyAlignment="1">
      <alignment horizontal="center"/>
    </xf>
    <xf numFmtId="0" fontId="75" fillId="0" borderId="74" xfId="0" quotePrefix="1" applyFont="1" applyFill="1" applyBorder="1" applyAlignment="1">
      <alignment horizontal="center"/>
    </xf>
    <xf numFmtId="0" fontId="75" fillId="0" borderId="75" xfId="0" applyFont="1" applyFill="1" applyBorder="1" applyAlignment="1"/>
    <xf numFmtId="168" fontId="75" fillId="0" borderId="75" xfId="1" applyNumberFormat="1" applyFont="1" applyFill="1" applyBorder="1" applyAlignment="1"/>
    <xf numFmtId="0" fontId="75" fillId="0" borderId="87" xfId="0" applyFont="1" applyFill="1" applyBorder="1" applyAlignment="1">
      <alignment horizontal="center"/>
    </xf>
    <xf numFmtId="0" fontId="75" fillId="0" borderId="84" xfId="0" applyFont="1" applyFill="1" applyBorder="1" applyAlignment="1">
      <alignment horizontal="center"/>
    </xf>
    <xf numFmtId="0" fontId="16" fillId="0" borderId="74" xfId="0" applyFont="1" applyFill="1" applyBorder="1" applyAlignment="1">
      <alignment horizontal="center"/>
    </xf>
    <xf numFmtId="0" fontId="75" fillId="0" borderId="75" xfId="0" applyNumberFormat="1" applyFont="1" applyFill="1" applyBorder="1" applyAlignment="1">
      <alignment horizontal="center"/>
    </xf>
    <xf numFmtId="0" fontId="75" fillId="0" borderId="74" xfId="0" applyFont="1" applyFill="1" applyBorder="1" applyAlignment="1">
      <alignment horizontal="center" wrapText="1"/>
    </xf>
    <xf numFmtId="0" fontId="21" fillId="0" borderId="75" xfId="0" applyFont="1" applyFill="1" applyBorder="1" applyAlignment="1">
      <alignment wrapText="1"/>
    </xf>
    <xf numFmtId="0" fontId="75" fillId="0" borderId="81" xfId="0" applyFont="1" applyFill="1" applyBorder="1" applyAlignment="1">
      <alignment horizontal="center" wrapText="1"/>
    </xf>
    <xf numFmtId="0" fontId="16" fillId="0" borderId="82" xfId="0" applyFont="1" applyFill="1" applyBorder="1" applyAlignment="1">
      <alignment wrapText="1"/>
    </xf>
    <xf numFmtId="168" fontId="16" fillId="0" borderId="82" xfId="1" applyNumberFormat="1" applyFont="1" applyFill="1" applyBorder="1" applyAlignment="1">
      <alignment wrapText="1"/>
    </xf>
    <xf numFmtId="0" fontId="21" fillId="0" borderId="82" xfId="0" applyFont="1" applyFill="1" applyBorder="1" applyAlignment="1">
      <alignment wrapText="1"/>
    </xf>
    <xf numFmtId="0" fontId="21" fillId="0" borderId="83" xfId="0" applyFont="1" applyFill="1" applyBorder="1" applyAlignment="1">
      <alignment wrapText="1"/>
    </xf>
    <xf numFmtId="0" fontId="75" fillId="0" borderId="71" xfId="0" quotePrefix="1" applyFont="1" applyFill="1" applyBorder="1" applyAlignment="1">
      <alignment horizontal="center"/>
    </xf>
    <xf numFmtId="0" fontId="75" fillId="0" borderId="72" xfId="0" applyFont="1" applyFill="1" applyBorder="1"/>
    <xf numFmtId="164" fontId="16" fillId="0" borderId="72" xfId="1" applyFont="1" applyFill="1" applyBorder="1"/>
    <xf numFmtId="0" fontId="16" fillId="0" borderId="73" xfId="0" applyFont="1" applyFill="1" applyBorder="1"/>
    <xf numFmtId="0" fontId="16" fillId="0" borderId="75" xfId="0" applyFont="1" applyFill="1" applyBorder="1"/>
    <xf numFmtId="0" fontId="75" fillId="0" borderId="75" xfId="0" applyFont="1" applyFill="1" applyBorder="1"/>
    <xf numFmtId="0" fontId="16" fillId="0" borderId="77" xfId="0" applyFont="1" applyFill="1" applyBorder="1"/>
    <xf numFmtId="0" fontId="16" fillId="0" borderId="99" xfId="0" applyFont="1" applyFill="1" applyBorder="1"/>
    <xf numFmtId="0" fontId="75" fillId="0" borderId="74" xfId="0" applyFont="1" applyFill="1" applyBorder="1" applyAlignment="1">
      <alignment horizontal="justify" vertical="justify"/>
    </xf>
    <xf numFmtId="0" fontId="16" fillId="0" borderId="75" xfId="0" applyFont="1" applyFill="1" applyBorder="1" applyAlignment="1">
      <alignment horizontal="justify" vertical="justify"/>
    </xf>
    <xf numFmtId="43" fontId="16" fillId="0" borderId="75" xfId="1" applyNumberFormat="1" applyFont="1" applyFill="1" applyBorder="1"/>
    <xf numFmtId="0" fontId="75" fillId="0" borderId="81" xfId="0" applyFont="1" applyFill="1" applyBorder="1" applyAlignment="1">
      <alignment horizontal="center"/>
    </xf>
    <xf numFmtId="0" fontId="16" fillId="0" borderId="82" xfId="0" applyFont="1" applyFill="1" applyBorder="1" applyAlignment="1"/>
    <xf numFmtId="164" fontId="16" fillId="0" borderId="82" xfId="1" applyFont="1" applyFill="1" applyBorder="1"/>
    <xf numFmtId="0" fontId="16" fillId="0" borderId="83" xfId="0" applyFont="1" applyFill="1" applyBorder="1"/>
    <xf numFmtId="0" fontId="16" fillId="0" borderId="71" xfId="0" applyFont="1" applyFill="1" applyBorder="1" applyAlignment="1"/>
    <xf numFmtId="0" fontId="27" fillId="0" borderId="74" xfId="0" applyFont="1" applyFill="1" applyBorder="1" applyAlignment="1">
      <alignment horizontal="center"/>
    </xf>
    <xf numFmtId="0" fontId="27" fillId="0" borderId="74" xfId="0" quotePrefix="1" applyFont="1" applyFill="1" applyBorder="1" applyAlignment="1">
      <alignment horizontal="center"/>
    </xf>
    <xf numFmtId="0" fontId="4" fillId="0" borderId="75" xfId="0" applyFont="1" applyFill="1" applyBorder="1" applyAlignment="1">
      <alignment vertical="center"/>
    </xf>
    <xf numFmtId="0" fontId="0" fillId="0" borderId="74" xfId="0" applyBorder="1"/>
    <xf numFmtId="0" fontId="0" fillId="0" borderId="75" xfId="0" applyBorder="1"/>
    <xf numFmtId="0" fontId="0" fillId="0" borderId="81" xfId="0" applyBorder="1"/>
    <xf numFmtId="0" fontId="0" fillId="0" borderId="82" xfId="0" applyBorder="1"/>
    <xf numFmtId="0" fontId="0" fillId="0" borderId="83" xfId="0" applyBorder="1"/>
    <xf numFmtId="0" fontId="75" fillId="0" borderId="4" xfId="0" quotePrefix="1" applyFont="1" applyFill="1" applyBorder="1" applyAlignment="1">
      <alignment horizontal="center"/>
    </xf>
    <xf numFmtId="0" fontId="16" fillId="0" borderId="75" xfId="0" applyFont="1" applyFill="1" applyBorder="1" applyAlignment="1">
      <alignment horizontal="justify" vertical="justify" wrapText="1"/>
    </xf>
    <xf numFmtId="0" fontId="34" fillId="0" borderId="74" xfId="0" applyFont="1" applyFill="1" applyBorder="1"/>
    <xf numFmtId="0" fontId="34" fillId="0" borderId="87" xfId="0" applyFont="1" applyFill="1" applyBorder="1"/>
    <xf numFmtId="0" fontId="34" fillId="0" borderId="84" xfId="0" applyFont="1" applyFill="1" applyBorder="1"/>
    <xf numFmtId="0" fontId="34" fillId="0" borderId="81" xfId="0" applyFont="1" applyFill="1" applyBorder="1"/>
    <xf numFmtId="168" fontId="16" fillId="0" borderId="82" xfId="1" applyNumberFormat="1" applyFont="1" applyFill="1" applyBorder="1" applyAlignment="1"/>
    <xf numFmtId="0" fontId="16" fillId="0" borderId="83" xfId="0" applyFont="1" applyFill="1" applyBorder="1" applyAlignment="1"/>
    <xf numFmtId="0" fontId="75" fillId="0" borderId="72" xfId="0" applyFont="1" applyFill="1" applyBorder="1" applyAlignment="1">
      <alignment horizontal="center" vertical="center"/>
    </xf>
    <xf numFmtId="0" fontId="75" fillId="0" borderId="73" xfId="0" applyFont="1" applyFill="1" applyBorder="1" applyAlignment="1">
      <alignment horizontal="center" vertical="center"/>
    </xf>
    <xf numFmtId="0" fontId="75" fillId="0" borderId="74" xfId="0" quotePrefix="1" applyFont="1" applyFill="1" applyBorder="1" applyAlignment="1">
      <alignment horizontal="center" vertical="center"/>
    </xf>
    <xf numFmtId="0" fontId="75" fillId="0" borderId="75" xfId="0" quotePrefix="1" applyFont="1" applyFill="1" applyBorder="1" applyAlignment="1">
      <alignment horizontal="center" vertical="center"/>
    </xf>
    <xf numFmtId="0" fontId="75" fillId="0" borderId="84" xfId="0" quotePrefix="1" applyFont="1" applyFill="1" applyBorder="1" applyAlignment="1">
      <alignment horizontal="center" vertical="center"/>
    </xf>
    <xf numFmtId="0" fontId="75" fillId="0" borderId="76" xfId="0" applyFont="1" applyFill="1" applyBorder="1" applyAlignment="1">
      <alignment horizontal="center" vertical="center" wrapText="1"/>
    </xf>
    <xf numFmtId="168" fontId="75" fillId="0" borderId="76" xfId="1" applyNumberFormat="1" applyFont="1" applyFill="1" applyBorder="1" applyAlignment="1">
      <alignment vertical="center"/>
    </xf>
    <xf numFmtId="0" fontId="75" fillId="0" borderId="84" xfId="0" applyFont="1" applyFill="1" applyBorder="1" applyAlignment="1">
      <alignment horizontal="center" vertical="center"/>
    </xf>
    <xf numFmtId="168" fontId="75" fillId="0" borderId="86" xfId="1" applyNumberFormat="1" applyFont="1" applyFill="1" applyBorder="1" applyAlignment="1">
      <alignment vertical="center"/>
    </xf>
    <xf numFmtId="0" fontId="75" fillId="0" borderId="74" xfId="0" applyFont="1" applyFill="1" applyBorder="1" applyAlignment="1">
      <alignment horizontal="center" vertical="center" wrapText="1"/>
    </xf>
    <xf numFmtId="168" fontId="75" fillId="0" borderId="75" xfId="1" applyNumberFormat="1" applyFont="1" applyFill="1" applyBorder="1" applyAlignment="1">
      <alignment vertical="center" wrapText="1"/>
    </xf>
    <xf numFmtId="168" fontId="16" fillId="0" borderId="80" xfId="1" applyNumberFormat="1" applyFont="1" applyFill="1" applyBorder="1" applyAlignment="1">
      <alignment vertical="center" wrapText="1"/>
    </xf>
    <xf numFmtId="168" fontId="16" fillId="0" borderId="78" xfId="1" applyNumberFormat="1" applyFont="1" applyFill="1" applyBorder="1" applyAlignment="1">
      <alignment vertical="center" wrapText="1"/>
    </xf>
    <xf numFmtId="168" fontId="16" fillId="0" borderId="79" xfId="1" applyNumberFormat="1" applyFont="1" applyFill="1" applyBorder="1" applyAlignment="1">
      <alignment vertical="center" wrapText="1"/>
    </xf>
    <xf numFmtId="0" fontId="75" fillId="0" borderId="74" xfId="0" applyFont="1" applyFill="1" applyBorder="1" applyAlignment="1">
      <alignment horizontal="justify" vertical="center" wrapText="1"/>
    </xf>
    <xf numFmtId="0" fontId="16" fillId="0" borderId="75" xfId="0" applyFont="1" applyFill="1" applyBorder="1" applyAlignment="1">
      <alignment horizontal="justify" vertical="center" wrapText="1"/>
    </xf>
    <xf numFmtId="168" fontId="75" fillId="0" borderId="100" xfId="1" applyNumberFormat="1" applyFont="1" applyFill="1" applyBorder="1" applyAlignment="1">
      <alignment vertical="center"/>
    </xf>
    <xf numFmtId="168" fontId="75" fillId="0" borderId="100" xfId="1" applyNumberFormat="1" applyFont="1" applyFill="1" applyBorder="1" applyAlignment="1">
      <alignment vertical="center" wrapText="1"/>
    </xf>
    <xf numFmtId="168" fontId="16" fillId="0" borderId="75" xfId="1" quotePrefix="1" applyNumberFormat="1" applyFont="1" applyFill="1" applyBorder="1" applyAlignment="1">
      <alignment horizontal="center" vertical="center"/>
    </xf>
    <xf numFmtId="0" fontId="75" fillId="0" borderId="87" xfId="0" applyFont="1" applyFill="1" applyBorder="1" applyAlignment="1">
      <alignment horizontal="center" vertical="center" wrapText="1"/>
    </xf>
    <xf numFmtId="168" fontId="16" fillId="0" borderId="77" xfId="1" applyNumberFormat="1" applyFont="1" applyFill="1" applyBorder="1" applyAlignment="1">
      <alignment vertical="center" wrapText="1"/>
    </xf>
    <xf numFmtId="10" fontId="16" fillId="0" borderId="75" xfId="5" applyNumberFormat="1" applyFont="1" applyFill="1" applyBorder="1" applyAlignment="1">
      <alignment vertical="center"/>
    </xf>
    <xf numFmtId="164" fontId="16" fillId="0" borderId="75" xfId="1" applyFont="1" applyFill="1" applyBorder="1" applyAlignment="1">
      <alignment horizontal="justify" vertical="center" wrapText="1"/>
    </xf>
    <xf numFmtId="164" fontId="16" fillId="0" borderId="80" xfId="1" applyFont="1" applyFill="1" applyBorder="1" applyAlignment="1">
      <alignment horizontal="justify" vertical="center" wrapText="1"/>
    </xf>
    <xf numFmtId="164" fontId="16" fillId="0" borderId="78" xfId="1" applyFont="1" applyFill="1" applyBorder="1" applyAlignment="1">
      <alignment horizontal="justify" vertical="center" wrapText="1"/>
    </xf>
    <xf numFmtId="164" fontId="16" fillId="0" borderId="79" xfId="1" applyFont="1" applyFill="1" applyBorder="1" applyAlignment="1">
      <alignment horizontal="justify" vertical="center" wrapText="1"/>
    </xf>
    <xf numFmtId="164" fontId="16" fillId="0" borderId="86" xfId="1" applyFont="1" applyFill="1" applyBorder="1" applyAlignment="1">
      <alignment horizontal="justify" vertical="center" wrapText="1"/>
    </xf>
    <xf numFmtId="164" fontId="16" fillId="0" borderId="75" xfId="1" applyFont="1" applyFill="1" applyBorder="1" applyAlignment="1">
      <alignment vertical="center"/>
    </xf>
    <xf numFmtId="168" fontId="16" fillId="0" borderId="101" xfId="1" applyNumberFormat="1" applyFont="1" applyFill="1" applyBorder="1" applyAlignment="1">
      <alignment vertical="center"/>
    </xf>
    <xf numFmtId="0" fontId="75" fillId="0" borderId="74" xfId="0" applyFont="1" applyFill="1" applyBorder="1" applyAlignment="1">
      <alignment horizontal="left" vertical="center"/>
    </xf>
    <xf numFmtId="168" fontId="75" fillId="0" borderId="86" xfId="1" applyNumberFormat="1" applyFont="1" applyFill="1" applyBorder="1" applyAlignment="1">
      <alignment vertical="center" wrapText="1"/>
    </xf>
    <xf numFmtId="0" fontId="75" fillId="0" borderId="84" xfId="0" applyFont="1" applyFill="1" applyBorder="1" applyAlignment="1">
      <alignment horizontal="center" vertical="center" wrapText="1"/>
    </xf>
    <xf numFmtId="168" fontId="16" fillId="0" borderId="99" xfId="1" applyNumberFormat="1" applyFont="1" applyFill="1" applyBorder="1" applyAlignment="1">
      <alignment vertical="center" wrapText="1"/>
    </xf>
    <xf numFmtId="168" fontId="75" fillId="0" borderId="76" xfId="1" quotePrefix="1" applyNumberFormat="1" applyFont="1" applyFill="1" applyBorder="1" applyAlignment="1">
      <alignment horizontal="center" vertical="center" wrapText="1"/>
    </xf>
    <xf numFmtId="168" fontId="75" fillId="0" borderId="75" xfId="1" applyNumberFormat="1" applyFont="1" applyFill="1" applyBorder="1" applyAlignment="1">
      <alignment horizontal="center" vertical="center" wrapText="1"/>
    </xf>
    <xf numFmtId="168" fontId="75" fillId="0" borderId="75" xfId="0" applyNumberFormat="1" applyFont="1" applyFill="1" applyBorder="1" applyAlignment="1">
      <alignment vertical="center"/>
    </xf>
    <xf numFmtId="168" fontId="16" fillId="0" borderId="75" xfId="0" applyNumberFormat="1" applyFont="1" applyFill="1" applyBorder="1" applyAlignment="1">
      <alignment vertical="center"/>
    </xf>
    <xf numFmtId="168" fontId="16" fillId="0" borderId="75" xfId="0" applyNumberFormat="1" applyFont="1" applyFill="1" applyBorder="1" applyAlignment="1">
      <alignment vertical="center" wrapText="1"/>
    </xf>
    <xf numFmtId="0" fontId="75" fillId="0" borderId="81" xfId="0" applyFont="1" applyFill="1" applyBorder="1" applyAlignment="1">
      <alignment horizontal="center" vertical="center" wrapText="1"/>
    </xf>
    <xf numFmtId="0" fontId="16" fillId="0" borderId="89" xfId="0" applyFont="1" applyFill="1" applyBorder="1" applyAlignment="1">
      <alignment vertical="center" wrapText="1"/>
    </xf>
    <xf numFmtId="0" fontId="16" fillId="0" borderId="82" xfId="0" applyFont="1" applyFill="1" applyBorder="1" applyAlignment="1">
      <alignment vertical="center" wrapText="1"/>
    </xf>
    <xf numFmtId="168" fontId="16" fillId="0" borderId="82" xfId="1" applyNumberFormat="1" applyFont="1" applyFill="1" applyBorder="1" applyAlignment="1">
      <alignment vertical="center" wrapText="1"/>
    </xf>
    <xf numFmtId="168" fontId="16" fillId="0" borderId="82" xfId="0" applyNumberFormat="1" applyFont="1" applyFill="1" applyBorder="1" applyAlignment="1">
      <alignment vertical="center" wrapText="1"/>
    </xf>
    <xf numFmtId="168" fontId="16" fillId="0" borderId="83" xfId="0" applyNumberFormat="1" applyFont="1" applyFill="1" applyBorder="1" applyAlignment="1">
      <alignment vertical="center" wrapText="1"/>
    </xf>
    <xf numFmtId="0" fontId="58" fillId="0" borderId="74" xfId="0" quotePrefix="1" applyFont="1" applyFill="1" applyBorder="1" applyAlignment="1">
      <alignment horizontal="left" vertical="center" wrapText="1"/>
    </xf>
    <xf numFmtId="0" fontId="27" fillId="0" borderId="74" xfId="0" applyFont="1" applyFill="1" applyBorder="1" applyAlignment="1">
      <alignment horizontal="justify" vertical="center" wrapText="1"/>
    </xf>
    <xf numFmtId="0" fontId="4" fillId="0" borderId="75" xfId="0" applyFont="1" applyFill="1" applyBorder="1" applyAlignment="1">
      <alignment horizontal="justify" vertical="center" wrapText="1"/>
    </xf>
    <xf numFmtId="0" fontId="58" fillId="0" borderId="74" xfId="0" applyFont="1" applyFill="1" applyBorder="1" applyAlignment="1">
      <alignment horizontal="center" vertical="center"/>
    </xf>
    <xf numFmtId="0" fontId="27" fillId="0" borderId="87" xfId="0" applyFont="1" applyFill="1" applyBorder="1" applyAlignment="1">
      <alignment horizontal="center" vertical="center"/>
    </xf>
    <xf numFmtId="0" fontId="4" fillId="0" borderId="77" xfId="0" applyFont="1" applyFill="1" applyBorder="1" applyAlignment="1">
      <alignment vertical="center"/>
    </xf>
    <xf numFmtId="0" fontId="27" fillId="0" borderId="84" xfId="0" applyFont="1" applyFill="1" applyBorder="1" applyAlignment="1">
      <alignment horizontal="left" vertical="center"/>
    </xf>
    <xf numFmtId="0" fontId="4" fillId="0" borderId="99" xfId="0" applyFont="1" applyFill="1" applyBorder="1" applyAlignment="1">
      <alignment vertical="center"/>
    </xf>
    <xf numFmtId="0" fontId="27" fillId="0" borderId="74" xfId="0" applyFont="1" applyFill="1" applyBorder="1" applyAlignment="1">
      <alignment horizontal="center" vertical="center" wrapText="1"/>
    </xf>
    <xf numFmtId="0" fontId="4" fillId="0" borderId="75" xfId="0" applyFont="1" applyFill="1" applyBorder="1" applyAlignment="1">
      <alignment vertical="center" wrapText="1"/>
    </xf>
    <xf numFmtId="0" fontId="27" fillId="0" borderId="81" xfId="0" applyFont="1" applyFill="1" applyBorder="1" applyAlignment="1">
      <alignment horizontal="center" vertical="center" wrapText="1"/>
    </xf>
    <xf numFmtId="168" fontId="4" fillId="0" borderId="82" xfId="0" applyNumberFormat="1" applyFont="1" applyFill="1" applyBorder="1" applyAlignment="1">
      <alignment vertical="center" wrapText="1"/>
    </xf>
    <xf numFmtId="0" fontId="4" fillId="0" borderId="83" xfId="0" applyFont="1" applyFill="1" applyBorder="1" applyAlignment="1">
      <alignment vertical="center" wrapText="1"/>
    </xf>
    <xf numFmtId="0" fontId="27" fillId="0" borderId="14" xfId="3" applyFont="1" applyFill="1" applyBorder="1" applyAlignment="1">
      <alignment horizontal="center" vertical="center"/>
    </xf>
    <xf numFmtId="0" fontId="27" fillId="0" borderId="73" xfId="3" applyFont="1" applyFill="1" applyBorder="1" applyAlignment="1">
      <alignment horizontal="center" vertical="center"/>
    </xf>
    <xf numFmtId="0" fontId="27" fillId="0" borderId="74" xfId="3" quotePrefix="1" applyFont="1" applyFill="1" applyBorder="1" applyAlignment="1">
      <alignment horizontal="center" vertical="center"/>
    </xf>
    <xf numFmtId="0" fontId="27" fillId="0" borderId="75" xfId="3" quotePrefix="1" applyFont="1" applyFill="1" applyBorder="1" applyAlignment="1">
      <alignment horizontal="center" vertical="center"/>
    </xf>
    <xf numFmtId="168" fontId="27" fillId="0" borderId="76" xfId="1" quotePrefix="1" applyNumberFormat="1" applyFont="1" applyFill="1" applyBorder="1" applyAlignment="1">
      <alignment horizontal="center" vertical="center"/>
    </xf>
    <xf numFmtId="168" fontId="27" fillId="0" borderId="75" xfId="1" applyNumberFormat="1" applyFont="1" applyFill="1" applyBorder="1" applyAlignment="1">
      <alignment horizontal="center" vertical="center"/>
    </xf>
    <xf numFmtId="168" fontId="4" fillId="0" borderId="75" xfId="1" applyNumberFormat="1" applyFont="1" applyFill="1" applyBorder="1" applyAlignment="1">
      <alignment vertical="center"/>
    </xf>
    <xf numFmtId="168" fontId="27" fillId="0" borderId="86" xfId="1" applyNumberFormat="1" applyFont="1" applyFill="1" applyBorder="1" applyAlignment="1">
      <alignment vertical="center"/>
    </xf>
    <xf numFmtId="0" fontId="4" fillId="0" borderId="74" xfId="3" applyFont="1" applyFill="1" applyBorder="1" applyAlignment="1">
      <alignment vertical="center"/>
    </xf>
    <xf numFmtId="168" fontId="4" fillId="0" borderId="77" xfId="1" applyNumberFormat="1" applyFont="1" applyFill="1" applyBorder="1" applyAlignment="1">
      <alignment vertical="center"/>
    </xf>
    <xf numFmtId="0" fontId="27" fillId="0" borderId="74" xfId="3" quotePrefix="1" applyFont="1" applyFill="1" applyBorder="1" applyAlignment="1">
      <alignment horizontal="right" vertical="center"/>
    </xf>
    <xf numFmtId="168" fontId="27" fillId="0" borderId="99" xfId="1" applyNumberFormat="1" applyFont="1" applyFill="1" applyBorder="1" applyAlignment="1">
      <alignment horizontal="right" vertical="center"/>
    </xf>
    <xf numFmtId="0" fontId="4" fillId="0" borderId="74" xfId="3" applyFont="1" applyFill="1" applyBorder="1" applyAlignment="1">
      <alignment horizontal="right" vertical="center"/>
    </xf>
    <xf numFmtId="168" fontId="27" fillId="0" borderId="75" xfId="1" applyNumberFormat="1" applyFont="1" applyFill="1" applyBorder="1" applyAlignment="1">
      <alignment horizontal="right" vertical="center"/>
    </xf>
    <xf numFmtId="168" fontId="27" fillId="0" borderId="77" xfId="1" applyNumberFormat="1" applyFont="1" applyFill="1" applyBorder="1" applyAlignment="1">
      <alignment horizontal="right" vertical="center"/>
    </xf>
    <xf numFmtId="168" fontId="4" fillId="0" borderId="80" xfId="1" applyNumberFormat="1" applyFont="1" applyFill="1" applyBorder="1" applyAlignment="1">
      <alignment horizontal="right" vertical="center"/>
    </xf>
    <xf numFmtId="168" fontId="4" fillId="0" borderId="78" xfId="1" applyNumberFormat="1" applyFont="1" applyFill="1" applyBorder="1" applyAlignment="1">
      <alignment horizontal="right" vertical="center"/>
    </xf>
    <xf numFmtId="168" fontId="27" fillId="0" borderId="76" xfId="1" applyNumberFormat="1" applyFont="1" applyFill="1" applyBorder="1" applyAlignment="1">
      <alignment horizontal="right" vertical="center"/>
    </xf>
    <xf numFmtId="168" fontId="4" fillId="0" borderId="78" xfId="1" applyNumberFormat="1" applyFont="1" applyFill="1" applyBorder="1" applyAlignment="1">
      <alignment vertical="center"/>
    </xf>
    <xf numFmtId="168" fontId="27" fillId="0" borderId="95" xfId="1" applyNumberFormat="1" applyFont="1" applyFill="1" applyBorder="1" applyAlignment="1">
      <alignment horizontal="right" vertical="center"/>
    </xf>
    <xf numFmtId="168" fontId="27" fillId="0" borderId="80" xfId="1" applyNumberFormat="1" applyFont="1" applyFill="1" applyBorder="1" applyAlignment="1">
      <alignment horizontal="right" vertical="center"/>
    </xf>
    <xf numFmtId="168" fontId="27" fillId="0" borderId="79" xfId="1" applyNumberFormat="1" applyFont="1" applyFill="1" applyBorder="1" applyAlignment="1">
      <alignment horizontal="right" vertical="center"/>
    </xf>
    <xf numFmtId="168" fontId="4" fillId="0" borderId="99" xfId="1" applyNumberFormat="1" applyFont="1" applyFill="1" applyBorder="1" applyAlignment="1">
      <alignment vertical="center"/>
    </xf>
    <xf numFmtId="0" fontId="4" fillId="0" borderId="87" xfId="3" applyFont="1" applyFill="1" applyBorder="1" applyAlignment="1">
      <alignment horizontal="right" vertical="center"/>
    </xf>
    <xf numFmtId="168" fontId="27" fillId="0" borderId="101" xfId="1" applyNumberFormat="1" applyFont="1" applyFill="1" applyBorder="1" applyAlignment="1">
      <alignment horizontal="right" vertical="center"/>
    </xf>
    <xf numFmtId="0" fontId="4" fillId="0" borderId="84" xfId="3" applyFont="1" applyFill="1" applyBorder="1" applyAlignment="1">
      <alignment horizontal="right" vertical="center"/>
    </xf>
    <xf numFmtId="0" fontId="4" fillId="0" borderId="81" xfId="3" applyFont="1" applyFill="1" applyBorder="1" applyAlignment="1">
      <alignment horizontal="right" vertical="center"/>
    </xf>
    <xf numFmtId="170" fontId="27" fillId="0" borderId="82" xfId="1" applyNumberFormat="1" applyFont="1" applyFill="1" applyBorder="1" applyAlignment="1">
      <alignment horizontal="center" vertical="center"/>
    </xf>
    <xf numFmtId="0" fontId="4" fillId="0" borderId="82" xfId="3" applyFont="1" applyFill="1" applyBorder="1" applyAlignment="1">
      <alignment horizontal="justify" vertical="center" wrapText="1"/>
    </xf>
    <xf numFmtId="173" fontId="27" fillId="0" borderId="82" xfId="3" applyNumberFormat="1" applyFont="1" applyFill="1" applyBorder="1" applyAlignment="1">
      <alignment horizontal="right" vertical="center"/>
    </xf>
    <xf numFmtId="168" fontId="27" fillId="0" borderId="83" xfId="1" applyNumberFormat="1" applyFont="1" applyFill="1" applyBorder="1" applyAlignment="1">
      <alignment horizontal="right" vertical="center"/>
    </xf>
    <xf numFmtId="0" fontId="91" fillId="0" borderId="74" xfId="0" applyFont="1" applyFill="1" applyBorder="1" applyAlignment="1">
      <alignment horizontal="center" vertical="center"/>
    </xf>
    <xf numFmtId="0" fontId="21" fillId="0" borderId="75" xfId="0" applyFont="1" applyFill="1" applyBorder="1" applyAlignment="1">
      <alignment vertical="center"/>
    </xf>
    <xf numFmtId="0" fontId="91" fillId="0" borderId="74" xfId="0" quotePrefix="1" applyFont="1" applyFill="1" applyBorder="1" applyAlignment="1">
      <alignment horizontal="center" vertical="center"/>
    </xf>
    <xf numFmtId="0" fontId="91" fillId="0" borderId="74" xfId="0" applyFont="1" applyFill="1" applyBorder="1" applyAlignment="1">
      <alignment horizontal="justify" vertical="center"/>
    </xf>
    <xf numFmtId="0" fontId="91" fillId="0" borderId="87" xfId="0" applyFont="1" applyFill="1" applyBorder="1" applyAlignment="1">
      <alignment horizontal="center" vertical="center"/>
    </xf>
    <xf numFmtId="0" fontId="21" fillId="0" borderId="77" xfId="0" applyFont="1" applyFill="1" applyBorder="1" applyAlignment="1">
      <alignment vertical="center"/>
    </xf>
    <xf numFmtId="0" fontId="91" fillId="0" borderId="84" xfId="0" applyFont="1" applyFill="1" applyBorder="1" applyAlignment="1">
      <alignment horizontal="center" vertical="center"/>
    </xf>
    <xf numFmtId="0" fontId="21" fillId="0" borderId="99" xfId="0" applyFont="1" applyFill="1" applyBorder="1" applyAlignment="1">
      <alignment vertical="center"/>
    </xf>
    <xf numFmtId="0" fontId="21" fillId="0" borderId="75" xfId="0" applyFont="1" applyFill="1" applyBorder="1" applyAlignment="1">
      <alignment horizontal="justify" vertical="center"/>
    </xf>
    <xf numFmtId="0" fontId="91" fillId="0" borderId="75" xfId="0" applyFont="1" applyFill="1" applyBorder="1" applyAlignment="1">
      <alignment horizontal="center" vertical="center"/>
    </xf>
    <xf numFmtId="0" fontId="16" fillId="0" borderId="75" xfId="0" applyFont="1" applyFill="1" applyBorder="1" applyAlignment="1">
      <alignment horizontal="center" vertical="center" wrapText="1"/>
    </xf>
    <xf numFmtId="0" fontId="21" fillId="0" borderId="74" xfId="0" applyFont="1" applyFill="1" applyBorder="1" applyAlignment="1">
      <alignment horizontal="left" vertical="center"/>
    </xf>
    <xf numFmtId="0" fontId="108" fillId="0" borderId="0" xfId="0" applyFont="1" applyFill="1" applyBorder="1" applyAlignment="1">
      <alignment vertical="center"/>
    </xf>
    <xf numFmtId="0" fontId="91" fillId="0" borderId="81" xfId="0" applyFont="1" applyFill="1" applyBorder="1" applyAlignment="1">
      <alignment horizontal="center" vertical="center"/>
    </xf>
    <xf numFmtId="168" fontId="21" fillId="0" borderId="82" xfId="1" applyNumberFormat="1" applyFont="1" applyFill="1" applyBorder="1" applyAlignment="1">
      <alignment vertical="center"/>
    </xf>
    <xf numFmtId="0" fontId="21" fillId="0" borderId="83" xfId="0" applyFont="1" applyFill="1" applyBorder="1" applyAlignment="1">
      <alignment vertical="center"/>
    </xf>
    <xf numFmtId="0" fontId="39" fillId="0" borderId="39" xfId="0" applyFont="1" applyFill="1" applyBorder="1" applyAlignment="1">
      <alignment horizontal="left" vertical="center" wrapText="1"/>
    </xf>
    <xf numFmtId="0" fontId="59" fillId="0" borderId="0" xfId="0" applyFont="1" applyFill="1" applyBorder="1" applyAlignment="1">
      <alignment horizontal="center" vertical="center" wrapText="1"/>
    </xf>
    <xf numFmtId="0" fontId="39" fillId="0" borderId="0" xfId="0" applyFont="1" applyFill="1" applyAlignment="1">
      <alignment horizontal="justify" vertical="center"/>
    </xf>
    <xf numFmtId="0" fontId="36" fillId="0" borderId="44" xfId="0" applyFont="1" applyFill="1" applyBorder="1" applyAlignment="1" applyProtection="1">
      <alignment horizontal="center"/>
    </xf>
    <xf numFmtId="0" fontId="36" fillId="0" borderId="0" xfId="0" applyFont="1" applyFill="1" applyBorder="1" applyAlignment="1" applyProtection="1">
      <alignment horizontal="center"/>
    </xf>
    <xf numFmtId="0" fontId="36" fillId="0" borderId="45" xfId="0" applyFont="1" applyFill="1" applyBorder="1" applyAlignment="1" applyProtection="1">
      <alignment horizontal="center"/>
    </xf>
    <xf numFmtId="0" fontId="17" fillId="0" borderId="71" xfId="0" applyFont="1" applyFill="1" applyBorder="1" applyAlignment="1">
      <alignment horizontal="center" vertical="center"/>
    </xf>
    <xf numFmtId="0" fontId="0" fillId="0" borderId="72" xfId="0" applyBorder="1" applyAlignment="1">
      <alignment horizontal="center" vertical="center"/>
    </xf>
    <xf numFmtId="0" fontId="0" fillId="0" borderId="73" xfId="0" applyBorder="1" applyAlignment="1">
      <alignment horizontal="center" vertical="center"/>
    </xf>
    <xf numFmtId="0" fontId="17" fillId="0" borderId="74" xfId="0" applyFont="1" applyFill="1" applyBorder="1" applyAlignment="1">
      <alignment horizontal="center" vertical="center"/>
    </xf>
    <xf numFmtId="0" fontId="0" fillId="0" borderId="0" xfId="0" applyAlignment="1">
      <alignment horizontal="center" vertical="center"/>
    </xf>
    <xf numFmtId="0" fontId="0" fillId="0" borderId="75" xfId="0" applyBorder="1" applyAlignment="1">
      <alignment horizontal="center" vertical="center"/>
    </xf>
    <xf numFmtId="15" fontId="17" fillId="0" borderId="74" xfId="0" quotePrefix="1" applyNumberFormat="1" applyFont="1" applyFill="1" applyBorder="1" applyAlignment="1">
      <alignment horizontal="center" vertical="center"/>
    </xf>
    <xf numFmtId="166" fontId="91" fillId="0" borderId="71" xfId="0" applyNumberFormat="1" applyFont="1" applyFill="1" applyBorder="1" applyAlignment="1">
      <alignment horizontal="center" vertical="center"/>
    </xf>
    <xf numFmtId="166" fontId="91" fillId="0" borderId="72" xfId="0" applyNumberFormat="1" applyFont="1" applyFill="1" applyBorder="1" applyAlignment="1">
      <alignment horizontal="center" vertical="center"/>
    </xf>
    <xf numFmtId="166" fontId="91" fillId="0" borderId="73" xfId="0" applyNumberFormat="1" applyFont="1" applyFill="1" applyBorder="1" applyAlignment="1">
      <alignment horizontal="center" vertical="center"/>
    </xf>
    <xf numFmtId="166" fontId="91" fillId="0" borderId="74" xfId="0" applyNumberFormat="1" applyFont="1" applyFill="1" applyBorder="1" applyAlignment="1">
      <alignment horizontal="center" vertical="center"/>
    </xf>
    <xf numFmtId="166" fontId="91" fillId="0" borderId="0" xfId="0" applyNumberFormat="1" applyFont="1" applyFill="1" applyBorder="1" applyAlignment="1">
      <alignment horizontal="center" vertical="center"/>
    </xf>
    <xf numFmtId="166" fontId="91" fillId="0" borderId="75" xfId="0" applyNumberFormat="1" applyFont="1" applyFill="1" applyBorder="1" applyAlignment="1">
      <alignment horizontal="center" vertical="center"/>
    </xf>
    <xf numFmtId="166" fontId="91" fillId="0" borderId="74" xfId="0" quotePrefix="1" applyNumberFormat="1" applyFont="1" applyFill="1" applyBorder="1" applyAlignment="1">
      <alignment horizontal="center" vertical="center"/>
    </xf>
    <xf numFmtId="166" fontId="91" fillId="0" borderId="0" xfId="0" quotePrefix="1" applyNumberFormat="1" applyFont="1" applyFill="1" applyBorder="1" applyAlignment="1">
      <alignment horizontal="center" vertical="center"/>
    </xf>
    <xf numFmtId="166" fontId="91" fillId="0" borderId="75" xfId="0" quotePrefix="1" applyNumberFormat="1" applyFont="1" applyFill="1" applyBorder="1" applyAlignment="1">
      <alignment horizontal="center" vertical="center"/>
    </xf>
    <xf numFmtId="0" fontId="17" fillId="0" borderId="71" xfId="0" applyFont="1" applyFill="1" applyBorder="1" applyAlignment="1">
      <alignment horizontal="center"/>
    </xf>
    <xf numFmtId="0" fontId="17" fillId="0" borderId="72" xfId="0" applyFont="1" applyFill="1" applyBorder="1" applyAlignment="1">
      <alignment horizontal="center"/>
    </xf>
    <xf numFmtId="0" fontId="17" fillId="0" borderId="73" xfId="0" applyFont="1" applyFill="1" applyBorder="1" applyAlignment="1">
      <alignment horizontal="center"/>
    </xf>
    <xf numFmtId="0" fontId="75" fillId="0" borderId="74" xfId="0" applyFont="1" applyFill="1" applyBorder="1" applyAlignment="1">
      <alignment horizontal="center"/>
    </xf>
    <xf numFmtId="0" fontId="75" fillId="0" borderId="0" xfId="0" applyFont="1" applyFill="1" applyBorder="1" applyAlignment="1">
      <alignment horizontal="center"/>
    </xf>
    <xf numFmtId="0" fontId="75" fillId="0" borderId="75" xfId="0" applyFont="1" applyFill="1" applyBorder="1" applyAlignment="1">
      <alignment horizontal="center"/>
    </xf>
    <xf numFmtId="0" fontId="36" fillId="0" borderId="72" xfId="0" applyFont="1" applyBorder="1" applyAlignment="1">
      <alignment horizontal="left" vertical="justify" wrapText="1"/>
    </xf>
    <xf numFmtId="164" fontId="27" fillId="0" borderId="0" xfId="1" applyNumberFormat="1" applyFont="1" applyAlignment="1">
      <alignment horizontal="center"/>
    </xf>
    <xf numFmtId="164" fontId="27" fillId="0" borderId="0" xfId="1" quotePrefix="1" applyNumberFormat="1" applyFont="1" applyAlignment="1">
      <alignment horizontal="center"/>
    </xf>
    <xf numFmtId="168" fontId="75" fillId="0" borderId="71" xfId="1" applyNumberFormat="1" applyFont="1" applyFill="1" applyBorder="1" applyAlignment="1">
      <alignment horizontal="center" vertical="center"/>
    </xf>
    <xf numFmtId="168" fontId="75" fillId="0" borderId="72" xfId="1" applyNumberFormat="1" applyFont="1" applyFill="1" applyBorder="1" applyAlignment="1">
      <alignment horizontal="center" vertical="center"/>
    </xf>
    <xf numFmtId="168" fontId="75" fillId="0" borderId="73" xfId="1" applyNumberFormat="1" applyFont="1" applyFill="1" applyBorder="1" applyAlignment="1">
      <alignment horizontal="center" vertical="center"/>
    </xf>
    <xf numFmtId="168" fontId="75" fillId="0" borderId="74" xfId="1" quotePrefix="1" applyNumberFormat="1" applyFont="1" applyFill="1" applyBorder="1" applyAlignment="1">
      <alignment horizontal="center" vertical="center"/>
    </xf>
    <xf numFmtId="168" fontId="75" fillId="0" borderId="0" xfId="1" quotePrefix="1" applyNumberFormat="1" applyFont="1" applyFill="1" applyBorder="1" applyAlignment="1">
      <alignment horizontal="center" vertical="center"/>
    </xf>
    <xf numFmtId="168" fontId="75" fillId="0" borderId="75" xfId="1" quotePrefix="1" applyNumberFormat="1" applyFont="1" applyFill="1" applyBorder="1" applyAlignment="1">
      <alignment horizontal="center" vertical="center"/>
    </xf>
    <xf numFmtId="0" fontId="75" fillId="0" borderId="71" xfId="0" applyFont="1" applyFill="1" applyBorder="1" applyAlignment="1">
      <alignment horizontal="center" vertical="center"/>
    </xf>
    <xf numFmtId="0" fontId="75" fillId="0" borderId="72" xfId="0" applyFont="1" applyFill="1" applyBorder="1" applyAlignment="1">
      <alignment horizontal="center" vertical="center"/>
    </xf>
    <xf numFmtId="0" fontId="75" fillId="0" borderId="73" xfId="0" applyFont="1" applyFill="1" applyBorder="1" applyAlignment="1">
      <alignment horizontal="center" vertical="center"/>
    </xf>
    <xf numFmtId="0" fontId="75" fillId="0" borderId="74" xfId="0" quotePrefix="1" applyFont="1" applyFill="1" applyBorder="1" applyAlignment="1">
      <alignment horizontal="center" vertical="center"/>
    </xf>
    <xf numFmtId="0" fontId="75" fillId="0" borderId="0" xfId="0" quotePrefix="1" applyFont="1" applyFill="1" applyBorder="1" applyAlignment="1">
      <alignment horizontal="center" vertical="center"/>
    </xf>
    <xf numFmtId="0" fontId="75" fillId="0" borderId="75" xfId="0" quotePrefix="1" applyFont="1" applyFill="1" applyBorder="1" applyAlignment="1">
      <alignment horizontal="center" vertical="center"/>
    </xf>
    <xf numFmtId="0" fontId="16" fillId="0" borderId="13" xfId="0" applyFont="1" applyFill="1" applyBorder="1" applyAlignment="1">
      <alignment horizontal="left" vertical="center" wrapText="1"/>
    </xf>
    <xf numFmtId="0" fontId="16" fillId="0" borderId="82" xfId="0" applyFont="1" applyFill="1" applyBorder="1" applyAlignment="1">
      <alignment horizontal="left" vertical="center" wrapText="1"/>
    </xf>
    <xf numFmtId="0" fontId="4" fillId="0" borderId="0" xfId="0" applyFont="1" applyFill="1" applyAlignment="1">
      <alignment horizontal="justify" vertical="center" wrapText="1"/>
    </xf>
    <xf numFmtId="0" fontId="27" fillId="0" borderId="71" xfId="0" applyFont="1" applyFill="1" applyBorder="1" applyAlignment="1">
      <alignment horizontal="center" vertical="center"/>
    </xf>
    <xf numFmtId="0" fontId="27" fillId="0" borderId="72" xfId="0" applyFont="1" applyFill="1" applyBorder="1" applyAlignment="1">
      <alignment horizontal="center" vertical="center"/>
    </xf>
    <xf numFmtId="0" fontId="27" fillId="0" borderId="74" xfId="0" quotePrefix="1" applyFont="1" applyFill="1" applyBorder="1" applyAlignment="1">
      <alignment horizontal="center" vertical="center"/>
    </xf>
    <xf numFmtId="0" fontId="27" fillId="0" borderId="0" xfId="0" quotePrefix="1" applyFont="1" applyFill="1" applyBorder="1" applyAlignment="1">
      <alignment horizontal="center" vertical="center"/>
    </xf>
    <xf numFmtId="168" fontId="75" fillId="0" borderId="71" xfId="1" applyNumberFormat="1" applyFont="1" applyFill="1" applyBorder="1" applyAlignment="1">
      <alignment horizontal="center"/>
    </xf>
    <xf numFmtId="168" fontId="75" fillId="0" borderId="72" xfId="1" applyNumberFormat="1" applyFont="1" applyFill="1" applyBorder="1" applyAlignment="1">
      <alignment horizontal="center"/>
    </xf>
    <xf numFmtId="168" fontId="75" fillId="0" borderId="73" xfId="1" applyNumberFormat="1" applyFont="1" applyFill="1" applyBorder="1" applyAlignment="1">
      <alignment horizontal="center"/>
    </xf>
    <xf numFmtId="168" fontId="75" fillId="0" borderId="74" xfId="1" quotePrefix="1" applyNumberFormat="1" applyFont="1" applyFill="1" applyBorder="1" applyAlignment="1">
      <alignment horizontal="center"/>
    </xf>
    <xf numFmtId="168" fontId="75" fillId="0" borderId="0" xfId="1" quotePrefix="1" applyNumberFormat="1" applyFont="1" applyFill="1" applyBorder="1" applyAlignment="1">
      <alignment horizontal="center"/>
    </xf>
    <xf numFmtId="168" fontId="75" fillId="0" borderId="75" xfId="1" quotePrefix="1" applyNumberFormat="1" applyFont="1" applyFill="1" applyBorder="1" applyAlignment="1">
      <alignment horizontal="center"/>
    </xf>
    <xf numFmtId="0" fontId="75" fillId="0" borderId="74" xfId="0" quotePrefix="1" applyFont="1" applyFill="1" applyBorder="1" applyAlignment="1">
      <alignment horizontal="center"/>
    </xf>
    <xf numFmtId="0" fontId="75" fillId="0" borderId="0" xfId="0" quotePrefix="1" applyFont="1" applyFill="1" applyBorder="1" applyAlignment="1">
      <alignment horizontal="center"/>
    </xf>
    <xf numFmtId="0" fontId="75" fillId="0" borderId="75" xfId="0" quotePrefix="1" applyFont="1" applyFill="1" applyBorder="1" applyAlignment="1">
      <alignment horizontal="center"/>
    </xf>
    <xf numFmtId="0" fontId="75" fillId="0" borderId="74" xfId="0" applyFont="1" applyFill="1" applyBorder="1" applyAlignment="1">
      <alignment horizontal="left"/>
    </xf>
    <xf numFmtId="0" fontId="75" fillId="0" borderId="0" xfId="0" applyFont="1" applyFill="1" applyBorder="1" applyAlignment="1">
      <alignment horizontal="left"/>
    </xf>
    <xf numFmtId="0" fontId="27" fillId="0" borderId="71" xfId="0" applyFont="1" applyFill="1" applyBorder="1" applyAlignment="1">
      <alignment horizontal="center"/>
    </xf>
    <xf numFmtId="0" fontId="27" fillId="0" borderId="72" xfId="0" applyFont="1" applyFill="1" applyBorder="1" applyAlignment="1">
      <alignment horizontal="center"/>
    </xf>
    <xf numFmtId="0" fontId="27" fillId="0" borderId="73" xfId="0" applyFont="1" applyFill="1" applyBorder="1" applyAlignment="1">
      <alignment horizontal="center"/>
    </xf>
    <xf numFmtId="0" fontId="27" fillId="0" borderId="74" xfId="0" quotePrefix="1" applyFont="1" applyFill="1" applyBorder="1" applyAlignment="1">
      <alignment horizontal="center"/>
    </xf>
    <xf numFmtId="0" fontId="27" fillId="0" borderId="0" xfId="0" quotePrefix="1" applyFont="1" applyFill="1" applyBorder="1" applyAlignment="1">
      <alignment horizontal="center"/>
    </xf>
    <xf numFmtId="0" fontId="27" fillId="0" borderId="75" xfId="0" quotePrefix="1" applyFont="1" applyFill="1" applyBorder="1" applyAlignment="1">
      <alignment horizontal="center"/>
    </xf>
    <xf numFmtId="0" fontId="75" fillId="0" borderId="71" xfId="0" applyFont="1" applyFill="1" applyBorder="1" applyAlignment="1">
      <alignment horizontal="center"/>
    </xf>
    <xf numFmtId="0" fontId="75" fillId="0" borderId="72" xfId="0" applyFont="1" applyFill="1" applyBorder="1" applyAlignment="1">
      <alignment horizontal="center"/>
    </xf>
    <xf numFmtId="0" fontId="75" fillId="0" borderId="73" xfId="0" applyFont="1" applyFill="1" applyBorder="1" applyAlignment="1">
      <alignment horizontal="center"/>
    </xf>
    <xf numFmtId="0" fontId="82" fillId="0" borderId="0" xfId="0" applyFont="1" applyFill="1" applyBorder="1" applyAlignment="1">
      <alignment vertical="center" wrapText="1"/>
    </xf>
    <xf numFmtId="0" fontId="82" fillId="0" borderId="13" xfId="0" applyFont="1" applyFill="1" applyBorder="1" applyAlignment="1">
      <alignment vertical="center" wrapText="1"/>
    </xf>
    <xf numFmtId="0" fontId="16" fillId="0" borderId="9" xfId="0" applyFont="1" applyFill="1" applyBorder="1" applyAlignment="1">
      <alignment horizontal="left" vertical="center" wrapText="1"/>
    </xf>
    <xf numFmtId="0" fontId="16" fillId="0" borderId="0" xfId="0" applyFont="1" applyFill="1" applyBorder="1" applyAlignment="1">
      <alignment horizontal="left" vertical="center" wrapText="1"/>
    </xf>
    <xf numFmtId="0" fontId="16" fillId="0" borderId="75" xfId="0" applyFont="1" applyFill="1" applyBorder="1" applyAlignment="1">
      <alignment horizontal="left" vertical="center" wrapText="1"/>
    </xf>
    <xf numFmtId="0" fontId="75" fillId="0" borderId="12" xfId="0" applyFont="1" applyFill="1" applyBorder="1" applyAlignment="1">
      <alignment horizontal="center" vertical="center" wrapText="1"/>
    </xf>
    <xf numFmtId="0" fontId="75" fillId="0" borderId="13" xfId="0" applyFont="1" applyFill="1" applyBorder="1" applyAlignment="1">
      <alignment horizontal="center" vertical="center" wrapText="1"/>
    </xf>
    <xf numFmtId="0" fontId="75" fillId="0" borderId="99" xfId="0" applyFont="1" applyFill="1" applyBorder="1" applyAlignment="1">
      <alignment horizontal="center" vertical="center" wrapText="1"/>
    </xf>
    <xf numFmtId="0" fontId="75" fillId="0" borderId="9" xfId="0" applyFont="1" applyFill="1" applyBorder="1" applyAlignment="1">
      <alignment horizontal="center" vertical="center" wrapText="1"/>
    </xf>
    <xf numFmtId="0" fontId="75" fillId="0" borderId="0" xfId="0" applyFont="1" applyFill="1" applyBorder="1" applyAlignment="1">
      <alignment horizontal="center" vertical="center" wrapText="1"/>
    </xf>
    <xf numFmtId="0" fontId="75" fillId="0" borderId="75" xfId="0" applyFont="1" applyFill="1" applyBorder="1" applyAlignment="1">
      <alignment horizontal="center" vertical="center" wrapText="1"/>
    </xf>
    <xf numFmtId="0" fontId="16" fillId="0" borderId="9" xfId="0" applyFont="1" applyFill="1" applyBorder="1" applyAlignment="1">
      <alignment horizontal="center" vertical="center" wrapText="1"/>
    </xf>
    <xf numFmtId="0" fontId="16" fillId="0" borderId="0" xfId="0" applyFont="1" applyFill="1" applyBorder="1" applyAlignment="1">
      <alignment horizontal="center" vertical="center" wrapText="1"/>
    </xf>
    <xf numFmtId="0" fontId="16" fillId="0" borderId="75" xfId="0" applyFont="1" applyFill="1" applyBorder="1" applyAlignment="1">
      <alignment horizontal="center" vertical="center" wrapText="1"/>
    </xf>
    <xf numFmtId="0" fontId="4" fillId="0" borderId="9" xfId="0" applyFont="1" applyFill="1" applyBorder="1" applyAlignment="1">
      <alignment horizontal="center" vertical="center" wrapText="1"/>
    </xf>
    <xf numFmtId="0" fontId="4" fillId="0" borderId="0" xfId="0" applyFont="1" applyFill="1" applyBorder="1" applyAlignment="1">
      <alignment horizontal="center" vertical="center" wrapText="1"/>
    </xf>
    <xf numFmtId="0" fontId="4" fillId="0" borderId="26" xfId="0" applyFont="1" applyFill="1" applyBorder="1" applyAlignment="1">
      <alignment horizontal="center" vertical="center" wrapText="1"/>
    </xf>
    <xf numFmtId="0" fontId="27" fillId="0" borderId="9" xfId="0" applyFont="1" applyFill="1" applyBorder="1" applyAlignment="1">
      <alignment horizontal="left" vertical="center" wrapText="1"/>
    </xf>
    <xf numFmtId="0" fontId="27" fillId="0" borderId="0" xfId="0" applyFont="1" applyFill="1" applyBorder="1" applyAlignment="1">
      <alignment horizontal="left" vertical="center" wrapText="1"/>
    </xf>
    <xf numFmtId="0" fontId="16" fillId="0" borderId="26" xfId="0" applyFont="1" applyFill="1" applyBorder="1" applyAlignment="1">
      <alignment horizontal="left" vertical="center" wrapText="1"/>
    </xf>
    <xf numFmtId="0" fontId="4" fillId="0" borderId="9" xfId="0" applyFont="1" applyFill="1" applyBorder="1" applyAlignment="1">
      <alignment horizontal="left" vertical="center" wrapText="1"/>
    </xf>
    <xf numFmtId="0" fontId="4" fillId="0" borderId="0" xfId="0" applyFont="1" applyFill="1" applyBorder="1" applyAlignment="1">
      <alignment horizontal="left" vertical="center" wrapText="1"/>
    </xf>
    <xf numFmtId="0" fontId="4" fillId="0" borderId="26" xfId="0" applyFont="1" applyFill="1" applyBorder="1" applyAlignment="1">
      <alignment horizontal="left" vertical="center" wrapText="1"/>
    </xf>
    <xf numFmtId="0" fontId="27" fillId="0" borderId="73" xfId="0" applyFont="1" applyFill="1" applyBorder="1" applyAlignment="1">
      <alignment horizontal="center" vertical="center"/>
    </xf>
    <xf numFmtId="0" fontId="27" fillId="0" borderId="75" xfId="0" quotePrefix="1" applyFont="1" applyFill="1" applyBorder="1" applyAlignment="1">
      <alignment horizontal="center" vertical="center"/>
    </xf>
    <xf numFmtId="0" fontId="27" fillId="0" borderId="12" xfId="0" applyFont="1" applyFill="1" applyBorder="1" applyAlignment="1">
      <alignment horizontal="center" vertical="center" wrapText="1"/>
    </xf>
    <xf numFmtId="0" fontId="27" fillId="0" borderId="13" xfId="0" applyFont="1" applyFill="1" applyBorder="1" applyAlignment="1">
      <alignment horizontal="center" vertical="center" wrapText="1"/>
    </xf>
    <xf numFmtId="0" fontId="27" fillId="0" borderId="46" xfId="0" applyFont="1" applyFill="1" applyBorder="1" applyAlignment="1">
      <alignment horizontal="center" vertical="center" wrapText="1"/>
    </xf>
    <xf numFmtId="0" fontId="27" fillId="0" borderId="9" xfId="0" applyFont="1" applyFill="1" applyBorder="1" applyAlignment="1">
      <alignment horizontal="center" vertical="center" wrapText="1"/>
    </xf>
    <xf numFmtId="0" fontId="27" fillId="0" borderId="0" xfId="0" applyFont="1" applyFill="1" applyBorder="1" applyAlignment="1">
      <alignment horizontal="center" vertical="center" wrapText="1"/>
    </xf>
    <xf numFmtId="0" fontId="27" fillId="0" borderId="26" xfId="0" applyFont="1" applyFill="1" applyBorder="1" applyAlignment="1">
      <alignment horizontal="center" vertical="center" wrapText="1"/>
    </xf>
    <xf numFmtId="0" fontId="27" fillId="0" borderId="71" xfId="3" applyFont="1" applyFill="1" applyBorder="1" applyAlignment="1">
      <alignment horizontal="center" vertical="center"/>
    </xf>
    <xf numFmtId="0" fontId="27" fillId="0" borderId="72" xfId="3" applyFont="1" applyFill="1" applyBorder="1" applyAlignment="1">
      <alignment horizontal="center" vertical="center"/>
    </xf>
    <xf numFmtId="0" fontId="27" fillId="0" borderId="74" xfId="3" quotePrefix="1" applyFont="1" applyFill="1" applyBorder="1" applyAlignment="1">
      <alignment horizontal="center" vertical="center"/>
    </xf>
    <xf numFmtId="0" fontId="27" fillId="0" borderId="0" xfId="3" quotePrefix="1" applyFont="1" applyFill="1" applyBorder="1" applyAlignment="1">
      <alignment horizontal="center" vertical="center"/>
    </xf>
    <xf numFmtId="0" fontId="39" fillId="0" borderId="0" xfId="0" applyFont="1" applyFill="1" applyBorder="1" applyAlignment="1">
      <alignment horizontal="left" vertical="center" wrapText="1"/>
    </xf>
    <xf numFmtId="0" fontId="39" fillId="0" borderId="75" xfId="0" applyFont="1" applyFill="1" applyBorder="1" applyAlignment="1">
      <alignment horizontal="left" vertical="center" wrapText="1"/>
    </xf>
    <xf numFmtId="0" fontId="42" fillId="0" borderId="0" xfId="0" applyFont="1" applyFill="1" applyBorder="1" applyAlignment="1">
      <alignment horizontal="left" vertical="center" wrapText="1"/>
    </xf>
    <xf numFmtId="0" fontId="108" fillId="0" borderId="0" xfId="0" applyFont="1" applyFill="1" applyBorder="1" applyAlignment="1">
      <alignment vertical="center"/>
    </xf>
    <xf numFmtId="0" fontId="21" fillId="0" borderId="0" xfId="0" applyFont="1" applyFill="1" applyBorder="1" applyAlignment="1">
      <alignment vertical="center"/>
    </xf>
    <xf numFmtId="0" fontId="21" fillId="0" borderId="0" xfId="0" applyFont="1" applyFill="1" applyBorder="1" applyAlignment="1">
      <alignment vertical="center" wrapText="1"/>
    </xf>
    <xf numFmtId="0" fontId="21" fillId="0" borderId="0" xfId="0" applyFont="1" applyFill="1" applyBorder="1" applyAlignment="1">
      <alignment horizontal="left" vertical="center" wrapText="1"/>
    </xf>
    <xf numFmtId="0" fontId="91" fillId="0" borderId="71" xfId="0" applyFont="1" applyFill="1" applyBorder="1" applyAlignment="1">
      <alignment horizontal="center" vertical="center"/>
    </xf>
    <xf numFmtId="0" fontId="91" fillId="0" borderId="72" xfId="0" applyFont="1" applyFill="1" applyBorder="1" applyAlignment="1">
      <alignment horizontal="center" vertical="center"/>
    </xf>
    <xf numFmtId="0" fontId="91" fillId="0" borderId="73" xfId="0" applyFont="1" applyFill="1" applyBorder="1" applyAlignment="1">
      <alignment horizontal="center" vertical="center"/>
    </xf>
    <xf numFmtId="0" fontId="91" fillId="0" borderId="74" xfId="0" quotePrefix="1" applyFont="1" applyFill="1" applyBorder="1" applyAlignment="1">
      <alignment horizontal="center" vertical="center"/>
    </xf>
    <xf numFmtId="0" fontId="91" fillId="0" borderId="0" xfId="0" quotePrefix="1" applyFont="1" applyFill="1" applyBorder="1" applyAlignment="1">
      <alignment horizontal="center" vertical="center"/>
    </xf>
    <xf numFmtId="0" fontId="91" fillId="0" borderId="75" xfId="0" quotePrefix="1" applyFont="1" applyFill="1" applyBorder="1" applyAlignment="1">
      <alignment horizontal="center" vertical="center"/>
    </xf>
    <xf numFmtId="0" fontId="21" fillId="0" borderId="0" xfId="0" applyFont="1" applyFill="1" applyBorder="1" applyAlignment="1">
      <alignment horizontal="left" vertical="center"/>
    </xf>
    <xf numFmtId="0" fontId="99" fillId="0" borderId="8" xfId="0" applyFont="1" applyFill="1" applyBorder="1" applyAlignment="1">
      <alignment vertical="top" wrapText="1"/>
    </xf>
    <xf numFmtId="0" fontId="99" fillId="0" borderId="5" xfId="0" applyFont="1" applyFill="1" applyBorder="1" applyAlignment="1">
      <alignment vertical="top" wrapText="1"/>
    </xf>
    <xf numFmtId="0" fontId="99" fillId="0" borderId="0" xfId="0" applyFont="1" applyFill="1" applyBorder="1" applyAlignment="1">
      <alignment horizontal="right" vertical="top"/>
    </xf>
    <xf numFmtId="0" fontId="99" fillId="0" borderId="9" xfId="0" applyFont="1" applyFill="1" applyBorder="1" applyAlignment="1">
      <alignment vertical="top"/>
    </xf>
    <xf numFmtId="0" fontId="99" fillId="0" borderId="0" xfId="0" applyFont="1" applyFill="1" applyBorder="1" applyAlignment="1">
      <alignment vertical="top"/>
    </xf>
    <xf numFmtId="0" fontId="100" fillId="0" borderId="9" xfId="0" applyFont="1" applyFill="1" applyBorder="1" applyAlignment="1">
      <alignment horizontal="justify" vertical="top"/>
    </xf>
    <xf numFmtId="0" fontId="100" fillId="0" borderId="0" xfId="0" applyFont="1" applyFill="1" applyBorder="1" applyAlignment="1">
      <alignment horizontal="justify" vertical="top"/>
    </xf>
    <xf numFmtId="0" fontId="75" fillId="0" borderId="12" xfId="0" applyFont="1" applyFill="1" applyBorder="1" applyAlignment="1">
      <alignment horizontal="center"/>
    </xf>
    <xf numFmtId="0" fontId="75" fillId="0" borderId="13" xfId="0" applyFont="1" applyFill="1" applyBorder="1" applyAlignment="1">
      <alignment horizontal="center"/>
    </xf>
    <xf numFmtId="0" fontId="75" fillId="0" borderId="14" xfId="0" applyFont="1" applyFill="1" applyBorder="1" applyAlignment="1">
      <alignment horizontal="center"/>
    </xf>
    <xf numFmtId="0" fontId="75" fillId="0" borderId="9" xfId="0" applyFont="1" applyFill="1" applyBorder="1" applyAlignment="1">
      <alignment horizontal="center"/>
    </xf>
    <xf numFmtId="0" fontId="75" fillId="0" borderId="4" xfId="0" applyFont="1" applyFill="1" applyBorder="1" applyAlignment="1">
      <alignment horizontal="center"/>
    </xf>
    <xf numFmtId="0" fontId="96" fillId="0" borderId="2" xfId="0" applyFont="1" applyFill="1" applyBorder="1" applyAlignment="1">
      <alignment horizontal="center" vertical="top" wrapText="1"/>
    </xf>
    <xf numFmtId="168" fontId="75" fillId="0" borderId="5" xfId="1" applyNumberFormat="1" applyFont="1" applyFill="1" applyBorder="1" applyAlignment="1">
      <alignment horizontal="right" vertical="center" wrapText="1"/>
    </xf>
    <xf numFmtId="0" fontId="75" fillId="0" borderId="0" xfId="0" applyFont="1" applyFill="1" applyAlignment="1">
      <alignment horizontal="center" vertical="center"/>
    </xf>
    <xf numFmtId="168" fontId="102" fillId="0" borderId="40" xfId="1" applyNumberFormat="1" applyFont="1" applyFill="1" applyBorder="1" applyAlignment="1">
      <alignment horizontal="center" vertical="center" wrapText="1"/>
    </xf>
    <xf numFmtId="168" fontId="102" fillId="0" borderId="10" xfId="1" applyNumberFormat="1" applyFont="1" applyFill="1" applyBorder="1" applyAlignment="1">
      <alignment horizontal="center" vertical="center" wrapText="1"/>
    </xf>
    <xf numFmtId="168" fontId="102" fillId="0" borderId="11" xfId="1" applyNumberFormat="1" applyFont="1" applyFill="1" applyBorder="1" applyAlignment="1">
      <alignment horizontal="center" vertical="center" wrapText="1"/>
    </xf>
    <xf numFmtId="168" fontId="27" fillId="0" borderId="5" xfId="1" applyNumberFormat="1" applyFont="1" applyFill="1" applyBorder="1" applyAlignment="1">
      <alignment horizontal="right" vertical="center" wrapText="1"/>
    </xf>
    <xf numFmtId="0" fontId="27" fillId="0" borderId="0" xfId="0" applyFont="1" applyFill="1" applyAlignment="1">
      <alignment horizontal="center" vertical="center"/>
    </xf>
    <xf numFmtId="168" fontId="43" fillId="0" borderId="40" xfId="1" applyNumberFormat="1" applyFont="1" applyFill="1" applyBorder="1" applyAlignment="1">
      <alignment horizontal="center" vertical="center" wrapText="1"/>
    </xf>
    <xf numFmtId="168" fontId="43" fillId="0" borderId="10" xfId="1" applyNumberFormat="1" applyFont="1" applyFill="1" applyBorder="1" applyAlignment="1">
      <alignment horizontal="center" vertical="center" wrapText="1"/>
    </xf>
    <xf numFmtId="168" fontId="43" fillId="0" borderId="11" xfId="1" applyNumberFormat="1" applyFont="1" applyFill="1" applyBorder="1" applyAlignment="1">
      <alignment horizontal="center" vertical="center" wrapText="1"/>
    </xf>
    <xf numFmtId="168" fontId="102" fillId="0" borderId="13" xfId="1" applyNumberFormat="1" applyFont="1" applyFill="1" applyBorder="1" applyAlignment="1">
      <alignment horizontal="center" vertical="center" wrapText="1"/>
    </xf>
    <xf numFmtId="0" fontId="102" fillId="0" borderId="13" xfId="0" applyFont="1" applyFill="1" applyBorder="1" applyAlignment="1">
      <alignment horizontal="center" vertical="center" wrapText="1"/>
    </xf>
    <xf numFmtId="0" fontId="102" fillId="0" borderId="14" xfId="0" applyFont="1" applyFill="1" applyBorder="1" applyAlignment="1">
      <alignment horizontal="center" vertical="center" wrapText="1"/>
    </xf>
    <xf numFmtId="168" fontId="43" fillId="0" borderId="13" xfId="1" applyNumberFormat="1" applyFont="1" applyFill="1" applyBorder="1" applyAlignment="1">
      <alignment horizontal="center" vertical="center" wrapText="1"/>
    </xf>
    <xf numFmtId="0" fontId="43" fillId="0" borderId="13" xfId="0" applyFont="1" applyFill="1" applyBorder="1" applyAlignment="1">
      <alignment horizontal="center" vertical="center" wrapText="1"/>
    </xf>
    <xf numFmtId="0" fontId="43" fillId="0" borderId="14" xfId="0" applyFont="1" applyFill="1" applyBorder="1" applyAlignment="1">
      <alignment horizontal="center" vertical="center" wrapText="1"/>
    </xf>
    <xf numFmtId="0" fontId="75" fillId="0" borderId="12" xfId="0" applyFont="1" applyFill="1" applyBorder="1" applyAlignment="1">
      <alignment vertical="top" wrapText="1"/>
    </xf>
    <xf numFmtId="0" fontId="75" fillId="0" borderId="9" xfId="0" applyFont="1" applyFill="1" applyBorder="1" applyAlignment="1">
      <alignment vertical="top" wrapText="1"/>
    </xf>
    <xf numFmtId="168" fontId="75" fillId="0" borderId="13" xfId="1" applyNumberFormat="1" applyFont="1" applyFill="1" applyBorder="1" applyAlignment="1">
      <alignment horizontal="center" vertical="top" wrapText="1"/>
    </xf>
    <xf numFmtId="168" fontId="75" fillId="0" borderId="0" xfId="1" applyNumberFormat="1" applyFont="1" applyFill="1" applyBorder="1" applyAlignment="1">
      <alignment horizontal="center" vertical="top" wrapText="1"/>
    </xf>
    <xf numFmtId="0" fontId="75" fillId="0" borderId="13" xfId="0" applyFont="1" applyFill="1" applyBorder="1" applyAlignment="1">
      <alignment horizontal="center" vertical="top" wrapText="1"/>
    </xf>
    <xf numFmtId="0" fontId="75" fillId="0" borderId="0" xfId="0" applyFont="1" applyFill="1" applyBorder="1" applyAlignment="1">
      <alignment horizontal="center" vertical="top" wrapText="1"/>
    </xf>
    <xf numFmtId="0" fontId="34" fillId="0" borderId="0" xfId="0" applyFont="1" applyFill="1" applyAlignment="1">
      <alignment horizontal="center"/>
    </xf>
    <xf numFmtId="0" fontId="34" fillId="0" borderId="0" xfId="0" applyFont="1" applyFill="1" applyAlignment="1"/>
    <xf numFmtId="0" fontId="75" fillId="0" borderId="0" xfId="0" applyFont="1" applyFill="1" applyAlignment="1">
      <alignment horizontal="center"/>
    </xf>
    <xf numFmtId="0" fontId="75" fillId="0" borderId="4" xfId="0" applyFont="1" applyFill="1" applyBorder="1" applyAlignment="1">
      <alignment horizontal="center" vertical="top" wrapText="1"/>
    </xf>
    <xf numFmtId="0" fontId="75" fillId="0" borderId="14" xfId="0" applyFont="1" applyFill="1" applyBorder="1" applyAlignment="1">
      <alignment horizontal="center" vertical="top" wrapText="1"/>
    </xf>
    <xf numFmtId="0" fontId="75" fillId="0" borderId="16" xfId="0" applyFont="1" applyFill="1" applyBorder="1" applyAlignment="1">
      <alignment horizontal="center" vertical="center" wrapText="1"/>
    </xf>
    <xf numFmtId="0" fontId="75" fillId="0" borderId="15" xfId="0" applyFont="1" applyFill="1" applyBorder="1" applyAlignment="1">
      <alignment horizontal="center" vertical="center" wrapText="1"/>
    </xf>
    <xf numFmtId="0" fontId="75" fillId="0" borderId="0" xfId="0" applyFont="1" applyFill="1" applyAlignment="1">
      <alignment horizontal="center" vertical="center" wrapText="1"/>
    </xf>
    <xf numFmtId="0" fontId="75" fillId="0" borderId="40" xfId="0" applyFont="1" applyFill="1" applyBorder="1" applyAlignment="1">
      <alignment horizontal="center" vertical="center" wrapText="1"/>
    </xf>
    <xf numFmtId="0" fontId="75" fillId="0" borderId="2" xfId="0" applyFont="1" applyFill="1" applyBorder="1" applyAlignment="1">
      <alignment horizontal="center" vertical="center" wrapText="1"/>
    </xf>
    <xf numFmtId="0" fontId="16" fillId="0" borderId="0" xfId="0" applyFont="1" applyFill="1" applyAlignment="1">
      <alignment vertical="center" wrapText="1"/>
    </xf>
    <xf numFmtId="0" fontId="27" fillId="0" borderId="0" xfId="0" applyFont="1" applyFill="1" applyAlignment="1">
      <alignment horizontal="center" vertical="center" wrapText="1"/>
    </xf>
    <xf numFmtId="0" fontId="27" fillId="0" borderId="16" xfId="0" applyFont="1" applyFill="1" applyBorder="1" applyAlignment="1">
      <alignment horizontal="center" vertical="center" wrapText="1"/>
    </xf>
    <xf numFmtId="0" fontId="27" fillId="0" borderId="1" xfId="0" applyFont="1" applyFill="1" applyBorder="1" applyAlignment="1">
      <alignment horizontal="center" vertical="center" wrapText="1"/>
    </xf>
    <xf numFmtId="0" fontId="27" fillId="0" borderId="15" xfId="0" applyFont="1" applyFill="1" applyBorder="1" applyAlignment="1">
      <alignment horizontal="center" vertical="center" wrapText="1"/>
    </xf>
    <xf numFmtId="0" fontId="27" fillId="0" borderId="0" xfId="6" applyFont="1" applyFill="1" applyAlignment="1">
      <alignment horizontal="center" vertical="center"/>
    </xf>
    <xf numFmtId="0" fontId="50" fillId="0" borderId="0" xfId="0" applyFont="1" applyFill="1" applyAlignment="1">
      <alignment horizontal="center" vertical="center"/>
    </xf>
    <xf numFmtId="0" fontId="51" fillId="0" borderId="2" xfId="0" applyFont="1" applyFill="1" applyBorder="1" applyAlignment="1">
      <alignment horizontal="center" vertical="center" wrapText="1"/>
    </xf>
    <xf numFmtId="0" fontId="27" fillId="0" borderId="9" xfId="0" applyFont="1" applyFill="1" applyBorder="1" applyAlignment="1">
      <alignment horizontal="center"/>
    </xf>
    <xf numFmtId="0" fontId="27" fillId="0" borderId="0" xfId="0" applyFont="1" applyFill="1" applyBorder="1" applyAlignment="1">
      <alignment horizontal="center"/>
    </xf>
    <xf numFmtId="0" fontId="0" fillId="0" borderId="0" xfId="0" applyAlignment="1">
      <alignment horizontal="center"/>
    </xf>
    <xf numFmtId="0" fontId="4" fillId="0" borderId="5" xfId="0" applyFont="1" applyFill="1" applyBorder="1" applyAlignment="1">
      <alignment horizontal="center" vertical="center" wrapText="1"/>
    </xf>
    <xf numFmtId="0" fontId="36" fillId="0" borderId="0" xfId="0" applyFont="1" applyFill="1" applyBorder="1" applyAlignment="1">
      <alignment horizontal="center" vertical="center" wrapText="1"/>
    </xf>
    <xf numFmtId="0" fontId="17" fillId="0" borderId="0" xfId="0" applyFont="1" applyFill="1" applyAlignment="1">
      <alignment horizontal="center" vertical="center" wrapText="1"/>
    </xf>
    <xf numFmtId="0" fontId="54" fillId="0" borderId="30" xfId="0" applyFont="1" applyFill="1" applyBorder="1" applyAlignment="1">
      <alignment vertical="center" wrapText="1"/>
    </xf>
    <xf numFmtId="0" fontId="54" fillId="0" borderId="31" xfId="0" applyFont="1" applyFill="1" applyBorder="1" applyAlignment="1">
      <alignment vertical="center" wrapText="1"/>
    </xf>
    <xf numFmtId="0" fontId="54" fillId="0" borderId="32" xfId="0" applyFont="1" applyFill="1" applyBorder="1" applyAlignment="1">
      <alignment vertical="center" wrapText="1"/>
    </xf>
    <xf numFmtId="0" fontId="54" fillId="0" borderId="30" xfId="0" applyFont="1" applyFill="1" applyBorder="1" applyAlignment="1">
      <alignment horizontal="left" vertical="center" wrapText="1"/>
    </xf>
    <xf numFmtId="0" fontId="54" fillId="0" borderId="32" xfId="0" applyFont="1" applyFill="1" applyBorder="1" applyAlignment="1">
      <alignment horizontal="left" vertical="center" wrapText="1"/>
    </xf>
    <xf numFmtId="0" fontId="0" fillId="0" borderId="32" xfId="0" applyFont="1" applyFill="1" applyBorder="1" applyAlignment="1">
      <alignment horizontal="left" vertical="center" wrapText="1"/>
    </xf>
    <xf numFmtId="0" fontId="49" fillId="0" borderId="0" xfId="0" applyFont="1" applyFill="1" applyAlignment="1">
      <alignment horizontal="left" vertical="center" wrapText="1"/>
    </xf>
    <xf numFmtId="0" fontId="36" fillId="0" borderId="0" xfId="0" applyFont="1" applyFill="1" applyAlignment="1">
      <alignment horizontal="left" vertical="center" wrapText="1"/>
    </xf>
    <xf numFmtId="0" fontId="27" fillId="0" borderId="0" xfId="0" quotePrefix="1" applyFont="1" applyFill="1" applyAlignment="1">
      <alignment horizontal="center" vertical="center"/>
    </xf>
    <xf numFmtId="0" fontId="10" fillId="0" borderId="0" xfId="0" applyFont="1" applyAlignment="1">
      <alignment horizontal="left" vertical="top"/>
    </xf>
    <xf numFmtId="0" fontId="10" fillId="0" borderId="0" xfId="0" applyFont="1" applyAlignment="1">
      <alignment horizontal="left" vertical="top" wrapText="1"/>
    </xf>
    <xf numFmtId="0" fontId="10" fillId="0" borderId="0" xfId="0" applyFont="1" applyAlignment="1">
      <alignment horizontal="left" wrapText="1"/>
    </xf>
    <xf numFmtId="0" fontId="8" fillId="0" borderId="47" xfId="0" applyFont="1" applyBorder="1" applyAlignment="1">
      <alignment horizontal="center"/>
    </xf>
    <xf numFmtId="0" fontId="8" fillId="0" borderId="29" xfId="0" applyFont="1" applyBorder="1" applyAlignment="1">
      <alignment horizontal="center"/>
    </xf>
    <xf numFmtId="0" fontId="8" fillId="0" borderId="48" xfId="0" applyFont="1" applyBorder="1" applyAlignment="1">
      <alignment horizontal="center"/>
    </xf>
    <xf numFmtId="0" fontId="8" fillId="0" borderId="47" xfId="0" applyFont="1" applyBorder="1" applyAlignment="1">
      <alignment horizontal="center" wrapText="1"/>
    </xf>
    <xf numFmtId="0" fontId="8" fillId="0" borderId="29" xfId="0" applyFont="1" applyBorder="1" applyAlignment="1">
      <alignment horizontal="center" wrapText="1"/>
    </xf>
    <xf numFmtId="168" fontId="42" fillId="0" borderId="2" xfId="1" applyNumberFormat="1" applyFont="1" applyFill="1" applyBorder="1" applyAlignment="1">
      <alignment horizontal="right" vertical="center" wrapText="1"/>
    </xf>
  </cellXfs>
  <cellStyles count="11">
    <cellStyle name="Comma" xfId="1" builtinId="3"/>
    <cellStyle name="Comma 2" xfId="10"/>
    <cellStyle name="Comma_Adjustments to acc. surplus" xfId="8"/>
    <cellStyle name="Normal" xfId="0" builtinId="0"/>
    <cellStyle name="Normal 3" xfId="2"/>
    <cellStyle name="Normal 4" xfId="9"/>
    <cellStyle name="Normal_Adjustments to acc. surplus" xfId="7"/>
    <cellStyle name="Normal_CHANGE IN ACCOUNTING POLICY" xfId="3"/>
    <cellStyle name="Normal_CHANGE IN ACCOUNTING POLICY 5" xfId="4"/>
    <cellStyle name="Normal_SHEET" xfId="6"/>
    <cellStyle name="Percent" xfId="5" builtinId="5"/>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hartsheet" Target="chartsheets/sheet4.xml"/><Relationship Id="rId50" Type="http://schemas.openxmlformats.org/officeDocument/2006/relationships/worksheet" Target="worksheets/sheet45.xml"/><Relationship Id="rId55" Type="http://schemas.openxmlformats.org/officeDocument/2006/relationships/worksheet" Target="worksheets/sheet50.xml"/><Relationship Id="rId63"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49.xml"/><Relationship Id="rId62"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hartsheet" Target="chartsheets/sheet2.xml"/><Relationship Id="rId53" Type="http://schemas.openxmlformats.org/officeDocument/2006/relationships/worksheet" Target="worksheets/sheet48.xml"/><Relationship Id="rId58" Type="http://schemas.openxmlformats.org/officeDocument/2006/relationships/worksheet" Target="worksheets/sheet5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4.xml"/><Relationship Id="rId57" Type="http://schemas.openxmlformats.org/officeDocument/2006/relationships/worksheet" Target="worksheets/sheet52.xml"/><Relationship Id="rId61"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hartsheet" Target="chartsheets/sheet1.xml"/><Relationship Id="rId52" Type="http://schemas.openxmlformats.org/officeDocument/2006/relationships/worksheet" Target="worksheets/sheet47.xml"/><Relationship Id="rId60" Type="http://schemas.openxmlformats.org/officeDocument/2006/relationships/connections" Target="connection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hartsheet" Target="chartsheets/sheet5.xml"/><Relationship Id="rId56" Type="http://schemas.openxmlformats.org/officeDocument/2006/relationships/worksheet" Target="worksheets/sheet51.xml"/><Relationship Id="rId8" Type="http://schemas.openxmlformats.org/officeDocument/2006/relationships/worksheet" Target="worksheets/sheet8.xml"/><Relationship Id="rId51" Type="http://schemas.openxmlformats.org/officeDocument/2006/relationships/worksheet" Target="worksheets/sheet46.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hartsheet" Target="chartsheets/sheet3.xml"/><Relationship Id="rId59"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c:lang val="en-ZA"/>
  <c:chart>
    <c:title>
      <c:tx>
        <c:rich>
          <a:bodyPr/>
          <a:lstStyle/>
          <a:p>
            <a:pPr>
              <a:defRPr lang="en-ZA" sz="1800" b="1" i="0" u="none" strike="noStrike" baseline="0">
                <a:solidFill>
                  <a:srgbClr val="000000"/>
                </a:solidFill>
                <a:latin typeface="Calibri"/>
                <a:ea typeface="Calibri"/>
                <a:cs typeface="Calibri"/>
              </a:defRPr>
            </a:pPr>
            <a:r>
              <a:rPr lang="en-ZA"/>
              <a:t>OPERATING REVENUE 2006/07 </a:t>
            </a:r>
          </a:p>
        </c:rich>
      </c:tx>
      <c:spPr>
        <a:noFill/>
        <a:ln w="25400">
          <a:noFill/>
        </a:ln>
      </c:spPr>
    </c:title>
    <c:view3D>
      <c:rotX val="30"/>
      <c:perspective val="30"/>
    </c:view3D>
    <c:plotArea>
      <c:layout>
        <c:manualLayout>
          <c:layoutTarget val="inner"/>
          <c:xMode val="edge"/>
          <c:yMode val="edge"/>
          <c:x val="0.12527472527472217"/>
          <c:y val="0.18829113924050644"/>
          <c:w val="0.70329670329670335"/>
          <c:h val="0.63132911392406565"/>
        </c:manualLayout>
      </c:layout>
      <c:pie3DChart>
        <c:varyColors val="1"/>
        <c:ser>
          <c:idx val="0"/>
          <c:order val="0"/>
          <c:explosion val="25"/>
          <c:dLbls>
            <c:dLbl>
              <c:idx val="0"/>
              <c:layout>
                <c:manualLayout>
                  <c:x val="4.4627470764364865E-2"/>
                  <c:y val="-1.0195946409311638E-2"/>
                </c:manualLayout>
              </c:layout>
              <c:dLblPos val="bestFit"/>
              <c:showCatName val="1"/>
              <c:showPercent val="1"/>
            </c:dLbl>
            <c:dLbl>
              <c:idx val="1"/>
              <c:layout>
                <c:manualLayout>
                  <c:x val="-1.4917662410425496E-2"/>
                  <c:y val="0.15324443114446357"/>
                </c:manualLayout>
              </c:layout>
              <c:dLblPos val="bestFit"/>
              <c:showCatName val="1"/>
              <c:showPercent val="1"/>
            </c:dLbl>
            <c:dLbl>
              <c:idx val="2"/>
              <c:layout>
                <c:manualLayout>
                  <c:x val="6.6554267171934925E-2"/>
                  <c:y val="-2.0779325661217117E-2"/>
                </c:manualLayout>
              </c:layout>
              <c:dLblPos val="bestFit"/>
              <c:showCatName val="1"/>
              <c:showPercent val="1"/>
            </c:dLbl>
            <c:dLbl>
              <c:idx val="4"/>
              <c:layout>
                <c:manualLayout>
                  <c:x val="2.7501013053886692E-3"/>
                  <c:y val="2.4749222261706602E-2"/>
                </c:manualLayout>
              </c:layout>
              <c:dLblPos val="bestFit"/>
              <c:showCatName val="1"/>
              <c:showPercent val="1"/>
            </c:dLbl>
            <c:dLbl>
              <c:idx val="5"/>
              <c:layout>
                <c:manualLayout>
                  <c:x val="-1.6106127507752761E-2"/>
                  <c:y val="4.8931116389548703E-2"/>
                </c:manualLayout>
              </c:layout>
              <c:dLblPos val="bestFit"/>
              <c:showCatName val="1"/>
              <c:showPercent val="1"/>
            </c:dLbl>
            <c:dLbl>
              <c:idx val="6"/>
              <c:layout>
                <c:manualLayout>
                  <c:x val="2.2333008085807064E-2"/>
                  <c:y val="6.685999914346373E-2"/>
                </c:manualLayout>
              </c:layout>
              <c:dLblPos val="bestFit"/>
              <c:showCatName val="1"/>
              <c:showPercent val="1"/>
            </c:dLbl>
            <c:dLbl>
              <c:idx val="9"/>
              <c:layout>
                <c:manualLayout>
                  <c:x val="-4.0496341831667532E-2"/>
                  <c:y val="1.3258520832164401E-2"/>
                </c:manualLayout>
              </c:layout>
              <c:dLblPos val="bestFit"/>
              <c:showCatName val="1"/>
              <c:showPercent val="1"/>
            </c:dLbl>
            <c:spPr>
              <a:noFill/>
              <a:ln w="25400">
                <a:noFill/>
              </a:ln>
            </c:spPr>
            <c:txPr>
              <a:bodyPr/>
              <a:lstStyle/>
              <a:p>
                <a:pPr>
                  <a:defRPr lang="en-ZA" sz="800" b="0" i="0" u="none" strike="noStrike" baseline="0">
                    <a:solidFill>
                      <a:srgbClr val="000000"/>
                    </a:solidFill>
                    <a:latin typeface="Arial"/>
                    <a:ea typeface="Arial"/>
                    <a:cs typeface="Arial"/>
                  </a:defRPr>
                </a:pPr>
                <a:endParaRPr lang="en-US"/>
              </a:p>
            </c:txPr>
            <c:showCatName val="1"/>
            <c:showPercent val="1"/>
            <c:showLeaderLines val="1"/>
          </c:dLbls>
          <c:cat>
            <c:strRef>
              <c:f>'Graphs - Linked '!$A$3:$A$12</c:f>
              <c:strCache>
                <c:ptCount val="10"/>
                <c:pt idx="0">
                  <c:v>Property Rates</c:v>
                </c:pt>
                <c:pt idx="1">
                  <c:v>Electricity Charges</c:v>
                </c:pt>
                <c:pt idx="2">
                  <c:v>Refuse Charges</c:v>
                </c:pt>
                <c:pt idx="3">
                  <c:v>Sereage Charges</c:v>
                </c:pt>
                <c:pt idx="4">
                  <c:v>Water Charges</c:v>
                </c:pt>
                <c:pt idx="5">
                  <c:v>Interest Earned</c:v>
                </c:pt>
                <c:pt idx="6">
                  <c:v>Gov. Grants: OPEX</c:v>
                </c:pt>
                <c:pt idx="7">
                  <c:v>Gov. Grants: Capex</c:v>
                </c:pt>
                <c:pt idx="8">
                  <c:v>Sales of Erven &amp; Coal</c:v>
                </c:pt>
                <c:pt idx="9">
                  <c:v>Other Revenue</c:v>
                </c:pt>
              </c:strCache>
            </c:strRef>
          </c:cat>
          <c:val>
            <c:numRef>
              <c:f>'Graphs - Linked '!$B$3:$B$12</c:f>
              <c:numCache>
                <c:formatCode>_(* #,##0_);_(* \(#,##0\);_(* "-"??_);_(@_)</c:formatCode>
                <c:ptCount val="10"/>
                <c:pt idx="0">
                  <c:v>8713652.1300000008</c:v>
                </c:pt>
                <c:pt idx="1">
                  <c:v>29200709.390000001</c:v>
                </c:pt>
                <c:pt idx="2">
                  <c:v>4232136.21</c:v>
                </c:pt>
                <c:pt idx="3">
                  <c:v>0</c:v>
                </c:pt>
                <c:pt idx="4">
                  <c:v>0</c:v>
                </c:pt>
                <c:pt idx="5">
                  <c:v>0</c:v>
                </c:pt>
                <c:pt idx="6">
                  <c:v>16965254</c:v>
                </c:pt>
                <c:pt idx="7">
                  <c:v>7486868.2199999997</c:v>
                </c:pt>
                <c:pt idx="8">
                  <c:v>92998490</c:v>
                </c:pt>
                <c:pt idx="9">
                  <c:v>0</c:v>
                </c:pt>
              </c:numCache>
            </c:numRef>
          </c:val>
        </c:ser>
        <c:dLbls>
          <c:showCatName val="1"/>
          <c:showPercent val="1"/>
        </c:dLbls>
      </c:pie3DChart>
      <c:spPr>
        <a:noFill/>
        <a:ln w="25400">
          <a:noFill/>
        </a:ln>
      </c:spPr>
    </c:plotArea>
    <c:plotVisOnly val="1"/>
    <c:dispBlanksAs val="zero"/>
  </c:chart>
  <c:txPr>
    <a:bodyPr/>
    <a:lstStyle/>
    <a:p>
      <a:pPr>
        <a:defRPr sz="1000" b="0" i="0" u="none" strike="noStrike" baseline="0">
          <a:solidFill>
            <a:srgbClr val="000000"/>
          </a:solidFill>
          <a:latin typeface="Calibri"/>
          <a:ea typeface="Calibri"/>
          <a:cs typeface="Calibri"/>
        </a:defRPr>
      </a:pPr>
      <a:endParaRPr lang="en-US"/>
    </a:p>
  </c:txPr>
</c:chartSpace>
</file>

<file path=xl/charts/chart2.xml><?xml version="1.0" encoding="utf-8"?>
<c:chartSpace xmlns:c="http://schemas.openxmlformats.org/drawingml/2006/chart" xmlns:a="http://schemas.openxmlformats.org/drawingml/2006/main" xmlns:r="http://schemas.openxmlformats.org/officeDocument/2006/relationships">
  <c:lang val="en-ZA"/>
  <c:chart>
    <c:title>
      <c:tx>
        <c:rich>
          <a:bodyPr/>
          <a:lstStyle/>
          <a:p>
            <a:pPr>
              <a:defRPr lang="en-ZA" sz="1800" b="1" i="0" u="none" strike="noStrike" baseline="0">
                <a:solidFill>
                  <a:srgbClr val="000000"/>
                </a:solidFill>
                <a:latin typeface="Calibri"/>
                <a:ea typeface="Calibri"/>
                <a:cs typeface="Calibri"/>
              </a:defRPr>
            </a:pPr>
            <a:r>
              <a:rPr lang="en-ZA"/>
              <a:t>OPERATING EXPENDITURE 2006/07</a:t>
            </a:r>
          </a:p>
        </c:rich>
      </c:tx>
      <c:spPr>
        <a:noFill/>
        <a:ln w="25400">
          <a:noFill/>
        </a:ln>
      </c:spPr>
    </c:title>
    <c:view3D>
      <c:rotX val="30"/>
      <c:perspective val="30"/>
    </c:view3D>
    <c:plotArea>
      <c:layout>
        <c:manualLayout>
          <c:layoutTarget val="inner"/>
          <c:xMode val="edge"/>
          <c:yMode val="edge"/>
          <c:x val="9.1095189355168887E-2"/>
          <c:y val="0.13765822784810128"/>
          <c:w val="0.80552712384851588"/>
          <c:h val="0.77848101265828096"/>
        </c:manualLayout>
      </c:layout>
      <c:pie3DChart>
        <c:varyColors val="1"/>
        <c:ser>
          <c:idx val="0"/>
          <c:order val="0"/>
          <c:explosion val="25"/>
          <c:dLbls>
            <c:dLbl>
              <c:idx val="0"/>
              <c:layout>
                <c:manualLayout>
                  <c:x val="3.0717497692574442E-2"/>
                  <c:y val="-6.7544502086915731E-3"/>
                </c:manualLayout>
              </c:layout>
              <c:dLblPos val="bestFit"/>
              <c:showCatName val="1"/>
              <c:showPercent val="1"/>
            </c:dLbl>
            <c:dLbl>
              <c:idx val="1"/>
              <c:layout>
                <c:manualLayout>
                  <c:x val="9.9290687039412892E-2"/>
                  <c:y val="3.8729278765406252E-3"/>
                </c:manualLayout>
              </c:layout>
              <c:dLblPos val="bestFit"/>
              <c:showCatName val="1"/>
              <c:showPercent val="1"/>
            </c:dLbl>
            <c:dLbl>
              <c:idx val="2"/>
              <c:layout>
                <c:manualLayout>
                  <c:x val="0.17040883689813244"/>
                  <c:y val="-4.9389881955271943E-3"/>
                </c:manualLayout>
              </c:layout>
              <c:dLblPos val="bestFit"/>
              <c:showCatName val="1"/>
              <c:showPercent val="1"/>
            </c:dLbl>
            <c:dLbl>
              <c:idx val="4"/>
              <c:layout>
                <c:manualLayout>
                  <c:x val="-1.2697072026692666E-2"/>
                  <c:y val="0.18140514567341454"/>
                </c:manualLayout>
              </c:layout>
              <c:dLblPos val="bestFit"/>
              <c:showCatName val="1"/>
              <c:showPercent val="1"/>
            </c:dLbl>
            <c:dLbl>
              <c:idx val="5"/>
              <c:layout>
                <c:manualLayout>
                  <c:x val="4.1314216480360613E-2"/>
                  <c:y val="2.0256872279681012E-4"/>
                </c:manualLayout>
              </c:layout>
              <c:dLblPos val="bestFit"/>
              <c:showCatName val="1"/>
              <c:showPercent val="1"/>
            </c:dLbl>
            <c:dLbl>
              <c:idx val="6"/>
              <c:layout>
                <c:manualLayout>
                  <c:x val="7.2278145375123865E-2"/>
                  <c:y val="6.0924641473107409E-2"/>
                </c:manualLayout>
              </c:layout>
              <c:tx>
                <c:rich>
                  <a:bodyPr/>
                  <a:lstStyle/>
                  <a:p>
                    <a:r>
                      <a:rPr lang="en-ZA" sz="1000" b="0" i="0" strike="noStrike">
                        <a:solidFill>
                          <a:srgbClr val="000000"/>
                        </a:solidFill>
                        <a:latin typeface="Calibri"/>
                      </a:rPr>
                      <a:t>Remuneration</a:t>
                    </a:r>
                  </a:p>
                  <a:p>
                    <a:r>
                      <a:rPr lang="en-ZA" sz="1000" b="0" i="0" strike="noStrike">
                        <a:solidFill>
                          <a:srgbClr val="000000"/>
                        </a:solidFill>
                        <a:latin typeface="Calibri"/>
                      </a:rPr>
                      <a:t> Councillors</a:t>
                    </a:r>
                  </a:p>
                  <a:p>
                    <a:r>
                      <a:rPr lang="en-ZA" sz="1000" b="0" i="0" strike="noStrike">
                        <a:solidFill>
                          <a:srgbClr val="000000"/>
                        </a:solidFill>
                        <a:latin typeface="Calibri"/>
                      </a:rPr>
                      <a:t>3%</a:t>
                    </a:r>
                  </a:p>
                </c:rich>
              </c:tx>
              <c:dLblPos val="bestFit"/>
            </c:dLbl>
            <c:dLbl>
              <c:idx val="7"/>
              <c:layout>
                <c:manualLayout>
                  <c:x val="7.550696094083478E-3"/>
                  <c:y val="-4.6863922617930903E-2"/>
                </c:manualLayout>
              </c:layout>
              <c:dLblPos val="bestFit"/>
              <c:showCatName val="1"/>
              <c:showPercent val="1"/>
            </c:dLbl>
            <c:spPr>
              <a:noFill/>
              <a:ln w="25400">
                <a:noFill/>
              </a:ln>
            </c:spPr>
            <c:txPr>
              <a:bodyPr/>
              <a:lstStyle/>
              <a:p>
                <a:pPr>
                  <a:defRPr lang="en-ZA" sz="1000" b="0" i="0" u="none" strike="noStrike" baseline="0">
                    <a:solidFill>
                      <a:srgbClr val="000000"/>
                    </a:solidFill>
                    <a:latin typeface="Calibri"/>
                    <a:ea typeface="Calibri"/>
                    <a:cs typeface="Calibri"/>
                  </a:defRPr>
                </a:pPr>
                <a:endParaRPr lang="en-US"/>
              </a:p>
            </c:txPr>
            <c:showCatName val="1"/>
            <c:showPercent val="1"/>
            <c:showLeaderLines val="1"/>
          </c:dLbls>
          <c:cat>
            <c:strRef>
              <c:f>'Graphs - Linked '!$A$21:$A$28</c:f>
              <c:strCache>
                <c:ptCount val="8"/>
                <c:pt idx="0">
                  <c:v>Employee Cost</c:v>
                </c:pt>
                <c:pt idx="1">
                  <c:v>Depreciation</c:v>
                </c:pt>
                <c:pt idx="2">
                  <c:v>Repairs &amp; Maintenance</c:v>
                </c:pt>
                <c:pt idx="3">
                  <c:v>Interest Paid</c:v>
                </c:pt>
                <c:pt idx="4">
                  <c:v>Bulk Purchases</c:v>
                </c:pt>
                <c:pt idx="5">
                  <c:v>Contracted Services</c:v>
                </c:pt>
                <c:pt idx="6">
                  <c:v>Remuneration Councillors</c:v>
                </c:pt>
                <c:pt idx="7">
                  <c:v>Other Expenditure</c:v>
                </c:pt>
              </c:strCache>
            </c:strRef>
          </c:cat>
          <c:val>
            <c:numRef>
              <c:f>'Graphs - Linked '!$B$21:$B$28</c:f>
              <c:numCache>
                <c:formatCode>_(* #,##0_);_(* \(#,##0\);_(* "-"??_);_(@_)</c:formatCode>
                <c:ptCount val="8"/>
                <c:pt idx="0">
                  <c:v>23731899.860000003</c:v>
                </c:pt>
                <c:pt idx="1">
                  <c:v>6100070</c:v>
                </c:pt>
                <c:pt idx="2">
                  <c:v>4407466.99</c:v>
                </c:pt>
                <c:pt idx="3">
                  <c:v>0</c:v>
                </c:pt>
                <c:pt idx="4">
                  <c:v>0</c:v>
                </c:pt>
                <c:pt idx="5">
                  <c:v>3154161.04</c:v>
                </c:pt>
                <c:pt idx="6">
                  <c:v>2567686.87</c:v>
                </c:pt>
                <c:pt idx="7">
                  <c:v>0</c:v>
                </c:pt>
              </c:numCache>
            </c:numRef>
          </c:val>
        </c:ser>
        <c:dLbls>
          <c:showCatName val="1"/>
          <c:showPercent val="1"/>
        </c:dLbls>
      </c:pie3DChart>
      <c:spPr>
        <a:noFill/>
        <a:ln w="25400">
          <a:noFill/>
        </a:ln>
      </c:spPr>
    </c:plotArea>
    <c:plotVisOnly val="1"/>
    <c:dispBlanksAs val="zero"/>
  </c:chart>
  <c:txPr>
    <a:bodyPr/>
    <a:lstStyle/>
    <a:p>
      <a:pPr>
        <a:defRPr sz="1000" b="0" i="0" u="none" strike="noStrike" baseline="0">
          <a:solidFill>
            <a:srgbClr val="000000"/>
          </a:solidFill>
          <a:latin typeface="Calibri"/>
          <a:ea typeface="Calibri"/>
          <a:cs typeface="Calibri"/>
        </a:defRPr>
      </a:pPr>
      <a:endParaRPr lang="en-US"/>
    </a:p>
  </c:txPr>
</c:chartSpace>
</file>

<file path=xl/charts/chart3.xml><?xml version="1.0" encoding="utf-8"?>
<c:chartSpace xmlns:c="http://schemas.openxmlformats.org/drawingml/2006/chart" xmlns:a="http://schemas.openxmlformats.org/drawingml/2006/main" xmlns:r="http://schemas.openxmlformats.org/officeDocument/2006/relationships">
  <c:lang val="en-ZA"/>
  <c:chart>
    <c:title>
      <c:tx>
        <c:rich>
          <a:bodyPr/>
          <a:lstStyle/>
          <a:p>
            <a:pPr>
              <a:defRPr lang="en-ZA" sz="1800" b="1" i="0" u="none" strike="noStrike" baseline="0">
                <a:solidFill>
                  <a:srgbClr val="000000"/>
                </a:solidFill>
                <a:latin typeface="Calibri"/>
                <a:ea typeface="Calibri"/>
                <a:cs typeface="Calibri"/>
              </a:defRPr>
            </a:pPr>
            <a:r>
              <a:rPr lang="en-ZA"/>
              <a:t>CONSUMER DEBTORS 30 JUNE 2007</a:t>
            </a:r>
          </a:p>
        </c:rich>
      </c:tx>
      <c:spPr>
        <a:noFill/>
        <a:ln w="25400">
          <a:noFill/>
        </a:ln>
      </c:spPr>
    </c:title>
    <c:view3D>
      <c:depthPercent val="100"/>
      <c:rAngAx val="1"/>
    </c:view3D>
    <c:plotArea>
      <c:layout>
        <c:manualLayout>
          <c:layoutTarget val="inner"/>
          <c:xMode val="edge"/>
          <c:yMode val="edge"/>
          <c:x val="9.2118730808596519E-2"/>
          <c:y val="0.12068965517241392"/>
          <c:w val="0.89559877175021863"/>
          <c:h val="0.75078369905956865"/>
        </c:manualLayout>
      </c:layout>
      <c:bar3DChart>
        <c:barDir val="col"/>
        <c:grouping val="clustered"/>
        <c:ser>
          <c:idx val="0"/>
          <c:order val="0"/>
          <c:tx>
            <c:strRef>
              <c:f>'Graphs - Linked '!$B$36</c:f>
              <c:strCache>
                <c:ptCount val="1"/>
                <c:pt idx="0">
                  <c:v>2007</c:v>
                </c:pt>
              </c:strCache>
            </c:strRef>
          </c:tx>
          <c:dLbls>
            <c:dLbl>
              <c:idx val="0"/>
              <c:layout>
                <c:manualLayout>
                  <c:x val="-3.01496089856753E-3"/>
                  <c:y val="-2.6347098462224526E-3"/>
                </c:manualLayout>
              </c:layout>
              <c:showVal val="1"/>
            </c:dLbl>
            <c:dLbl>
              <c:idx val="1"/>
              <c:layout>
                <c:manualLayout>
                  <c:x val="9.8367437949478708E-4"/>
                  <c:y val="-4.1438715144932921E-2"/>
                </c:manualLayout>
              </c:layout>
              <c:showVal val="1"/>
            </c:dLbl>
            <c:dLbl>
              <c:idx val="2"/>
              <c:layout>
                <c:manualLayout>
                  <c:x val="1.9115778388500832E-3"/>
                  <c:y val="-5.5344375056566184E-2"/>
                </c:manualLayout>
              </c:layout>
              <c:showVal val="1"/>
            </c:dLbl>
            <c:dLbl>
              <c:idx val="3"/>
              <c:layout>
                <c:manualLayout>
                  <c:x val="6.9337545703409414E-3"/>
                  <c:y val="-4.6216440813237114E-2"/>
                </c:manualLayout>
              </c:layout>
              <c:showVal val="1"/>
            </c:dLbl>
            <c:dLbl>
              <c:idx val="4"/>
              <c:layout>
                <c:manualLayout>
                  <c:x val="8.8853069415455767E-3"/>
                  <c:y val="-2.4265297558808296E-2"/>
                </c:manualLayout>
              </c:layout>
              <c:showVal val="1"/>
            </c:dLbl>
            <c:dLbl>
              <c:idx val="5"/>
              <c:layout>
                <c:manualLayout>
                  <c:x val="1.4931025126465321E-2"/>
                  <c:y val="-2.0707098133109551E-2"/>
                </c:manualLayout>
              </c:layout>
              <c:showVal val="1"/>
            </c:dLbl>
            <c:spPr>
              <a:noFill/>
              <a:ln w="25400">
                <a:noFill/>
              </a:ln>
            </c:spPr>
            <c:txPr>
              <a:bodyPr rot="-5400000" vert="horz"/>
              <a:lstStyle/>
              <a:p>
                <a:pPr algn="ctr">
                  <a:defRPr lang="en-ZA" sz="1000" b="0" i="0" u="none" strike="noStrike" baseline="0">
                    <a:solidFill>
                      <a:srgbClr val="000000"/>
                    </a:solidFill>
                    <a:latin typeface="Calibri"/>
                    <a:ea typeface="Calibri"/>
                    <a:cs typeface="Calibri"/>
                  </a:defRPr>
                </a:pPr>
                <a:endParaRPr lang="en-US"/>
              </a:p>
            </c:txPr>
            <c:showVal val="1"/>
          </c:dLbls>
          <c:cat>
            <c:strRef>
              <c:f>'Graphs - Linked '!$A$37:$A$42</c:f>
              <c:strCache>
                <c:ptCount val="6"/>
                <c:pt idx="0">
                  <c:v>Current</c:v>
                </c:pt>
                <c:pt idx="1">
                  <c:v>31-60 Days</c:v>
                </c:pt>
                <c:pt idx="2">
                  <c:v>60-90 Days</c:v>
                </c:pt>
                <c:pt idx="3">
                  <c:v>91-120 Days</c:v>
                </c:pt>
                <c:pt idx="4">
                  <c:v>121-150 Days</c:v>
                </c:pt>
                <c:pt idx="5">
                  <c:v>151+ Days</c:v>
                </c:pt>
              </c:strCache>
            </c:strRef>
          </c:cat>
          <c:val>
            <c:numRef>
              <c:f>'Graphs - Linked '!$B$37:$B$42</c:f>
              <c:numCache>
                <c:formatCode>_(* #,##0_);_(* \(#,##0\);_(* "-"??_);_(@_)</c:formatCode>
                <c:ptCount val="6"/>
                <c:pt idx="0">
                  <c:v>0</c:v>
                </c:pt>
                <c:pt idx="1">
                  <c:v>87.72</c:v>
                </c:pt>
                <c:pt idx="2">
                  <c:v>144.86000000000001</c:v>
                </c:pt>
                <c:pt idx="3">
                  <c:v>143.97</c:v>
                </c:pt>
                <c:pt idx="4">
                  <c:v>143.97</c:v>
                </c:pt>
                <c:pt idx="5">
                  <c:v>177502.65000000002</c:v>
                </c:pt>
              </c:numCache>
            </c:numRef>
          </c:val>
        </c:ser>
        <c:ser>
          <c:idx val="1"/>
          <c:order val="1"/>
          <c:tx>
            <c:strRef>
              <c:f>'Graphs - Linked '!$C$36</c:f>
              <c:strCache>
                <c:ptCount val="1"/>
                <c:pt idx="0">
                  <c:v>2006</c:v>
                </c:pt>
              </c:strCache>
            </c:strRef>
          </c:tx>
          <c:dLbls>
            <c:dLbl>
              <c:idx val="0"/>
              <c:layout>
                <c:manualLayout>
                  <c:x val="-3.9195458807157755E-3"/>
                  <c:y val="-2.0428668986909551E-2"/>
                </c:manualLayout>
              </c:layout>
              <c:showVal val="1"/>
            </c:dLbl>
            <c:dLbl>
              <c:idx val="1"/>
              <c:layout>
                <c:manualLayout>
                  <c:x val="2.1260648457837282E-3"/>
                  <c:y val="-4.8185849809526185E-2"/>
                </c:manualLayout>
              </c:layout>
              <c:showVal val="1"/>
            </c:dLbl>
            <c:dLbl>
              <c:idx val="2"/>
              <c:layout>
                <c:manualLayout>
                  <c:x val="6.1247001238458314E-3"/>
                  <c:y val="-5.987691193773851E-2"/>
                </c:manualLayout>
              </c:layout>
              <c:showVal val="1"/>
            </c:dLbl>
            <c:dLbl>
              <c:idx val="3"/>
              <c:layout>
                <c:manualLayout>
                  <c:x val="8.0762524950502047E-3"/>
                  <c:y val="-5.5620829527970476E-2"/>
                </c:manualLayout>
              </c:layout>
              <c:showVal val="1"/>
            </c:dLbl>
            <c:dLbl>
              <c:idx val="4"/>
              <c:layout>
                <c:manualLayout>
                  <c:x val="1.3098429226541121E-2"/>
                  <c:y val="-3.0771521898320695E-2"/>
                </c:manualLayout>
              </c:layout>
              <c:showVal val="1"/>
            </c:dLbl>
            <c:dLbl>
              <c:idx val="5"/>
              <c:layout>
                <c:manualLayout>
                  <c:x val="1.4026440144316565E-2"/>
                  <c:y val="-1.5452159389168569E-2"/>
                </c:manualLayout>
              </c:layout>
              <c:showVal val="1"/>
            </c:dLbl>
            <c:spPr>
              <a:noFill/>
              <a:ln w="25400">
                <a:noFill/>
              </a:ln>
            </c:spPr>
            <c:txPr>
              <a:bodyPr rot="-5400000" vert="horz"/>
              <a:lstStyle/>
              <a:p>
                <a:pPr algn="ctr">
                  <a:defRPr lang="en-ZA" sz="1000" b="0" i="0" u="none" strike="noStrike" baseline="0">
                    <a:solidFill>
                      <a:srgbClr val="000000"/>
                    </a:solidFill>
                    <a:latin typeface="Calibri"/>
                    <a:ea typeface="Calibri"/>
                    <a:cs typeface="Calibri"/>
                  </a:defRPr>
                </a:pPr>
                <a:endParaRPr lang="en-US"/>
              </a:p>
            </c:txPr>
            <c:showVal val="1"/>
          </c:dLbls>
          <c:cat>
            <c:strRef>
              <c:f>'Graphs - Linked '!$A$37:$A$42</c:f>
              <c:strCache>
                <c:ptCount val="6"/>
                <c:pt idx="0">
                  <c:v>Current</c:v>
                </c:pt>
                <c:pt idx="1">
                  <c:v>31-60 Days</c:v>
                </c:pt>
                <c:pt idx="2">
                  <c:v>60-90 Days</c:v>
                </c:pt>
                <c:pt idx="3">
                  <c:v>91-120 Days</c:v>
                </c:pt>
                <c:pt idx="4">
                  <c:v>121-150 Days</c:v>
                </c:pt>
                <c:pt idx="5">
                  <c:v>151+ Days</c:v>
                </c:pt>
              </c:strCache>
            </c:strRef>
          </c:cat>
          <c:val>
            <c:numRef>
              <c:f>'Graphs - Linked '!$C$37:$C$42</c:f>
              <c:numCache>
                <c:formatCode>_(* #,##0_);_(* \(#,##0\);_(* "-"??_);_(@_)</c:formatCode>
                <c:ptCount val="6"/>
                <c:pt idx="0">
                  <c:v>0</c:v>
                </c:pt>
                <c:pt idx="1">
                  <c:v>120.61</c:v>
                </c:pt>
                <c:pt idx="2">
                  <c:v>189.36</c:v>
                </c:pt>
                <c:pt idx="3">
                  <c:v>189.35</c:v>
                </c:pt>
                <c:pt idx="4">
                  <c:v>183.11</c:v>
                </c:pt>
                <c:pt idx="5">
                  <c:v>189056.71999999997</c:v>
                </c:pt>
              </c:numCache>
            </c:numRef>
          </c:val>
        </c:ser>
        <c:dLbls>
          <c:showVal val="1"/>
        </c:dLbls>
        <c:shape val="box"/>
        <c:axId val="125183104"/>
        <c:axId val="125184640"/>
        <c:axId val="0"/>
      </c:bar3DChart>
      <c:catAx>
        <c:axId val="125183104"/>
        <c:scaling>
          <c:orientation val="minMax"/>
        </c:scaling>
        <c:axPos val="b"/>
        <c:numFmt formatCode="General" sourceLinked="1"/>
        <c:majorTickMark val="none"/>
        <c:tickLblPos val="nextTo"/>
        <c:txPr>
          <a:bodyPr rot="0" vert="horz"/>
          <a:lstStyle/>
          <a:p>
            <a:pPr>
              <a:defRPr lang="en-ZA" sz="1000" b="0" i="0" u="none" strike="noStrike" baseline="0">
                <a:solidFill>
                  <a:srgbClr val="000000"/>
                </a:solidFill>
                <a:latin typeface="Calibri"/>
                <a:ea typeface="Calibri"/>
                <a:cs typeface="Calibri"/>
              </a:defRPr>
            </a:pPr>
            <a:endParaRPr lang="en-US"/>
          </a:p>
        </c:txPr>
        <c:crossAx val="125184640"/>
        <c:crosses val="autoZero"/>
        <c:auto val="1"/>
        <c:lblAlgn val="ctr"/>
        <c:lblOffset val="100"/>
      </c:catAx>
      <c:valAx>
        <c:axId val="125184640"/>
        <c:scaling>
          <c:orientation val="minMax"/>
          <c:max val="30000000"/>
        </c:scaling>
        <c:axPos val="l"/>
        <c:majorGridlines/>
        <c:numFmt formatCode="_(* #,##0_);_(* \(#,##0\);_(* &quot;-&quot;??_);_(@_)" sourceLinked="1"/>
        <c:tickLblPos val="nextTo"/>
        <c:txPr>
          <a:bodyPr rot="0" vert="horz"/>
          <a:lstStyle/>
          <a:p>
            <a:pPr>
              <a:defRPr lang="en-ZA" sz="1000" b="0" i="0" u="none" strike="noStrike" baseline="0">
                <a:solidFill>
                  <a:srgbClr val="000000"/>
                </a:solidFill>
                <a:latin typeface="Calibri"/>
                <a:ea typeface="Calibri"/>
                <a:cs typeface="Calibri"/>
              </a:defRPr>
            </a:pPr>
            <a:endParaRPr lang="en-US"/>
          </a:p>
        </c:txPr>
        <c:crossAx val="125183104"/>
        <c:crosses val="autoZero"/>
        <c:crossBetween val="between"/>
      </c:valAx>
      <c:spPr>
        <a:noFill/>
        <a:ln w="25400">
          <a:noFill/>
        </a:ln>
      </c:spPr>
    </c:plotArea>
    <c:legend>
      <c:legendPos val="r"/>
      <c:layout>
        <c:manualLayout>
          <c:xMode val="edge"/>
          <c:yMode val="edge"/>
          <c:x val="0.43473792394655708"/>
          <c:y val="0.94778481012660065"/>
          <c:w val="0.12744090441932923"/>
          <c:h val="3.9556962025316451E-2"/>
        </c:manualLayout>
      </c:layout>
      <c:txPr>
        <a:bodyPr/>
        <a:lstStyle/>
        <a:p>
          <a:pPr>
            <a:defRPr lang="en-ZA" sz="850" b="0" i="0" u="none" strike="noStrike" baseline="0">
              <a:solidFill>
                <a:srgbClr val="000000"/>
              </a:solidFill>
              <a:latin typeface="Arial"/>
              <a:ea typeface="Arial"/>
              <a:cs typeface="Arial"/>
            </a:defRPr>
          </a:pPr>
          <a:endParaRPr lang="en-US"/>
        </a:p>
      </c:txPr>
    </c:legend>
    <c:plotVisOnly val="1"/>
    <c:dispBlanksAs val="gap"/>
  </c:chart>
  <c:txPr>
    <a:bodyPr/>
    <a:lstStyle/>
    <a:p>
      <a:pPr>
        <a:defRPr sz="1000" b="0" i="0" u="none" strike="noStrike" baseline="0">
          <a:solidFill>
            <a:srgbClr val="000000"/>
          </a:solidFill>
          <a:latin typeface="Calibri"/>
          <a:ea typeface="Calibri"/>
          <a:cs typeface="Calibri"/>
        </a:defRPr>
      </a:pPr>
      <a:endParaRPr lang="en-US"/>
    </a:p>
  </c:txPr>
</c:chartSpace>
</file>

<file path=xl/charts/chart4.xml><?xml version="1.0" encoding="utf-8"?>
<c:chartSpace xmlns:c="http://schemas.openxmlformats.org/drawingml/2006/chart" xmlns:a="http://schemas.openxmlformats.org/drawingml/2006/main" xmlns:r="http://schemas.openxmlformats.org/officeDocument/2006/relationships">
  <c:lang val="en-ZA"/>
  <c:chart>
    <c:title>
      <c:tx>
        <c:rich>
          <a:bodyPr/>
          <a:lstStyle/>
          <a:p>
            <a:pPr>
              <a:defRPr lang="en-ZA" sz="1000" b="0" i="0" u="none" strike="noStrike" baseline="0">
                <a:solidFill>
                  <a:srgbClr val="000000"/>
                </a:solidFill>
                <a:latin typeface="Calibri"/>
                <a:ea typeface="Calibri"/>
                <a:cs typeface="Calibri"/>
              </a:defRPr>
            </a:pPr>
            <a:r>
              <a:rPr lang="en-ZA" sz="1800" b="1" i="0" strike="noStrike">
                <a:solidFill>
                  <a:srgbClr val="000000"/>
                </a:solidFill>
                <a:latin typeface="Calibri"/>
              </a:rPr>
              <a:t>COLLECTION RATES</a:t>
            </a:r>
          </a:p>
          <a:p>
            <a:pPr>
              <a:defRPr lang="en-ZA" sz="1000" b="0" i="0" u="none" strike="noStrike" baseline="0">
                <a:solidFill>
                  <a:srgbClr val="000000"/>
                </a:solidFill>
                <a:latin typeface="Calibri"/>
                <a:ea typeface="Calibri"/>
                <a:cs typeface="Calibri"/>
              </a:defRPr>
            </a:pPr>
            <a:r>
              <a:rPr lang="en-ZA" sz="1800" b="1" i="0" strike="noStrike">
                <a:solidFill>
                  <a:srgbClr val="000000"/>
                </a:solidFill>
                <a:latin typeface="Calibri"/>
              </a:rPr>
              <a:t> 2001 UNTIL 2007</a:t>
            </a:r>
          </a:p>
        </c:rich>
      </c:tx>
      <c:spPr>
        <a:noFill/>
        <a:ln w="25400">
          <a:noFill/>
        </a:ln>
      </c:spPr>
    </c:title>
    <c:view3D>
      <c:depthPercent val="100"/>
      <c:rAngAx val="1"/>
    </c:view3D>
    <c:plotArea>
      <c:layout>
        <c:manualLayout>
          <c:layoutTarget val="inner"/>
          <c:xMode val="edge"/>
          <c:yMode val="edge"/>
          <c:x val="6.9600818833162742E-2"/>
          <c:y val="0.15987460815047044"/>
          <c:w val="0.91811668372568656"/>
          <c:h val="0.64576802507836994"/>
        </c:manualLayout>
      </c:layout>
      <c:bar3DChart>
        <c:barDir val="col"/>
        <c:grouping val="clustered"/>
        <c:ser>
          <c:idx val="0"/>
          <c:order val="0"/>
          <c:dLbls>
            <c:spPr>
              <a:noFill/>
              <a:ln w="25400">
                <a:noFill/>
              </a:ln>
            </c:spPr>
            <c:txPr>
              <a:bodyPr/>
              <a:lstStyle/>
              <a:p>
                <a:pPr>
                  <a:defRPr lang="en-ZA" sz="1000" b="1" i="0" u="none" strike="noStrike" baseline="0">
                    <a:solidFill>
                      <a:srgbClr val="000000"/>
                    </a:solidFill>
                    <a:latin typeface="Calibri"/>
                    <a:ea typeface="Calibri"/>
                    <a:cs typeface="Calibri"/>
                  </a:defRPr>
                </a:pPr>
                <a:endParaRPr lang="en-US"/>
              </a:p>
            </c:txPr>
            <c:showVal val="1"/>
          </c:dLbls>
          <c:cat>
            <c:strRef>
              <c:f>'Graphs - Linked '!$A$63:$A$69</c:f>
              <c:strCache>
                <c:ptCount val="7"/>
                <c:pt idx="0">
                  <c:v>2002</c:v>
                </c:pt>
                <c:pt idx="1">
                  <c:v>2003</c:v>
                </c:pt>
                <c:pt idx="2">
                  <c:v>2004</c:v>
                </c:pt>
                <c:pt idx="3">
                  <c:v>2005</c:v>
                </c:pt>
                <c:pt idx="4">
                  <c:v>2006</c:v>
                </c:pt>
                <c:pt idx="5">
                  <c:v>2007</c:v>
                </c:pt>
                <c:pt idx="6">
                  <c:v>Average</c:v>
                </c:pt>
              </c:strCache>
            </c:strRef>
          </c:cat>
          <c:val>
            <c:numRef>
              <c:f>'Graphs - Linked '!$B$63:$B$69</c:f>
              <c:numCache>
                <c:formatCode>0.00%</c:formatCode>
                <c:ptCount val="7"/>
                <c:pt idx="0">
                  <c:v>0.99329999999999996</c:v>
                </c:pt>
                <c:pt idx="1">
                  <c:v>0.97160000000000002</c:v>
                </c:pt>
                <c:pt idx="2">
                  <c:v>1.0236000000000001</c:v>
                </c:pt>
                <c:pt idx="3">
                  <c:v>0.99199999999999999</c:v>
                </c:pt>
                <c:pt idx="4">
                  <c:v>1.0311999999999999</c:v>
                </c:pt>
                <c:pt idx="5">
                  <c:v>1.04</c:v>
                </c:pt>
                <c:pt idx="6">
                  <c:v>1.0086166666666667</c:v>
                </c:pt>
              </c:numCache>
            </c:numRef>
          </c:val>
        </c:ser>
        <c:gapWidth val="75"/>
        <c:shape val="box"/>
        <c:axId val="125275520"/>
        <c:axId val="125289984"/>
        <c:axId val="0"/>
      </c:bar3DChart>
      <c:catAx>
        <c:axId val="125275520"/>
        <c:scaling>
          <c:orientation val="minMax"/>
        </c:scaling>
        <c:axPos val="b"/>
        <c:title>
          <c:tx>
            <c:rich>
              <a:bodyPr/>
              <a:lstStyle/>
              <a:p>
                <a:pPr>
                  <a:defRPr lang="en-ZA" sz="1200" b="1" i="0" u="none" strike="noStrike" baseline="0">
                    <a:solidFill>
                      <a:srgbClr val="000000"/>
                    </a:solidFill>
                    <a:latin typeface="ARIAL"/>
                    <a:ea typeface="ARIAL"/>
                    <a:cs typeface="ARIAL"/>
                  </a:defRPr>
                </a:pPr>
                <a:r>
                  <a:rPr lang="en-ZA"/>
                  <a:t>FINANCIAL YEAR</a:t>
                </a:r>
              </a:p>
            </c:rich>
          </c:tx>
          <c:spPr>
            <a:noFill/>
            <a:ln w="25400">
              <a:noFill/>
            </a:ln>
          </c:spPr>
        </c:title>
        <c:numFmt formatCode="General" sourceLinked="1"/>
        <c:majorTickMark val="none"/>
        <c:tickLblPos val="nextTo"/>
        <c:txPr>
          <a:bodyPr rot="0" vert="horz"/>
          <a:lstStyle/>
          <a:p>
            <a:pPr>
              <a:defRPr lang="en-ZA" sz="1200" b="1" i="0" u="none" strike="noStrike" baseline="0">
                <a:solidFill>
                  <a:srgbClr val="000000"/>
                </a:solidFill>
                <a:latin typeface="ARIAL"/>
                <a:ea typeface="ARIAL"/>
                <a:cs typeface="ARIAL"/>
              </a:defRPr>
            </a:pPr>
            <a:endParaRPr lang="en-US"/>
          </a:p>
        </c:txPr>
        <c:crossAx val="125289984"/>
        <c:crosses val="autoZero"/>
        <c:auto val="1"/>
        <c:lblAlgn val="ctr"/>
        <c:lblOffset val="100"/>
      </c:catAx>
      <c:valAx>
        <c:axId val="125289984"/>
        <c:scaling>
          <c:orientation val="minMax"/>
        </c:scaling>
        <c:axPos val="l"/>
        <c:majorGridlines/>
        <c:numFmt formatCode="0.00%" sourceLinked="1"/>
        <c:majorTickMark val="none"/>
        <c:tickLblPos val="nextTo"/>
        <c:spPr>
          <a:ln w="9525">
            <a:noFill/>
          </a:ln>
        </c:spPr>
        <c:txPr>
          <a:bodyPr rot="0" vert="horz"/>
          <a:lstStyle/>
          <a:p>
            <a:pPr>
              <a:defRPr lang="en-ZA" sz="1200" b="1" i="0" u="none" strike="noStrike" baseline="0">
                <a:solidFill>
                  <a:srgbClr val="000000"/>
                </a:solidFill>
                <a:latin typeface="Calibri"/>
                <a:ea typeface="Calibri"/>
                <a:cs typeface="Calibri"/>
              </a:defRPr>
            </a:pPr>
            <a:endParaRPr lang="en-US"/>
          </a:p>
        </c:txPr>
        <c:crossAx val="125275520"/>
        <c:crosses val="autoZero"/>
        <c:crossBetween val="between"/>
      </c:valAx>
      <c:spPr>
        <a:noFill/>
        <a:ln w="25400">
          <a:noFill/>
        </a:ln>
      </c:spPr>
    </c:plotArea>
    <c:plotVisOnly val="1"/>
    <c:dispBlanksAs val="gap"/>
  </c:chart>
  <c:txPr>
    <a:bodyPr/>
    <a:lstStyle/>
    <a:p>
      <a:pPr>
        <a:defRPr sz="1000" b="0" i="0" u="none" strike="noStrike" baseline="0">
          <a:solidFill>
            <a:srgbClr val="000000"/>
          </a:solidFill>
          <a:latin typeface="Calibri"/>
          <a:ea typeface="Calibri"/>
          <a:cs typeface="Calibri"/>
        </a:defRPr>
      </a:pPr>
      <a:endParaRPr lang="en-US"/>
    </a:p>
  </c:txPr>
</c:chartSpace>
</file>

<file path=xl/charts/chart5.xml><?xml version="1.0" encoding="utf-8"?>
<c:chartSpace xmlns:c="http://schemas.openxmlformats.org/drawingml/2006/chart" xmlns:a="http://schemas.openxmlformats.org/drawingml/2006/main" xmlns:r="http://schemas.openxmlformats.org/officeDocument/2006/relationships">
  <c:lang val="en-ZA"/>
  <c:chart>
    <c:title>
      <c:tx>
        <c:rich>
          <a:bodyPr/>
          <a:lstStyle/>
          <a:p>
            <a:pPr>
              <a:defRPr lang="en-ZA" sz="1000" b="0" i="0" u="none" strike="noStrike" baseline="0">
                <a:solidFill>
                  <a:srgbClr val="000000"/>
                </a:solidFill>
                <a:latin typeface="Calibri"/>
                <a:ea typeface="Calibri"/>
                <a:cs typeface="Calibri"/>
              </a:defRPr>
            </a:pPr>
            <a:r>
              <a:rPr lang="en-ZA" sz="1800" b="1" i="0" strike="noStrike">
                <a:solidFill>
                  <a:srgbClr val="000000"/>
                </a:solidFill>
                <a:latin typeface="Calibri"/>
              </a:rPr>
              <a:t> CAPITAL EXPENDITURE BY ASSET TYPE:</a:t>
            </a:r>
          </a:p>
          <a:p>
            <a:pPr>
              <a:defRPr lang="en-ZA" sz="1000" b="0" i="0" u="none" strike="noStrike" baseline="0">
                <a:solidFill>
                  <a:srgbClr val="000000"/>
                </a:solidFill>
                <a:latin typeface="Calibri"/>
                <a:ea typeface="Calibri"/>
                <a:cs typeface="Calibri"/>
              </a:defRPr>
            </a:pPr>
            <a:r>
              <a:rPr lang="en-ZA" sz="1800" b="1" i="0" strike="noStrike">
                <a:solidFill>
                  <a:srgbClr val="000000"/>
                </a:solidFill>
                <a:latin typeface="Calibri"/>
              </a:rPr>
              <a:t>2006/07</a:t>
            </a:r>
          </a:p>
        </c:rich>
      </c:tx>
      <c:spPr>
        <a:noFill/>
        <a:ln w="25400">
          <a:noFill/>
        </a:ln>
      </c:spPr>
    </c:title>
    <c:view3D>
      <c:depthPercent val="100"/>
      <c:rAngAx val="1"/>
    </c:view3D>
    <c:plotArea>
      <c:layout/>
      <c:bar3DChart>
        <c:barDir val="col"/>
        <c:grouping val="clustered"/>
        <c:ser>
          <c:idx val="0"/>
          <c:order val="0"/>
          <c:tx>
            <c:strRef>
              <c:f>'Graphs - Linked '!$B$49</c:f>
              <c:strCache>
                <c:ptCount val="1"/>
                <c:pt idx="0">
                  <c:v> R </c:v>
                </c:pt>
              </c:strCache>
            </c:strRef>
          </c:tx>
          <c:cat>
            <c:strRef>
              <c:f>'Graphs - Linked '!$A$50:$A$57</c:f>
              <c:strCache>
                <c:ptCount val="8"/>
                <c:pt idx="0">
                  <c:v>Roads and Stormwter</c:v>
                </c:pt>
                <c:pt idx="1">
                  <c:v>Water Reticulation</c:v>
                </c:pt>
                <c:pt idx="2">
                  <c:v>Electricity Reticulation</c:v>
                </c:pt>
                <c:pt idx="3">
                  <c:v>Sewerage Reticulation</c:v>
                </c:pt>
                <c:pt idx="4">
                  <c:v>Community Halls &amp; MPCC's</c:v>
                </c:pt>
                <c:pt idx="5">
                  <c:v>Other Assets</c:v>
                </c:pt>
                <c:pt idx="6">
                  <c:v>Vehicles</c:v>
                </c:pt>
                <c:pt idx="7">
                  <c:v>Plant &amp; equipment</c:v>
                </c:pt>
              </c:strCache>
            </c:strRef>
          </c:cat>
          <c:val>
            <c:numRef>
              <c:f>'Graphs - Linked '!$B$50:$B$57</c:f>
              <c:numCache>
                <c:formatCode>_(* #,##0_);_(* \(#,##0\);_(* "-"??_);_(@_)</c:formatCode>
                <c:ptCount val="8"/>
                <c:pt idx="0">
                  <c:v>0</c:v>
                </c:pt>
                <c:pt idx="1">
                  <c:v>0</c:v>
                </c:pt>
                <c:pt idx="2">
                  <c:v>0</c:v>
                </c:pt>
                <c:pt idx="3">
                  <c:v>0</c:v>
                </c:pt>
                <c:pt idx="4">
                  <c:v>0</c:v>
                </c:pt>
                <c:pt idx="5">
                  <c:v>0</c:v>
                </c:pt>
                <c:pt idx="6">
                  <c:v>0</c:v>
                </c:pt>
                <c:pt idx="7">
                  <c:v>0</c:v>
                </c:pt>
              </c:numCache>
            </c:numRef>
          </c:val>
        </c:ser>
        <c:shape val="box"/>
        <c:axId val="125396480"/>
        <c:axId val="125398016"/>
        <c:axId val="0"/>
      </c:bar3DChart>
      <c:catAx>
        <c:axId val="125396480"/>
        <c:scaling>
          <c:orientation val="minMax"/>
        </c:scaling>
        <c:axPos val="b"/>
        <c:numFmt formatCode="General" sourceLinked="1"/>
        <c:majorTickMark val="none"/>
        <c:tickLblPos val="nextTo"/>
        <c:txPr>
          <a:bodyPr rot="0" vert="horz"/>
          <a:lstStyle/>
          <a:p>
            <a:pPr>
              <a:defRPr lang="en-ZA" sz="1000" b="0" i="0" u="none" strike="noStrike" baseline="0">
                <a:solidFill>
                  <a:srgbClr val="000000"/>
                </a:solidFill>
                <a:latin typeface="Calibri"/>
                <a:ea typeface="Calibri"/>
                <a:cs typeface="Calibri"/>
              </a:defRPr>
            </a:pPr>
            <a:endParaRPr lang="en-US"/>
          </a:p>
        </c:txPr>
        <c:crossAx val="125398016"/>
        <c:crosses val="autoZero"/>
        <c:auto val="1"/>
        <c:lblAlgn val="ctr"/>
        <c:lblOffset val="100"/>
      </c:catAx>
      <c:valAx>
        <c:axId val="125398016"/>
        <c:scaling>
          <c:orientation val="minMax"/>
        </c:scaling>
        <c:axPos val="l"/>
        <c:majorGridlines/>
        <c:numFmt formatCode="_(* #,##0_);_(* \(#,##0\);_(* &quot;-&quot;??_);_(@_)" sourceLinked="1"/>
        <c:majorTickMark val="none"/>
        <c:tickLblPos val="nextTo"/>
        <c:txPr>
          <a:bodyPr rot="0" vert="horz"/>
          <a:lstStyle/>
          <a:p>
            <a:pPr>
              <a:defRPr lang="en-ZA" sz="1000" b="0" i="0" u="none" strike="noStrike" baseline="0">
                <a:solidFill>
                  <a:srgbClr val="000000"/>
                </a:solidFill>
                <a:latin typeface="Calibri"/>
                <a:ea typeface="Calibri"/>
                <a:cs typeface="Calibri"/>
              </a:defRPr>
            </a:pPr>
            <a:endParaRPr lang="en-US"/>
          </a:p>
        </c:txPr>
        <c:crossAx val="125396480"/>
        <c:crosses val="autoZero"/>
        <c:crossBetween val="between"/>
      </c:valAx>
      <c:dTable>
        <c:showHorzBorder val="1"/>
        <c:showVertBorder val="1"/>
        <c:showOutline val="1"/>
        <c:showKeys val="1"/>
        <c:txPr>
          <a:bodyPr/>
          <a:lstStyle/>
          <a:p>
            <a:pPr rtl="0">
              <a:defRPr lang="en-ZA" sz="1000" b="0" i="0" u="none" strike="noStrike" baseline="0">
                <a:solidFill>
                  <a:srgbClr val="000000"/>
                </a:solidFill>
                <a:latin typeface="Arial"/>
                <a:ea typeface="Arial"/>
                <a:cs typeface="Arial"/>
              </a:defRPr>
            </a:pPr>
            <a:endParaRPr lang="en-US"/>
          </a:p>
        </c:txPr>
      </c:dTable>
      <c:spPr>
        <a:noFill/>
        <a:ln w="25400">
          <a:noFill/>
        </a:ln>
      </c:spPr>
    </c:plotArea>
    <c:plotVisOnly val="1"/>
    <c:dispBlanksAs val="gap"/>
  </c:chart>
  <c:txPr>
    <a:bodyPr/>
    <a:lstStyle/>
    <a:p>
      <a:pPr>
        <a:defRPr sz="1000" b="0" i="0" u="none" strike="noStrike" baseline="0">
          <a:solidFill>
            <a:srgbClr val="000000"/>
          </a:solidFill>
          <a:latin typeface="Calibri"/>
          <a:ea typeface="Calibri"/>
          <a:cs typeface="Calibri"/>
        </a:defRPr>
      </a:pPr>
      <a:endParaRPr lang="en-US"/>
    </a:p>
  </c:txPr>
</c:chartSpace>
</file>

<file path=xl/chartsheets/_rels/sheet1.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1.bin"/></Relationships>
</file>

<file path=xl/chartsheets/_rels/sheet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2.bin"/></Relationships>
</file>

<file path=xl/chartsheets/_rels/sheet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3.bin"/></Relationships>
</file>

<file path=xl/chartsheets/_rels/sheet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4.bin"/></Relationships>
</file>

<file path=xl/chartsheets/_rels/sheet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5.bin"/></Relationships>
</file>

<file path=xl/chartsheets/sheet1.xml><?xml version="1.0" encoding="utf-8"?>
<chartsheet xmlns="http://schemas.openxmlformats.org/spreadsheetml/2006/main" xmlns:r="http://schemas.openxmlformats.org/officeDocument/2006/relationships">
  <sheetPr/>
  <sheetViews>
    <sheetView zoomScale="66" workbookViewId="0"/>
  </sheetViews>
  <pageMargins left="0.70000000000000018" right="0.70000000000000018" top="0.75000000000000022" bottom="0.75000000000000022" header="0.3000000000000001" footer="0.3000000000000001"/>
  <pageSetup paperSize="267" orientation="landscape" r:id="rId1"/>
  <drawing r:id="rId2"/>
</chartsheet>
</file>

<file path=xl/chartsheets/sheet2.xml><?xml version="1.0" encoding="utf-8"?>
<chartsheet xmlns="http://schemas.openxmlformats.org/spreadsheetml/2006/main" xmlns:r="http://schemas.openxmlformats.org/officeDocument/2006/relationships">
  <sheetPr/>
  <sheetViews>
    <sheetView zoomScale="66" workbookViewId="0"/>
  </sheetViews>
  <pageMargins left="0.70000000000000018" right="0.70000000000000018" top="0.75000000000000022" bottom="0.75000000000000022" header="0.3000000000000001" footer="0.3000000000000001"/>
  <pageSetup paperSize="9" orientation="landscape" r:id="rId1"/>
  <drawing r:id="rId2"/>
</chartsheet>
</file>

<file path=xl/chartsheets/sheet3.xml><?xml version="1.0" encoding="utf-8"?>
<chartsheet xmlns="http://schemas.openxmlformats.org/spreadsheetml/2006/main" xmlns:r="http://schemas.openxmlformats.org/officeDocument/2006/relationships">
  <sheetPr/>
  <sheetViews>
    <sheetView zoomScale="66" workbookViewId="0"/>
  </sheetViews>
  <pageMargins left="0.70000000000000018" right="0.70000000000000018" top="0.75000000000000022" bottom="0.75000000000000022" header="0.3000000000000001" footer="0.3000000000000001"/>
  <pageSetup paperSize="9" orientation="landscape" r:id="rId1"/>
  <drawing r:id="rId2"/>
</chartsheet>
</file>

<file path=xl/chartsheets/sheet4.xml><?xml version="1.0" encoding="utf-8"?>
<chartsheet xmlns="http://schemas.openxmlformats.org/spreadsheetml/2006/main" xmlns:r="http://schemas.openxmlformats.org/officeDocument/2006/relationships">
  <sheetPr/>
  <sheetViews>
    <sheetView zoomScale="66" workbookViewId="0"/>
  </sheetViews>
  <pageMargins left="0.70000000000000018" right="0.70000000000000018" top="0.75000000000000022" bottom="0.75000000000000022" header="0.3000000000000001" footer="0.3000000000000001"/>
  <pageSetup paperSize="9" orientation="landscape" r:id="rId1"/>
  <drawing r:id="rId2"/>
</chartsheet>
</file>

<file path=xl/chartsheets/sheet5.xml><?xml version="1.0" encoding="utf-8"?>
<chartsheet xmlns="http://schemas.openxmlformats.org/spreadsheetml/2006/main" xmlns:r="http://schemas.openxmlformats.org/officeDocument/2006/relationships">
  <sheetPr/>
  <sheetViews>
    <sheetView zoomScale="66" workbookViewId="0"/>
  </sheetViews>
  <pageMargins left="0.70000000000000018" right="0.70000000000000018" top="0.75000000000000022" bottom="0.75000000000000022" header="0.3000000000000001" footer="0.3000000000000001"/>
  <pageSetup paperSize="9" orientation="landscape" r:id="rId1"/>
  <drawing r:id="rId2"/>
</chartsheet>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1" Type="http://schemas.openxmlformats.org/officeDocument/2006/relationships/chart" Target="../charts/chart3.xml"/></Relationships>
</file>

<file path=xl/drawings/_rels/drawing5.xml.rels><?xml version="1.0" encoding="UTF-8" standalone="yes"?>
<Relationships xmlns="http://schemas.openxmlformats.org/package/2006/relationships"><Relationship Id="rId1" Type="http://schemas.openxmlformats.org/officeDocument/2006/relationships/chart" Target="../charts/chart4.xml"/></Relationships>
</file>

<file path=xl/drawings/_rels/drawing6.xml.rels><?xml version="1.0" encoding="UTF-8" standalone="yes"?>
<Relationships xmlns="http://schemas.openxmlformats.org/package/2006/relationships"><Relationship Id="rId1" Type="http://schemas.openxmlformats.org/officeDocument/2006/relationships/chart" Target="../charts/chart5.xml"/></Relationships>
</file>

<file path=xl/drawings/drawing1.xml><?xml version="1.0" encoding="utf-8"?>
<xdr:wsDr xmlns:xdr="http://schemas.openxmlformats.org/drawingml/2006/spreadsheetDrawing" xmlns:a="http://schemas.openxmlformats.org/drawingml/2006/main">
  <xdr:twoCellAnchor editAs="oneCell">
    <xdr:from>
      <xdr:col>2</xdr:col>
      <xdr:colOff>1323975</xdr:colOff>
      <xdr:row>10</xdr:row>
      <xdr:rowOff>139705</xdr:rowOff>
    </xdr:from>
    <xdr:to>
      <xdr:col>2</xdr:col>
      <xdr:colOff>3591975</xdr:colOff>
      <xdr:row>25</xdr:row>
      <xdr:rowOff>77451</xdr:rowOff>
    </xdr:to>
    <xdr:pic>
      <xdr:nvPicPr>
        <xdr:cNvPr id="47105" name="Picture 1"/>
        <xdr:cNvPicPr>
          <a:picLocks noChangeAspect="1" noChangeArrowheads="1"/>
        </xdr:cNvPicPr>
      </xdr:nvPicPr>
      <xdr:blipFill>
        <a:blip xmlns:r="http://schemas.openxmlformats.org/officeDocument/2006/relationships" r:embed="rId1"/>
        <a:srcRect/>
        <a:stretch>
          <a:fillRect/>
        </a:stretch>
      </xdr:blipFill>
      <xdr:spPr bwMode="auto">
        <a:xfrm>
          <a:off x="2228850" y="2663830"/>
          <a:ext cx="2268000" cy="2795246"/>
        </a:xfrm>
        <a:prstGeom prst="rect">
          <a:avLst/>
        </a:prstGeom>
        <a:noFill/>
      </xdr:spPr>
    </xdr:pic>
    <xdr:clientData/>
  </xdr:twoCellAnchor>
</xdr:wsDr>
</file>

<file path=xl/drawings/drawing2.xml><?xml version="1.0" encoding="utf-8"?>
<xdr:wsDr xmlns:xdr="http://schemas.openxmlformats.org/drawingml/2006/spreadsheetDrawing" xmlns:a="http://schemas.openxmlformats.org/drawingml/2006/main">
  <xdr:absoluteAnchor>
    <xdr:pos x="0" y="0"/>
    <xdr:ext cx="8667750" cy="601980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xml><?xml version="1.0" encoding="utf-8"?>
<xdr:wsDr xmlns:xdr="http://schemas.openxmlformats.org/drawingml/2006/spreadsheetDrawing" xmlns:a="http://schemas.openxmlformats.org/drawingml/2006/main">
  <xdr:absoluteAnchor>
    <xdr:pos x="0" y="0"/>
    <xdr:ext cx="9267825" cy="601980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xml><?xml version="1.0" encoding="utf-8"?>
<xdr:wsDr xmlns:xdr="http://schemas.openxmlformats.org/drawingml/2006/spreadsheetDrawing" xmlns:a="http://schemas.openxmlformats.org/drawingml/2006/main">
  <xdr:absoluteAnchor>
    <xdr:pos x="0" y="0"/>
    <xdr:ext cx="9267825" cy="601980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xml><?xml version="1.0" encoding="utf-8"?>
<xdr:wsDr xmlns:xdr="http://schemas.openxmlformats.org/drawingml/2006/spreadsheetDrawing" xmlns:a="http://schemas.openxmlformats.org/drawingml/2006/main">
  <xdr:absoluteAnchor>
    <xdr:pos x="0" y="0"/>
    <xdr:ext cx="9267825" cy="601980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xml><?xml version="1.0" encoding="utf-8"?>
<xdr:wsDr xmlns:xdr="http://schemas.openxmlformats.org/drawingml/2006/spreadsheetDrawing" xmlns:a="http://schemas.openxmlformats.org/drawingml/2006/main">
  <xdr:absoluteAnchor>
    <xdr:pos x="0" y="0"/>
    <xdr:ext cx="9267825" cy="601980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queryTables/queryTable1.xml><?xml version="1.0" encoding="utf-8"?>
<queryTable xmlns="http://schemas.openxmlformats.org/spreadsheetml/2006/main" name="Query from ProMIS" connectionId="1" autoFormatId="16" applyNumberFormats="0" applyBorderFormats="0" applyFontFormats="1" applyPatternFormats="1" applyAlignmentFormats="0" applyWidthHeightFormats="0">
  <queryTableRefresh nextId="12">
    <queryTableFields/>
  </queryTableRefresh>
</queryTable>
</file>

<file path=xl/queryTables/queryTable10.xml><?xml version="1.0" encoding="utf-8"?>
<queryTable xmlns="http://schemas.openxmlformats.org/spreadsheetml/2006/main" name="Query from ProMIS_1" connectionId="7" autoFormatId="16" applyNumberFormats="0" applyBorderFormats="0" applyFontFormats="1" applyPatternFormats="1" applyAlignmentFormats="0" applyWidthHeightFormats="0">
  <queryTableRefresh nextId="12">
    <queryTableFields/>
  </queryTableRefresh>
</queryTable>
</file>

<file path=xl/queryTables/queryTable11.xml><?xml version="1.0" encoding="utf-8"?>
<queryTable xmlns="http://schemas.openxmlformats.org/spreadsheetml/2006/main" name="Query from ProMIS" connectionId="15" autoFormatId="16" applyNumberFormats="0" applyBorderFormats="0" applyFontFormats="1" applyPatternFormats="1" applyAlignmentFormats="0" applyWidthHeightFormats="0">
  <queryTableRefresh nextId="12">
    <queryTableFields/>
  </queryTableRefresh>
</queryTable>
</file>

<file path=xl/queryTables/queryTable12.xml><?xml version="1.0" encoding="utf-8"?>
<queryTable xmlns="http://schemas.openxmlformats.org/spreadsheetml/2006/main" name="Query from ProMIS" connectionId="11" autoFormatId="16" applyNumberFormats="0" applyBorderFormats="0" applyFontFormats="1" applyPatternFormats="1" applyAlignmentFormats="0" applyWidthHeightFormats="0">
  <queryTableRefresh nextId="12">
    <queryTableFields/>
  </queryTableRefresh>
</queryTable>
</file>

<file path=xl/queryTables/queryTable13.xml><?xml version="1.0" encoding="utf-8"?>
<queryTable xmlns="http://schemas.openxmlformats.org/spreadsheetml/2006/main" name="Query from ProMIS_1" connectionId="3" autoFormatId="16" applyNumberFormats="0" applyBorderFormats="0" applyFontFormats="1" applyPatternFormats="1" applyAlignmentFormats="0" applyWidthHeightFormats="0">
  <queryTableRefresh nextId="12">
    <queryTableFields/>
    <sortState ref="A2:M1031">
      <sortCondition ref="B2:B1031"/>
    </sortState>
  </queryTableRefresh>
</queryTable>
</file>

<file path=xl/queryTables/queryTable14.xml><?xml version="1.0" encoding="utf-8"?>
<queryTable xmlns="http://schemas.openxmlformats.org/spreadsheetml/2006/main" name="Query from ProMIS_1" connectionId="9" autoFormatId="16" applyNumberFormats="0" applyBorderFormats="0" applyFontFormats="1" applyPatternFormats="1" applyAlignmentFormats="0" applyWidthHeightFormats="0">
  <queryTableRefresh nextId="12">
    <queryTableFields/>
  </queryTableRefresh>
</queryTable>
</file>

<file path=xl/queryTables/queryTable15.xml><?xml version="1.0" encoding="utf-8"?>
<queryTable xmlns="http://schemas.openxmlformats.org/spreadsheetml/2006/main" name="Query from ProMIS" connectionId="17" autoFormatId="16" applyNumberFormats="0" applyBorderFormats="0" applyFontFormats="1" applyPatternFormats="1" applyAlignmentFormats="0" applyWidthHeightFormats="0">
  <queryTableRefresh nextId="12">
    <queryTableFields/>
  </queryTableRefresh>
</queryTable>
</file>

<file path=xl/queryTables/queryTable2.xml><?xml version="1.0" encoding="utf-8"?>
<queryTable xmlns="http://schemas.openxmlformats.org/spreadsheetml/2006/main" name="Query from ProMIS_1" connectionId="2" autoFormatId="16" applyNumberFormats="0" applyBorderFormats="0" applyFontFormats="1" applyPatternFormats="1" applyAlignmentFormats="0" applyWidthHeightFormats="0">
  <queryTableRefresh nextId="12">
    <queryTableFields/>
  </queryTableRefresh>
</queryTable>
</file>

<file path=xl/queryTables/queryTable3.xml><?xml version="1.0" encoding="utf-8"?>
<queryTable xmlns="http://schemas.openxmlformats.org/spreadsheetml/2006/main" name="Query from ProMIS" connectionId="10" autoFormatId="16" applyNumberFormats="0" applyBorderFormats="0" applyFontFormats="1" applyPatternFormats="1" applyAlignmentFormats="0" applyWidthHeightFormats="0">
  <queryTableRefresh nextId="12">
    <queryTableFields/>
  </queryTableRefresh>
</queryTable>
</file>

<file path=xl/queryTables/queryTable4.xml><?xml version="1.0" encoding="utf-8"?>
<queryTable xmlns="http://schemas.openxmlformats.org/spreadsheetml/2006/main" name="Query from ProMIS_2" connectionId="8" autoFormatId="16" applyNumberFormats="0" applyBorderFormats="0" applyFontFormats="1" applyPatternFormats="1" applyAlignmentFormats="0" applyWidthHeightFormats="0">
  <queryTableRefresh nextId="12">
    <queryTableFields/>
  </queryTableRefresh>
</queryTable>
</file>

<file path=xl/queryTables/queryTable5.xml><?xml version="1.0" encoding="utf-8"?>
<queryTable xmlns="http://schemas.openxmlformats.org/spreadsheetml/2006/main" name="Query from ProMIS_1" connectionId="6" autoFormatId="16" applyNumberFormats="0" applyBorderFormats="0" applyFontFormats="1" applyPatternFormats="1" applyAlignmentFormats="0" applyWidthHeightFormats="0">
  <queryTableRefresh nextId="12">
    <queryTableFields/>
  </queryTableRefresh>
</queryTable>
</file>

<file path=xl/queryTables/queryTable6.xml><?xml version="1.0" encoding="utf-8"?>
<queryTable xmlns="http://schemas.openxmlformats.org/spreadsheetml/2006/main" name="Query from ProMIS" connectionId="14" autoFormatId="16" applyNumberFormats="0" applyBorderFormats="0" applyFontFormats="1" applyPatternFormats="1" applyAlignmentFormats="0" applyWidthHeightFormats="0">
  <queryTableRefresh nextId="12">
    <queryTableFields/>
  </queryTableRefresh>
</queryTable>
</file>

<file path=xl/queryTables/queryTable7.xml><?xml version="1.0" encoding="utf-8"?>
<queryTable xmlns="http://schemas.openxmlformats.org/spreadsheetml/2006/main" name="Query from ProMIS_3" connectionId="16" autoFormatId="16" applyNumberFormats="0" applyBorderFormats="0" applyFontFormats="1" applyPatternFormats="1" applyAlignmentFormats="0" applyWidthHeightFormats="0">
  <queryTableRefresh nextId="12">
    <queryTableFields/>
  </queryTableRefresh>
</queryTable>
</file>

<file path=xl/queryTables/queryTable8.xml><?xml version="1.0" encoding="utf-8"?>
<queryTable xmlns="http://schemas.openxmlformats.org/spreadsheetml/2006/main" name="Query from ProMIS" connectionId="12" autoFormatId="16" applyNumberFormats="0" applyBorderFormats="0" applyFontFormats="1" applyPatternFormats="1" applyAlignmentFormats="0" applyWidthHeightFormats="0">
  <queryTableRefresh nextId="12">
    <queryTableFields/>
  </queryTableRefresh>
</queryTable>
</file>

<file path=xl/queryTables/queryTable9.xml><?xml version="1.0" encoding="utf-8"?>
<queryTable xmlns="http://schemas.openxmlformats.org/spreadsheetml/2006/main" name="Query from ProMIS_1" connectionId="4" autoFormatId="16" applyNumberFormats="0" applyBorderFormats="0" applyFontFormats="1" applyPatternFormats="1" applyAlignmentFormats="0" applyWidthHeightFormats="0">
  <queryTableRefresh nextId="12">
    <queryTableFields/>
    <sortState ref="A2:M1031">
      <sortCondition ref="B2:B1031"/>
    </sortState>
  </queryTableRefresh>
</query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queryTable" Target="../queryTables/queryTable1.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3" Type="http://schemas.openxmlformats.org/officeDocument/2006/relationships/queryTable" Target="../queryTables/queryTable3.xml"/><Relationship Id="rId2" Type="http://schemas.openxmlformats.org/officeDocument/2006/relationships/queryTable" Target="../queryTables/queryTable2.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3" Type="http://schemas.openxmlformats.org/officeDocument/2006/relationships/queryTable" Target="../queryTables/queryTable6.xml"/><Relationship Id="rId2" Type="http://schemas.openxmlformats.org/officeDocument/2006/relationships/queryTable" Target="../queryTables/queryTable5.xml"/><Relationship Id="rId1" Type="http://schemas.openxmlformats.org/officeDocument/2006/relationships/queryTable" Target="../queryTables/queryTable4.xml"/><Relationship Id="rId4" Type="http://schemas.openxmlformats.org/officeDocument/2006/relationships/queryTable" Target="../queryTables/queryTable7.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queryTable" Target="../queryTables/queryTable9.xml"/><Relationship Id="rId1" Type="http://schemas.openxmlformats.org/officeDocument/2006/relationships/queryTable" Target="../queryTables/queryTable8.xml"/></Relationships>
</file>

<file path=xl/worksheets/_rels/sheet51.xml.rels><?xml version="1.0" encoding="UTF-8" standalone="yes"?>
<Relationships xmlns="http://schemas.openxmlformats.org/package/2006/relationships"><Relationship Id="rId2" Type="http://schemas.openxmlformats.org/officeDocument/2006/relationships/queryTable" Target="../queryTables/queryTable11.xml"/><Relationship Id="rId1" Type="http://schemas.openxmlformats.org/officeDocument/2006/relationships/queryTable" Target="../queryTables/queryTable10.xml"/></Relationships>
</file>

<file path=xl/worksheets/_rels/sheet52.xml.rels><?xml version="1.0" encoding="UTF-8" standalone="yes"?>
<Relationships xmlns="http://schemas.openxmlformats.org/package/2006/relationships"><Relationship Id="rId3" Type="http://schemas.openxmlformats.org/officeDocument/2006/relationships/queryTable" Target="../queryTables/queryTable13.xml"/><Relationship Id="rId2" Type="http://schemas.openxmlformats.org/officeDocument/2006/relationships/queryTable" Target="../queryTables/queryTable12.xml"/><Relationship Id="rId1" Type="http://schemas.openxmlformats.org/officeDocument/2006/relationships/printerSettings" Target="../printerSettings/printerSettings50.bin"/></Relationships>
</file>

<file path=xl/worksheets/_rels/sheet53.xml.rels><?xml version="1.0" encoding="UTF-8" standalone="yes"?>
<Relationships xmlns="http://schemas.openxmlformats.org/package/2006/relationships"><Relationship Id="rId2" Type="http://schemas.openxmlformats.org/officeDocument/2006/relationships/queryTable" Target="../queryTables/queryTable15.xml"/><Relationship Id="rId1" Type="http://schemas.openxmlformats.org/officeDocument/2006/relationships/queryTable" Target="../queryTables/queryTable14.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pageSetUpPr fitToPage="1"/>
  </sheetPr>
  <dimension ref="B1:G125"/>
  <sheetViews>
    <sheetView tabSelected="1" view="pageBreakPreview" zoomScaleSheetLayoutView="100" workbookViewId="0">
      <selection activeCell="B43" sqref="B43"/>
    </sheetView>
  </sheetViews>
  <sheetFormatPr defaultRowHeight="15"/>
  <cols>
    <col min="1" max="1" width="9.42578125" style="238" customWidth="1"/>
    <col min="2" max="2" width="4.140625" style="238" customWidth="1"/>
    <col min="3" max="3" width="74.140625" style="238" customWidth="1"/>
    <col min="4" max="4" width="3.140625" style="238" customWidth="1"/>
    <col min="5" max="16384" width="9.140625" style="238"/>
  </cols>
  <sheetData>
    <row r="1" spans="2:4">
      <c r="B1" s="364"/>
      <c r="C1" s="359"/>
      <c r="D1" s="410"/>
    </row>
    <row r="2" spans="2:4">
      <c r="B2" s="361"/>
      <c r="C2" s="360"/>
      <c r="D2" s="411"/>
    </row>
    <row r="3" spans="2:4">
      <c r="B3" s="361"/>
      <c r="C3" s="360"/>
      <c r="D3" s="411"/>
    </row>
    <row r="4" spans="2:4" ht="45">
      <c r="B4" s="361"/>
      <c r="C4" s="412"/>
      <c r="D4" s="411"/>
    </row>
    <row r="5" spans="2:4">
      <c r="B5" s="361"/>
      <c r="C5" s="360"/>
      <c r="D5" s="411"/>
    </row>
    <row r="6" spans="2:4" ht="33.75">
      <c r="B6" s="211"/>
      <c r="C6" s="413" t="s">
        <v>2983</v>
      </c>
      <c r="D6" s="212"/>
    </row>
    <row r="7" spans="2:4">
      <c r="B7" s="361"/>
      <c r="C7" s="360"/>
      <c r="D7" s="411"/>
    </row>
    <row r="8" spans="2:4">
      <c r="B8" s="361"/>
      <c r="C8" s="360"/>
      <c r="D8" s="411"/>
    </row>
    <row r="9" spans="2:4">
      <c r="B9" s="361"/>
      <c r="C9" s="360"/>
      <c r="D9" s="411"/>
    </row>
    <row r="10" spans="2:4">
      <c r="B10" s="361"/>
      <c r="C10" s="360"/>
      <c r="D10" s="411"/>
    </row>
    <row r="11" spans="2:4">
      <c r="B11" s="361"/>
      <c r="C11" s="360"/>
      <c r="D11" s="411"/>
    </row>
    <row r="12" spans="2:4">
      <c r="B12" s="361"/>
      <c r="C12" s="360"/>
      <c r="D12" s="411"/>
    </row>
    <row r="13" spans="2:4">
      <c r="B13" s="361"/>
      <c r="C13" s="360"/>
      <c r="D13" s="411"/>
    </row>
    <row r="14" spans="2:4">
      <c r="B14" s="361"/>
      <c r="C14" s="360"/>
      <c r="D14" s="411"/>
    </row>
    <row r="15" spans="2:4">
      <c r="B15" s="361"/>
      <c r="C15" s="360"/>
      <c r="D15" s="411"/>
    </row>
    <row r="16" spans="2:4">
      <c r="B16" s="361"/>
      <c r="C16" s="360"/>
      <c r="D16" s="411"/>
    </row>
    <row r="17" spans="2:4">
      <c r="B17" s="361"/>
      <c r="C17" s="414" t="s">
        <v>2982</v>
      </c>
      <c r="D17" s="411"/>
    </row>
    <row r="18" spans="2:4">
      <c r="B18" s="361"/>
      <c r="C18" s="360"/>
      <c r="D18" s="411"/>
    </row>
    <row r="19" spans="2:4">
      <c r="B19" s="361"/>
      <c r="C19" s="360"/>
      <c r="D19" s="411"/>
    </row>
    <row r="20" spans="2:4">
      <c r="B20" s="361"/>
      <c r="C20" s="360"/>
      <c r="D20" s="411"/>
    </row>
    <row r="21" spans="2:4">
      <c r="B21" s="361"/>
      <c r="C21" s="360"/>
      <c r="D21" s="411"/>
    </row>
    <row r="22" spans="2:4">
      <c r="B22" s="361"/>
      <c r="C22" s="360"/>
      <c r="D22" s="411"/>
    </row>
    <row r="23" spans="2:4">
      <c r="B23" s="361"/>
      <c r="C23" s="360"/>
      <c r="D23" s="411"/>
    </row>
    <row r="24" spans="2:4">
      <c r="B24" s="361"/>
      <c r="C24" s="360"/>
      <c r="D24" s="411"/>
    </row>
    <row r="25" spans="2:4">
      <c r="B25" s="361"/>
      <c r="C25" s="360"/>
      <c r="D25" s="411"/>
    </row>
    <row r="26" spans="2:4">
      <c r="B26" s="361"/>
      <c r="C26" s="360"/>
      <c r="D26" s="411"/>
    </row>
    <row r="27" spans="2:4">
      <c r="B27" s="361"/>
      <c r="C27" s="360"/>
      <c r="D27" s="411"/>
    </row>
    <row r="28" spans="2:4">
      <c r="B28" s="361"/>
      <c r="C28" s="360"/>
      <c r="D28" s="411"/>
    </row>
    <row r="29" spans="2:4">
      <c r="B29" s="361"/>
      <c r="C29" s="360"/>
      <c r="D29" s="411"/>
    </row>
    <row r="30" spans="2:4">
      <c r="B30" s="361"/>
      <c r="C30" s="360"/>
      <c r="D30" s="411"/>
    </row>
    <row r="31" spans="2:4" ht="18.75" thickBot="1">
      <c r="B31" s="361"/>
      <c r="C31" s="415"/>
      <c r="D31" s="411"/>
    </row>
    <row r="32" spans="2:4" ht="18">
      <c r="B32" s="361"/>
      <c r="C32" s="416"/>
      <c r="D32" s="411"/>
    </row>
    <row r="33" spans="2:4" ht="89.25" customHeight="1">
      <c r="B33" s="361"/>
      <c r="C33" s="417" t="s">
        <v>3528</v>
      </c>
      <c r="D33" s="411"/>
    </row>
    <row r="34" spans="2:4" ht="15.75" thickBot="1">
      <c r="B34" s="361"/>
      <c r="C34" s="418"/>
      <c r="D34" s="411"/>
    </row>
    <row r="35" spans="2:4">
      <c r="B35" s="361"/>
      <c r="C35" s="419"/>
      <c r="D35" s="411"/>
    </row>
    <row r="36" spans="2:4">
      <c r="B36" s="361"/>
      <c r="C36" s="419"/>
      <c r="D36" s="411"/>
    </row>
    <row r="37" spans="2:4">
      <c r="B37" s="361"/>
      <c r="C37" s="360"/>
      <c r="D37" s="411"/>
    </row>
    <row r="38" spans="2:4">
      <c r="B38" s="361"/>
      <c r="C38" s="360"/>
      <c r="D38" s="411"/>
    </row>
    <row r="39" spans="2:4">
      <c r="B39" s="361"/>
      <c r="C39" s="360"/>
      <c r="D39" s="411"/>
    </row>
    <row r="40" spans="2:4">
      <c r="B40" s="362"/>
      <c r="C40" s="363"/>
      <c r="D40" s="420"/>
    </row>
    <row r="125" spans="7:7">
      <c r="G125" s="238">
        <v>5253981.1399999997</v>
      </c>
    </row>
  </sheetData>
  <printOptions horizontalCentered="1"/>
  <pageMargins left="0.70866141732283472" right="0.70866141732283472" top="0.74803149606299213" bottom="0.74803149606299213" header="0.31496062992125984" footer="0.31496062992125984"/>
  <pageSetup paperSize="9" orientation="portrait" r:id="rId1"/>
  <drawing r:id="rId2"/>
</worksheet>
</file>

<file path=xl/worksheets/sheet10.xml><?xml version="1.0" encoding="utf-8"?>
<worksheet xmlns="http://schemas.openxmlformats.org/spreadsheetml/2006/main" xmlns:r="http://schemas.openxmlformats.org/officeDocument/2006/relationships">
  <dimension ref="A1:S170"/>
  <sheetViews>
    <sheetView tabSelected="1" view="pageBreakPreview" topLeftCell="A131" zoomScaleSheetLayoutView="100" workbookViewId="0">
      <selection activeCell="B43" sqref="B43"/>
    </sheetView>
  </sheetViews>
  <sheetFormatPr defaultRowHeight="12.75"/>
  <cols>
    <col min="1" max="1" width="3.7109375" style="971" bestFit="1" customWidth="1"/>
    <col min="2" max="2" width="43.5703125" style="671" customWidth="1"/>
    <col min="3" max="3" width="3" style="671" customWidth="1"/>
    <col min="4" max="4" width="17.42578125" style="673" customWidth="1"/>
    <col min="5" max="5" width="3.140625" style="735" customWidth="1"/>
    <col min="6" max="6" width="9" style="735" customWidth="1"/>
    <col min="7" max="7" width="2.28515625" style="671" customWidth="1"/>
    <col min="8" max="8" width="12.85546875" style="673" bestFit="1" customWidth="1"/>
    <col min="9" max="9" width="2.7109375" style="673" customWidth="1"/>
    <col min="10" max="10" width="10.28515625" style="673" customWidth="1"/>
    <col min="11" max="11" width="2.28515625" style="673" hidden="1" customWidth="1"/>
    <col min="12" max="12" width="14.7109375" style="673" hidden="1" customWidth="1"/>
    <col min="13" max="13" width="2.28515625" style="671" hidden="1" customWidth="1"/>
    <col min="14" max="14" width="14.28515625" style="735" hidden="1" customWidth="1"/>
    <col min="15" max="15" width="14.5703125" style="735" hidden="1" customWidth="1"/>
    <col min="16" max="16" width="17.28515625" style="735" hidden="1" customWidth="1"/>
    <col min="17" max="17" width="18.140625" style="735" customWidth="1"/>
    <col min="18" max="18" width="11.28515625" style="735" bestFit="1" customWidth="1"/>
    <col min="19" max="19" width="9.140625" style="735" customWidth="1"/>
    <col min="20" max="16384" width="9.140625" style="671"/>
  </cols>
  <sheetData>
    <row r="1" spans="1:19" ht="15.75" customHeight="1" thickTop="1">
      <c r="A1" s="1812" t="s">
        <v>2485</v>
      </c>
      <c r="B1" s="1813"/>
      <c r="C1" s="1813"/>
      <c r="D1" s="1813"/>
      <c r="E1" s="1813"/>
      <c r="F1" s="1813"/>
      <c r="G1" s="1813"/>
      <c r="H1" s="1813"/>
      <c r="I1" s="1813"/>
      <c r="J1" s="1814"/>
      <c r="K1" s="1565"/>
      <c r="L1" s="1565"/>
      <c r="M1" s="1566"/>
    </row>
    <row r="2" spans="1:19">
      <c r="A2" s="1815" t="s">
        <v>3498</v>
      </c>
      <c r="B2" s="1816"/>
      <c r="C2" s="1816"/>
      <c r="D2" s="1816"/>
      <c r="E2" s="1816"/>
      <c r="F2" s="1816"/>
      <c r="G2" s="1816"/>
      <c r="H2" s="1816"/>
      <c r="I2" s="1816"/>
      <c r="J2" s="1817"/>
      <c r="K2" s="1328"/>
      <c r="L2" s="1328"/>
      <c r="M2" s="1567"/>
    </row>
    <row r="3" spans="1:19">
      <c r="A3" s="1569"/>
      <c r="B3" s="699"/>
      <c r="C3" s="699"/>
      <c r="D3" s="700"/>
      <c r="E3" s="918"/>
      <c r="F3" s="918"/>
      <c r="G3" s="699"/>
      <c r="H3" s="700"/>
      <c r="I3" s="700"/>
      <c r="J3" s="1570"/>
      <c r="K3" s="700"/>
      <c r="L3" s="700"/>
      <c r="M3" s="702"/>
    </row>
    <row r="4" spans="1:19">
      <c r="A4" s="1571"/>
      <c r="B4" s="677"/>
      <c r="C4" s="677"/>
      <c r="D4" s="676"/>
      <c r="E4" s="919"/>
      <c r="F4" s="919"/>
      <c r="G4" s="677"/>
      <c r="H4" s="676"/>
      <c r="I4" s="676"/>
      <c r="J4" s="1572"/>
      <c r="K4" s="676"/>
      <c r="L4" s="676"/>
      <c r="M4" s="679"/>
    </row>
    <row r="5" spans="1:19" s="1279" customFormat="1">
      <c r="A5" s="1573"/>
      <c r="B5" s="703"/>
      <c r="C5" s="703"/>
      <c r="D5" s="704" t="s">
        <v>3484</v>
      </c>
      <c r="E5" s="914"/>
      <c r="F5" s="914"/>
      <c r="G5" s="703"/>
      <c r="H5" s="704" t="s">
        <v>2651</v>
      </c>
      <c r="I5" s="706"/>
      <c r="J5" s="1441"/>
      <c r="K5" s="706"/>
      <c r="L5" s="704" t="s">
        <v>1634</v>
      </c>
      <c r="M5" s="705"/>
      <c r="N5" s="920"/>
      <c r="O5" s="921"/>
      <c r="P5" s="921"/>
      <c r="Q5" s="921"/>
      <c r="R5" s="921"/>
      <c r="S5" s="921"/>
    </row>
    <row r="6" spans="1:19" s="1279" customFormat="1">
      <c r="A6" s="1573"/>
      <c r="B6" s="703"/>
      <c r="C6" s="703"/>
      <c r="D6" s="706"/>
      <c r="E6" s="914"/>
      <c r="F6" s="914"/>
      <c r="G6" s="703"/>
      <c r="H6" s="706" t="s">
        <v>2422</v>
      </c>
      <c r="I6" s="706"/>
      <c r="J6" s="1441"/>
      <c r="K6" s="706"/>
      <c r="L6" s="706" t="s">
        <v>2422</v>
      </c>
      <c r="M6" s="705"/>
      <c r="N6" s="920"/>
      <c r="O6" s="921"/>
      <c r="P6" s="921"/>
      <c r="Q6" s="921"/>
      <c r="R6" s="921"/>
      <c r="S6" s="921"/>
    </row>
    <row r="7" spans="1:19" s="707" customFormat="1">
      <c r="A7" s="1568" t="s">
        <v>706</v>
      </c>
      <c r="B7" s="682" t="s">
        <v>1302</v>
      </c>
      <c r="C7" s="682"/>
      <c r="D7" s="683"/>
      <c r="E7" s="916"/>
      <c r="F7" s="916"/>
      <c r="G7" s="682"/>
      <c r="H7" s="683">
        <f>SUM(H8+H11)</f>
        <v>0</v>
      </c>
      <c r="I7" s="683"/>
      <c r="J7" s="1446"/>
      <c r="K7" s="683"/>
      <c r="L7" s="683">
        <f>L8+L11</f>
        <v>0</v>
      </c>
      <c r="M7" s="689"/>
      <c r="N7" s="920"/>
      <c r="O7" s="922"/>
      <c r="P7" s="922"/>
      <c r="Q7" s="921"/>
      <c r="R7" s="922"/>
      <c r="S7" s="922"/>
    </row>
    <row r="8" spans="1:19" s="707" customFormat="1">
      <c r="A8" s="1568"/>
      <c r="B8" s="923" t="s">
        <v>1042</v>
      </c>
      <c r="C8" s="923"/>
      <c r="D8" s="924"/>
      <c r="E8" s="925"/>
      <c r="F8" s="925"/>
      <c r="G8" s="682"/>
      <c r="H8" s="683">
        <f>SUM(H9:H10)</f>
        <v>0</v>
      </c>
      <c r="I8" s="683"/>
      <c r="J8" s="1446"/>
      <c r="K8" s="683"/>
      <c r="L8" s="683">
        <f>SUM(L9:L10)</f>
        <v>0</v>
      </c>
      <c r="M8" s="689"/>
      <c r="N8" s="920"/>
      <c r="O8" s="922"/>
      <c r="P8" s="922"/>
      <c r="Q8" s="921"/>
      <c r="R8" s="922"/>
      <c r="S8" s="922"/>
    </row>
    <row r="9" spans="1:19">
      <c r="A9" s="1573"/>
      <c r="B9" s="670" t="s">
        <v>1303</v>
      </c>
      <c r="C9" s="670"/>
      <c r="D9" s="658"/>
      <c r="E9" s="685"/>
      <c r="F9" s="685"/>
      <c r="G9" s="670"/>
      <c r="H9" s="658">
        <f>L8</f>
        <v>0</v>
      </c>
      <c r="I9" s="655"/>
      <c r="J9" s="1439"/>
      <c r="K9" s="655"/>
      <c r="L9" s="658">
        <v>202389</v>
      </c>
      <c r="M9" s="681"/>
      <c r="Q9" s="921"/>
    </row>
    <row r="10" spans="1:19">
      <c r="A10" s="1573"/>
      <c r="B10" s="926" t="s">
        <v>1041</v>
      </c>
      <c r="C10" s="926"/>
      <c r="D10" s="927"/>
      <c r="E10" s="928"/>
      <c r="F10" s="928"/>
      <c r="G10" s="670"/>
      <c r="H10" s="482">
        <v>0</v>
      </c>
      <c r="I10" s="655"/>
      <c r="J10" s="1439"/>
      <c r="K10" s="655"/>
      <c r="L10" s="659">
        <v>-202389</v>
      </c>
      <c r="M10" s="681"/>
      <c r="Q10" s="921"/>
    </row>
    <row r="11" spans="1:19">
      <c r="A11" s="1573"/>
      <c r="B11" s="923" t="s">
        <v>1043</v>
      </c>
      <c r="C11" s="923"/>
      <c r="D11" s="924"/>
      <c r="E11" s="925"/>
      <c r="F11" s="925"/>
      <c r="G11" s="670"/>
      <c r="H11" s="760">
        <f>SUM(H12:H14)</f>
        <v>0</v>
      </c>
      <c r="I11" s="655"/>
      <c r="J11" s="1439"/>
      <c r="K11" s="655"/>
      <c r="L11" s="760">
        <f>SUM(L12:L14)</f>
        <v>0</v>
      </c>
      <c r="M11" s="681"/>
      <c r="Q11" s="921"/>
    </row>
    <row r="12" spans="1:19">
      <c r="A12" s="1573"/>
      <c r="B12" s="670" t="s">
        <v>1304</v>
      </c>
      <c r="C12" s="670"/>
      <c r="D12" s="658"/>
      <c r="E12" s="685"/>
      <c r="F12" s="685"/>
      <c r="G12" s="670"/>
      <c r="H12" s="658">
        <f>L11</f>
        <v>0</v>
      </c>
      <c r="I12" s="655"/>
      <c r="J12" s="1439"/>
      <c r="K12" s="655"/>
      <c r="L12" s="912">
        <v>-1225539</v>
      </c>
      <c r="M12" s="681"/>
      <c r="N12" s="929"/>
    </row>
    <row r="13" spans="1:19">
      <c r="A13" s="1573"/>
      <c r="B13" s="926" t="s">
        <v>1068</v>
      </c>
      <c r="C13" s="926"/>
      <c r="D13" s="930"/>
      <c r="E13" s="928"/>
      <c r="F13" s="928"/>
      <c r="G13" s="670"/>
      <c r="H13" s="659">
        <v>0</v>
      </c>
      <c r="I13" s="655"/>
      <c r="J13" s="1439"/>
      <c r="K13" s="655"/>
      <c r="L13" s="912">
        <v>1225539</v>
      </c>
      <c r="M13" s="681"/>
    </row>
    <row r="14" spans="1:19">
      <c r="A14" s="1573"/>
      <c r="B14" s="926" t="s">
        <v>1041</v>
      </c>
      <c r="C14" s="926"/>
      <c r="D14" s="927"/>
      <c r="E14" s="928"/>
      <c r="F14" s="928"/>
      <c r="G14" s="670"/>
      <c r="H14" s="482"/>
      <c r="I14" s="655"/>
      <c r="J14" s="1439"/>
      <c r="K14" s="655"/>
      <c r="L14" s="482">
        <v>0</v>
      </c>
      <c r="M14" s="681"/>
    </row>
    <row r="15" spans="1:19">
      <c r="A15" s="1573"/>
      <c r="B15" s="670"/>
      <c r="C15" s="670"/>
      <c r="D15" s="655"/>
      <c r="E15" s="685"/>
      <c r="F15" s="685"/>
      <c r="G15" s="670"/>
      <c r="H15" s="655"/>
      <c r="I15" s="655"/>
      <c r="J15" s="1439"/>
      <c r="K15" s="655"/>
      <c r="L15" s="655"/>
      <c r="M15" s="681"/>
    </row>
    <row r="16" spans="1:19">
      <c r="A16" s="1571"/>
      <c r="B16" s="677"/>
      <c r="C16" s="677"/>
      <c r="D16" s="676"/>
      <c r="E16" s="919"/>
      <c r="F16" s="919"/>
      <c r="G16" s="677"/>
      <c r="H16" s="676"/>
      <c r="I16" s="676"/>
      <c r="J16" s="1572"/>
      <c r="K16" s="676"/>
      <c r="L16" s="676"/>
      <c r="M16" s="679"/>
    </row>
    <row r="17" spans="1:19" ht="18">
      <c r="A17" s="1568" t="s">
        <v>707</v>
      </c>
      <c r="B17" s="682" t="s">
        <v>500</v>
      </c>
      <c r="C17" s="682"/>
      <c r="D17" s="683">
        <f>SUM(D19+D27+D35)</f>
        <v>45172999.890000001</v>
      </c>
      <c r="E17" s="916"/>
      <c r="F17" s="916"/>
      <c r="G17" s="682"/>
      <c r="H17" s="683">
        <f>SUM(H19+H27+H35)</f>
        <v>69747957.159999996</v>
      </c>
      <c r="I17" s="683"/>
      <c r="J17" s="1446"/>
      <c r="K17" s="683"/>
      <c r="L17" s="683">
        <f>+L19+L27+L35</f>
        <v>76985263.879999995</v>
      </c>
      <c r="M17" s="689"/>
      <c r="Q17" s="931"/>
    </row>
    <row r="18" spans="1:19">
      <c r="A18" s="1573"/>
      <c r="B18" s="670"/>
      <c r="C18" s="670"/>
      <c r="D18" s="655"/>
      <c r="E18" s="685"/>
      <c r="F18" s="685"/>
      <c r="G18" s="670"/>
      <c r="H18" s="655"/>
      <c r="I18" s="655"/>
      <c r="J18" s="1439"/>
      <c r="K18" s="655"/>
      <c r="L18" s="655"/>
      <c r="M18" s="681"/>
    </row>
    <row r="19" spans="1:19">
      <c r="A19" s="1573"/>
      <c r="B19" s="682" t="s">
        <v>504</v>
      </c>
      <c r="C19" s="932"/>
      <c r="D19" s="933">
        <f>SUM(D20:D24)</f>
        <v>-18685963.119999997</v>
      </c>
      <c r="E19" s="934"/>
      <c r="F19" s="916"/>
      <c r="G19" s="932"/>
      <c r="H19" s="933">
        <f>SUM(H20:H24)</f>
        <v>-12780225.85</v>
      </c>
      <c r="I19" s="935"/>
      <c r="J19" s="1446"/>
      <c r="K19" s="933"/>
      <c r="L19" s="933">
        <f>SUM(L20:L24)</f>
        <v>-5542919.1299999999</v>
      </c>
      <c r="M19" s="1422"/>
    </row>
    <row r="20" spans="1:19">
      <c r="A20" s="1573"/>
      <c r="B20" s="764" t="s">
        <v>498</v>
      </c>
      <c r="C20" s="936"/>
      <c r="D20" s="937">
        <f>H19</f>
        <v>-12780225.85</v>
      </c>
      <c r="E20" s="938"/>
      <c r="F20" s="939"/>
      <c r="G20" s="940"/>
      <c r="H20" s="658">
        <f>L19</f>
        <v>-5542919.1299999999</v>
      </c>
      <c r="I20" s="680"/>
      <c r="J20" s="1439"/>
      <c r="K20" s="655"/>
      <c r="L20" s="658">
        <f>'main TB'!F15</f>
        <v>-3439196.5</v>
      </c>
      <c r="M20" s="681"/>
    </row>
    <row r="21" spans="1:19" s="670" customFormat="1" ht="25.5">
      <c r="A21" s="1573"/>
      <c r="B21" s="898" t="s">
        <v>3405</v>
      </c>
      <c r="C21" s="941"/>
      <c r="D21" s="659">
        <f>'main TB'!N15</f>
        <v>-5905737.2699999996</v>
      </c>
      <c r="E21" s="759"/>
      <c r="F21" s="685"/>
      <c r="G21" s="940"/>
      <c r="H21" s="659">
        <f>'main TB'!K15</f>
        <v>-7237306.7199999997</v>
      </c>
      <c r="I21" s="680"/>
      <c r="J21" s="1439"/>
      <c r="K21" s="655"/>
      <c r="L21" s="659">
        <f>'main TB'!H15</f>
        <v>-2130502.44</v>
      </c>
      <c r="M21" s="681"/>
      <c r="N21" s="685"/>
      <c r="O21" s="685"/>
      <c r="P21" s="685"/>
      <c r="Q21" s="685"/>
      <c r="R21" s="685"/>
      <c r="S21" s="685"/>
    </row>
    <row r="22" spans="1:19">
      <c r="A22" s="1573"/>
      <c r="B22" s="764" t="s">
        <v>2540</v>
      </c>
      <c r="C22" s="936"/>
      <c r="D22" s="942"/>
      <c r="E22" s="938"/>
      <c r="F22" s="939"/>
      <c r="G22" s="940"/>
      <c r="H22" s="659">
        <v>0</v>
      </c>
      <c r="I22" s="680"/>
      <c r="J22" s="1439"/>
      <c r="K22" s="655"/>
      <c r="L22" s="659">
        <f>'main TB'!G15</f>
        <v>26779.81</v>
      </c>
      <c r="M22" s="681"/>
      <c r="P22" s="922"/>
    </row>
    <row r="23" spans="1:19">
      <c r="A23" s="1573"/>
      <c r="B23" s="764" t="s">
        <v>502</v>
      </c>
      <c r="C23" s="936"/>
      <c r="D23" s="942"/>
      <c r="E23" s="938"/>
      <c r="F23" s="939"/>
      <c r="G23" s="940"/>
      <c r="H23" s="659"/>
      <c r="I23" s="680"/>
      <c r="J23" s="1439"/>
      <c r="K23" s="655"/>
      <c r="L23" s="659"/>
      <c r="M23" s="681"/>
    </row>
    <row r="24" spans="1:19">
      <c r="A24" s="1573"/>
      <c r="B24" s="764" t="s">
        <v>503</v>
      </c>
      <c r="C24" s="936"/>
      <c r="D24" s="943"/>
      <c r="E24" s="938"/>
      <c r="F24" s="939"/>
      <c r="G24" s="940"/>
      <c r="H24" s="482"/>
      <c r="I24" s="680"/>
      <c r="J24" s="1439"/>
      <c r="K24" s="655"/>
      <c r="L24" s="482"/>
      <c r="M24" s="681"/>
    </row>
    <row r="25" spans="1:19">
      <c r="A25" s="1573"/>
      <c r="B25" s="670"/>
      <c r="C25" s="944"/>
      <c r="D25" s="700"/>
      <c r="E25" s="945"/>
      <c r="F25" s="685"/>
      <c r="G25" s="944"/>
      <c r="H25" s="700"/>
      <c r="I25" s="701"/>
      <c r="J25" s="1439"/>
      <c r="K25" s="700"/>
      <c r="L25" s="700"/>
      <c r="M25" s="702"/>
    </row>
    <row r="26" spans="1:19">
      <c r="A26" s="1573"/>
      <c r="B26" s="670"/>
      <c r="C26" s="670"/>
      <c r="D26" s="655"/>
      <c r="E26" s="685"/>
      <c r="F26" s="685"/>
      <c r="G26" s="670"/>
      <c r="H26" s="655"/>
      <c r="I26" s="655"/>
      <c r="J26" s="1439"/>
      <c r="K26" s="655"/>
      <c r="L26" s="655"/>
      <c r="M26" s="681"/>
    </row>
    <row r="27" spans="1:19" ht="25.5">
      <c r="A27" s="1573"/>
      <c r="B27" s="709" t="s">
        <v>505</v>
      </c>
      <c r="C27" s="780"/>
      <c r="D27" s="946">
        <f>SUM(D28:D32)</f>
        <v>-319.99</v>
      </c>
      <c r="E27" s="947"/>
      <c r="F27" s="948"/>
      <c r="G27" s="949"/>
      <c r="H27" s="933">
        <f>SUM(H28:H32)</f>
        <v>-319.99</v>
      </c>
      <c r="I27" s="935"/>
      <c r="J27" s="1446"/>
      <c r="K27" s="933"/>
      <c r="L27" s="933">
        <f>SUM(L28:L32)</f>
        <v>-319.99</v>
      </c>
      <c r="M27" s="679"/>
    </row>
    <row r="28" spans="1:19">
      <c r="A28" s="1573"/>
      <c r="B28" s="764" t="s">
        <v>498</v>
      </c>
      <c r="C28" s="936"/>
      <c r="D28" s="937">
        <f>H27</f>
        <v>-319.99</v>
      </c>
      <c r="E28" s="938"/>
      <c r="F28" s="939"/>
      <c r="G28" s="940"/>
      <c r="H28" s="658">
        <f>L27</f>
        <v>-319.99</v>
      </c>
      <c r="I28" s="680"/>
      <c r="J28" s="1439"/>
      <c r="K28" s="655"/>
      <c r="L28" s="658">
        <f>'main TB'!F16</f>
        <v>-639.99</v>
      </c>
      <c r="M28" s="681"/>
    </row>
    <row r="29" spans="1:19">
      <c r="A29" s="1573"/>
      <c r="B29" s="764" t="s">
        <v>2539</v>
      </c>
      <c r="C29" s="936"/>
      <c r="D29" s="942"/>
      <c r="E29" s="938"/>
      <c r="F29" s="939"/>
      <c r="G29" s="940"/>
      <c r="H29" s="659">
        <f>'main TB'!K16</f>
        <v>0</v>
      </c>
      <c r="I29" s="680"/>
      <c r="J29" s="1439"/>
      <c r="K29" s="655"/>
      <c r="L29" s="659"/>
      <c r="M29" s="681"/>
    </row>
    <row r="30" spans="1:19">
      <c r="A30" s="1573"/>
      <c r="B30" s="764" t="s">
        <v>2540</v>
      </c>
      <c r="C30" s="936"/>
      <c r="D30" s="942"/>
      <c r="E30" s="938"/>
      <c r="F30" s="939"/>
      <c r="G30" s="940"/>
      <c r="H30" s="659">
        <f>'main TB'!J16</f>
        <v>0</v>
      </c>
      <c r="I30" s="680"/>
      <c r="J30" s="1439"/>
      <c r="K30" s="655"/>
      <c r="L30" s="659">
        <f>'main TB'!G16</f>
        <v>320</v>
      </c>
      <c r="M30" s="681"/>
    </row>
    <row r="31" spans="1:19">
      <c r="A31" s="1573"/>
      <c r="B31" s="764" t="s">
        <v>503</v>
      </c>
      <c r="C31" s="936"/>
      <c r="D31" s="942"/>
      <c r="E31" s="938"/>
      <c r="F31" s="939"/>
      <c r="G31" s="940"/>
      <c r="H31" s="659"/>
      <c r="I31" s="680"/>
      <c r="J31" s="1439"/>
      <c r="K31" s="655"/>
      <c r="L31" s="659"/>
      <c r="M31" s="681"/>
    </row>
    <row r="32" spans="1:19" ht="15" customHeight="1">
      <c r="A32" s="1573"/>
      <c r="B32" s="764" t="s">
        <v>506</v>
      </c>
      <c r="C32" s="936"/>
      <c r="D32" s="943"/>
      <c r="E32" s="938"/>
      <c r="F32" s="939"/>
      <c r="G32" s="940"/>
      <c r="H32" s="482"/>
      <c r="I32" s="680"/>
      <c r="J32" s="1439"/>
      <c r="K32" s="655"/>
      <c r="L32" s="482"/>
      <c r="M32" s="681"/>
    </row>
    <row r="33" spans="1:19" s="707" customFormat="1">
      <c r="A33" s="1573"/>
      <c r="B33" s="708"/>
      <c r="C33" s="782"/>
      <c r="D33" s="738"/>
      <c r="E33" s="950"/>
      <c r="F33" s="951"/>
      <c r="G33" s="944"/>
      <c r="H33" s="700"/>
      <c r="I33" s="701"/>
      <c r="J33" s="1439"/>
      <c r="K33" s="700"/>
      <c r="L33" s="700"/>
      <c r="M33" s="702"/>
      <c r="N33" s="922"/>
      <c r="O33" s="922"/>
      <c r="P33" s="922"/>
      <c r="Q33" s="922"/>
      <c r="R33" s="922"/>
      <c r="S33" s="922"/>
    </row>
    <row r="34" spans="1:19">
      <c r="A34" s="1573"/>
      <c r="B34" s="709"/>
      <c r="C34" s="709"/>
      <c r="D34" s="711"/>
      <c r="E34" s="948"/>
      <c r="F34" s="948"/>
      <c r="G34" s="699"/>
      <c r="H34" s="700"/>
      <c r="I34" s="700"/>
      <c r="J34" s="1439"/>
      <c r="K34" s="700"/>
      <c r="L34" s="700"/>
      <c r="M34" s="702"/>
    </row>
    <row r="35" spans="1:19">
      <c r="A35" s="1573"/>
      <c r="B35" s="709" t="s">
        <v>1738</v>
      </c>
      <c r="C35" s="780"/>
      <c r="D35" s="946">
        <f>SUM(D36:D40)</f>
        <v>63859283</v>
      </c>
      <c r="E35" s="947"/>
      <c r="F35" s="948"/>
      <c r="G35" s="940"/>
      <c r="H35" s="683">
        <f>SUM(H36:H40)</f>
        <v>82528503</v>
      </c>
      <c r="I35" s="690"/>
      <c r="J35" s="1446"/>
      <c r="K35" s="683"/>
      <c r="L35" s="683">
        <f>SUM(L36:L40)</f>
        <v>82528503</v>
      </c>
      <c r="M35" s="681"/>
    </row>
    <row r="36" spans="1:19">
      <c r="A36" s="1573"/>
      <c r="B36" s="764" t="s">
        <v>498</v>
      </c>
      <c r="C36" s="936"/>
      <c r="D36" s="937">
        <f>H35</f>
        <v>82528503</v>
      </c>
      <c r="E36" s="938"/>
      <c r="F36" s="939"/>
      <c r="G36" s="940"/>
      <c r="H36" s="658">
        <f>+L35</f>
        <v>82528503</v>
      </c>
      <c r="I36" s="680"/>
      <c r="J36" s="1439"/>
      <c r="K36" s="655"/>
      <c r="L36" s="658">
        <v>0</v>
      </c>
      <c r="M36" s="681"/>
    </row>
    <row r="37" spans="1:19">
      <c r="A37" s="1573"/>
      <c r="B37" s="764" t="s">
        <v>2539</v>
      </c>
      <c r="C37" s="936"/>
      <c r="D37" s="942"/>
      <c r="E37" s="938"/>
      <c r="F37" s="939"/>
      <c r="G37" s="940"/>
      <c r="H37" s="659">
        <f>-'main TB'!K18</f>
        <v>0</v>
      </c>
      <c r="I37" s="680"/>
      <c r="J37" s="1439"/>
      <c r="K37" s="655"/>
      <c r="L37" s="659">
        <f>-+'main TB'!I18</f>
        <v>82528503</v>
      </c>
      <c r="M37" s="681"/>
    </row>
    <row r="38" spans="1:19">
      <c r="A38" s="1573"/>
      <c r="B38" s="764" t="s">
        <v>2540</v>
      </c>
      <c r="C38" s="936"/>
      <c r="D38" s="942"/>
      <c r="E38" s="938"/>
      <c r="F38" s="939"/>
      <c r="G38" s="940"/>
      <c r="H38" s="659">
        <v>0</v>
      </c>
      <c r="I38" s="680"/>
      <c r="J38" s="1439"/>
      <c r="K38" s="655"/>
      <c r="L38" s="659">
        <v>0</v>
      </c>
      <c r="M38" s="681"/>
    </row>
    <row r="39" spans="1:19">
      <c r="A39" s="1573"/>
      <c r="B39" s="764" t="s">
        <v>503</v>
      </c>
      <c r="C39" s="936"/>
      <c r="D39" s="942">
        <v>-18669220</v>
      </c>
      <c r="E39" s="938"/>
      <c r="F39" s="939"/>
      <c r="G39" s="940"/>
      <c r="H39" s="659">
        <v>0</v>
      </c>
      <c r="I39" s="680"/>
      <c r="J39" s="1439"/>
      <c r="K39" s="655"/>
      <c r="L39" s="659">
        <v>0</v>
      </c>
      <c r="M39" s="681"/>
    </row>
    <row r="40" spans="1:19">
      <c r="A40" s="1573"/>
      <c r="B40" s="764" t="s">
        <v>506</v>
      </c>
      <c r="C40" s="936"/>
      <c r="D40" s="943"/>
      <c r="E40" s="938"/>
      <c r="F40" s="939"/>
      <c r="G40" s="940"/>
      <c r="H40" s="482">
        <v>0</v>
      </c>
      <c r="I40" s="680"/>
      <c r="J40" s="1439"/>
      <c r="K40" s="655"/>
      <c r="L40" s="482">
        <v>0</v>
      </c>
      <c r="M40" s="681"/>
      <c r="P40" s="735">
        <f>10173179.34-556003.17</f>
        <v>9617176.1699999999</v>
      </c>
    </row>
    <row r="41" spans="1:19">
      <c r="A41" s="1573"/>
      <c r="B41" s="708"/>
      <c r="C41" s="782"/>
      <c r="D41" s="738"/>
      <c r="E41" s="950"/>
      <c r="F41" s="951"/>
      <c r="G41" s="944"/>
      <c r="H41" s="700"/>
      <c r="I41" s="701"/>
      <c r="J41" s="1439"/>
      <c r="K41" s="700"/>
      <c r="L41" s="700"/>
      <c r="M41" s="702"/>
      <c r="P41" s="735">
        <v>-9282902</v>
      </c>
    </row>
    <row r="42" spans="1:19">
      <c r="A42" s="1569"/>
      <c r="B42" s="699"/>
      <c r="C42" s="699"/>
      <c r="D42" s="700"/>
      <c r="E42" s="918"/>
      <c r="F42" s="918"/>
      <c r="G42" s="699"/>
      <c r="H42" s="700"/>
      <c r="I42" s="700"/>
      <c r="J42" s="1570"/>
      <c r="K42" s="700"/>
      <c r="L42" s="700"/>
      <c r="M42" s="702"/>
      <c r="P42" s="735">
        <f>SUM(P40:P41)</f>
        <v>334274.16999999993</v>
      </c>
    </row>
    <row r="43" spans="1:19">
      <c r="A43" s="1571"/>
      <c r="B43" s="677"/>
      <c r="C43" s="677"/>
      <c r="D43" s="676"/>
      <c r="E43" s="919"/>
      <c r="F43" s="919"/>
      <c r="G43" s="677"/>
      <c r="H43" s="676"/>
      <c r="I43" s="676"/>
      <c r="J43" s="1572"/>
      <c r="K43" s="676"/>
      <c r="L43" s="676"/>
      <c r="M43" s="679"/>
    </row>
    <row r="44" spans="1:19">
      <c r="A44" s="1568" t="s">
        <v>708</v>
      </c>
      <c r="B44" s="709" t="s">
        <v>3333</v>
      </c>
      <c r="C44" s="709"/>
      <c r="D44" s="711"/>
      <c r="E44" s="948"/>
      <c r="F44" s="948"/>
      <c r="G44" s="709"/>
      <c r="H44" s="655"/>
      <c r="I44" s="655"/>
      <c r="J44" s="1439"/>
      <c r="K44" s="655"/>
      <c r="L44" s="655"/>
      <c r="M44" s="681"/>
    </row>
    <row r="45" spans="1:19" ht="25.5">
      <c r="A45" s="1573"/>
      <c r="B45" s="709" t="s">
        <v>3897</v>
      </c>
      <c r="C45" s="709"/>
      <c r="D45" s="683">
        <f>H53</f>
        <v>90739349.000000015</v>
      </c>
      <c r="E45" s="916"/>
      <c r="F45" s="916"/>
      <c r="G45" s="709"/>
      <c r="H45" s="683">
        <f>+SUM(L53)+1968144</f>
        <v>24908053.469999999</v>
      </c>
      <c r="I45" s="683"/>
      <c r="J45" s="1446"/>
      <c r="K45" s="683"/>
      <c r="L45" s="683">
        <f>-'main TB'!F37</f>
        <v>16257458.5</v>
      </c>
      <c r="M45" s="689"/>
    </row>
    <row r="46" spans="1:19">
      <c r="A46" s="1573"/>
      <c r="B46" s="708" t="s">
        <v>3898</v>
      </c>
      <c r="C46" s="708"/>
      <c r="D46" s="713">
        <f>'Appendix D'!V78</f>
        <v>-14841360.20000001</v>
      </c>
      <c r="E46" s="951"/>
      <c r="F46" s="951"/>
      <c r="G46" s="708"/>
      <c r="H46" s="655">
        <f>SUM('Appendix D'!N78)</f>
        <v>74556903.550000012</v>
      </c>
      <c r="I46" s="655"/>
      <c r="J46" s="1439"/>
      <c r="K46" s="655"/>
      <c r="L46" s="655">
        <f>SUM('Appendix D'!F78)</f>
        <v>10925273.969999997</v>
      </c>
      <c r="M46" s="681"/>
    </row>
    <row r="47" spans="1:19">
      <c r="A47" s="1573"/>
      <c r="B47" s="764"/>
      <c r="C47" s="764"/>
      <c r="D47" s="952"/>
      <c r="E47" s="939"/>
      <c r="F47" s="939"/>
      <c r="G47" s="670"/>
      <c r="H47" s="655"/>
      <c r="I47" s="655"/>
      <c r="J47" s="1439"/>
      <c r="K47" s="655"/>
      <c r="L47" s="655" t="s">
        <v>45</v>
      </c>
      <c r="M47" s="681"/>
    </row>
    <row r="48" spans="1:19">
      <c r="A48" s="1573"/>
      <c r="B48" s="764" t="s">
        <v>3339</v>
      </c>
      <c r="C48" s="764"/>
      <c r="D48" s="952">
        <f>5345503.43+374648.14-1968144</f>
        <v>3752007.5699999994</v>
      </c>
      <c r="E48" s="939"/>
      <c r="F48" s="939"/>
      <c r="G48" s="670"/>
      <c r="H48" s="655">
        <f>-5198385.96+102771.94-3629994</f>
        <v>-8725608.0199999996</v>
      </c>
      <c r="I48" s="655"/>
      <c r="J48" s="1439"/>
      <c r="K48" s="655"/>
      <c r="L48" s="655">
        <v>-4242823</v>
      </c>
      <c r="M48" s="681"/>
      <c r="O48" s="735">
        <f>D48-H48</f>
        <v>12477615.59</v>
      </c>
      <c r="Q48" s="735">
        <f>D48+H48</f>
        <v>-4973600.45</v>
      </c>
    </row>
    <row r="49" spans="1:19">
      <c r="A49" s="1573"/>
      <c r="B49" s="764" t="s">
        <v>3905</v>
      </c>
      <c r="C49" s="764"/>
      <c r="D49" s="952">
        <v>-6240000</v>
      </c>
      <c r="E49" s="939"/>
      <c r="F49" s="939"/>
      <c r="G49" s="670"/>
      <c r="H49" s="655">
        <v>0</v>
      </c>
      <c r="I49" s="655"/>
      <c r="J49" s="1439"/>
      <c r="K49" s="655"/>
      <c r="L49" s="655">
        <v>0</v>
      </c>
      <c r="M49" s="681"/>
    </row>
    <row r="50" spans="1:19">
      <c r="A50" s="1573"/>
      <c r="B50" s="708" t="s">
        <v>3903</v>
      </c>
      <c r="C50" s="708"/>
      <c r="D50" s="713">
        <v>-5905737.2699999996</v>
      </c>
      <c r="E50" s="951"/>
      <c r="F50" s="951"/>
      <c r="G50" s="708"/>
      <c r="H50" s="655">
        <v>0</v>
      </c>
      <c r="I50" s="655"/>
      <c r="J50" s="1439"/>
      <c r="K50" s="655"/>
      <c r="L50" s="655">
        <v>0</v>
      </c>
      <c r="M50" s="681"/>
    </row>
    <row r="51" spans="1:19">
      <c r="A51" s="1573"/>
      <c r="B51" s="708" t="s">
        <v>3904</v>
      </c>
      <c r="C51" s="708"/>
      <c r="D51" s="713">
        <v>0</v>
      </c>
      <c r="E51" s="951"/>
      <c r="F51" s="951"/>
      <c r="G51" s="708"/>
      <c r="H51" s="655">
        <v>0</v>
      </c>
      <c r="I51" s="655"/>
      <c r="J51" s="1439"/>
      <c r="K51" s="655"/>
      <c r="L51" s="655">
        <v>0</v>
      </c>
      <c r="M51" s="681"/>
      <c r="N51" s="655"/>
      <c r="O51" s="735" t="s">
        <v>45</v>
      </c>
      <c r="Q51" s="735">
        <f>70473999-70452450.8</f>
        <v>21548.20000000298</v>
      </c>
    </row>
    <row r="52" spans="1:19">
      <c r="A52" s="1573"/>
      <c r="B52" s="708"/>
      <c r="C52" s="708"/>
      <c r="D52" s="713"/>
      <c r="E52" s="951"/>
      <c r="F52" s="951"/>
      <c r="G52" s="708"/>
      <c r="H52" s="655">
        <v>0</v>
      </c>
      <c r="I52" s="655"/>
      <c r="J52" s="1439"/>
      <c r="K52" s="655"/>
      <c r="L52" s="655"/>
      <c r="M52" s="681"/>
    </row>
    <row r="53" spans="1:19" ht="13.5" thickBot="1">
      <c r="A53" s="1573"/>
      <c r="B53" s="709" t="s">
        <v>3867</v>
      </c>
      <c r="C53" s="709"/>
      <c r="D53" s="767">
        <f>SUM(D45:D52)</f>
        <v>67504259.100000009</v>
      </c>
      <c r="E53" s="948"/>
      <c r="F53" s="948"/>
      <c r="G53" s="708"/>
      <c r="H53" s="710">
        <f>SUM(H45:H52)</f>
        <v>90739349.000000015</v>
      </c>
      <c r="I53" s="655"/>
      <c r="J53" s="1439"/>
      <c r="K53" s="655"/>
      <c r="L53" s="710">
        <f>SUM(L45:L51)</f>
        <v>22939909.469999999</v>
      </c>
      <c r="M53" s="681"/>
    </row>
    <row r="54" spans="1:19" ht="13.5" thickTop="1">
      <c r="A54" s="1573"/>
      <c r="B54" s="670"/>
      <c r="C54" s="670"/>
      <c r="D54" s="655"/>
      <c r="E54" s="685"/>
      <c r="F54" s="685"/>
      <c r="G54" s="670"/>
      <c r="H54" s="655"/>
      <c r="I54" s="655"/>
      <c r="J54" s="1439"/>
      <c r="K54" s="655"/>
      <c r="L54" s="655"/>
      <c r="M54" s="681"/>
    </row>
    <row r="55" spans="1:19" s="670" customFormat="1">
      <c r="A55" s="1573"/>
      <c r="B55" s="670" t="s">
        <v>2234</v>
      </c>
      <c r="D55" s="655">
        <v>18685963.120000001</v>
      </c>
      <c r="E55" s="685"/>
      <c r="F55" s="685"/>
      <c r="H55" s="655">
        <v>12780226</v>
      </c>
      <c r="I55" s="655"/>
      <c r="J55" s="1439"/>
      <c r="K55" s="655"/>
      <c r="L55" s="655">
        <v>-5542919</v>
      </c>
      <c r="M55" s="681"/>
      <c r="N55" s="685"/>
      <c r="O55" s="685"/>
      <c r="P55" s="685"/>
      <c r="Q55" s="685">
        <f>70495548-70452450.8</f>
        <v>43097.20000000298</v>
      </c>
      <c r="R55" s="685"/>
      <c r="S55" s="685"/>
    </row>
    <row r="56" spans="1:19" s="670" customFormat="1" ht="25.5">
      <c r="A56" s="1573"/>
      <c r="B56" s="708" t="s">
        <v>505</v>
      </c>
      <c r="D56" s="655">
        <v>320</v>
      </c>
      <c r="E56" s="685"/>
      <c r="F56" s="685"/>
      <c r="H56" s="655">
        <v>320</v>
      </c>
      <c r="I56" s="655"/>
      <c r="J56" s="1439"/>
      <c r="K56" s="655"/>
      <c r="L56" s="655">
        <v>-320</v>
      </c>
      <c r="M56" s="681"/>
      <c r="N56" s="685"/>
      <c r="O56" s="685">
        <f>43893309-28483149</f>
        <v>15410160</v>
      </c>
      <c r="P56" s="685"/>
      <c r="Q56" s="685"/>
      <c r="R56" s="685"/>
      <c r="S56" s="685"/>
    </row>
    <row r="57" spans="1:19" s="670" customFormat="1" ht="13.5" thickBot="1">
      <c r="A57" s="1573"/>
      <c r="B57" s="709" t="s">
        <v>507</v>
      </c>
      <c r="D57" s="710">
        <f>SUM(D53:D56)</f>
        <v>86190542.220000014</v>
      </c>
      <c r="E57" s="685"/>
      <c r="F57" s="685"/>
      <c r="H57" s="710">
        <f>SUM(H53:H56)</f>
        <v>103519895.00000001</v>
      </c>
      <c r="I57" s="655"/>
      <c r="J57" s="1439"/>
      <c r="K57" s="655"/>
      <c r="L57" s="710">
        <f>SUM(L53:L56)</f>
        <v>17396670.469999999</v>
      </c>
      <c r="M57" s="681"/>
      <c r="N57" s="685"/>
      <c r="O57" s="685"/>
      <c r="P57" s="685"/>
      <c r="Q57" s="685"/>
      <c r="R57" s="685"/>
      <c r="S57" s="685"/>
    </row>
    <row r="58" spans="1:19" ht="13.5" thickTop="1">
      <c r="A58" s="1569"/>
      <c r="B58" s="699"/>
      <c r="C58" s="699"/>
      <c r="D58" s="700"/>
      <c r="E58" s="918"/>
      <c r="F58" s="918"/>
      <c r="G58" s="699"/>
      <c r="H58" s="700"/>
      <c r="I58" s="700"/>
      <c r="J58" s="1570"/>
      <c r="K58" s="700"/>
      <c r="L58" s="700"/>
      <c r="M58" s="702"/>
      <c r="O58" s="655">
        <f>O35-O52</f>
        <v>0</v>
      </c>
    </row>
    <row r="59" spans="1:19">
      <c r="A59" s="1571"/>
      <c r="B59" s="677"/>
      <c r="C59" s="677"/>
      <c r="D59" s="676"/>
      <c r="E59" s="919"/>
      <c r="F59" s="919"/>
      <c r="G59" s="677"/>
      <c r="H59" s="676"/>
      <c r="I59" s="676"/>
      <c r="J59" s="1572"/>
      <c r="K59" s="676"/>
      <c r="L59" s="676"/>
      <c r="M59" s="679"/>
    </row>
    <row r="60" spans="1:19">
      <c r="A60" s="1568" t="s">
        <v>709</v>
      </c>
      <c r="B60" s="709" t="s">
        <v>508</v>
      </c>
      <c r="C60" s="709"/>
      <c r="D60" s="711"/>
      <c r="E60" s="948"/>
      <c r="F60" s="948"/>
      <c r="G60" s="670"/>
      <c r="H60" s="655"/>
      <c r="I60" s="655"/>
      <c r="J60" s="1439"/>
      <c r="K60" s="655"/>
      <c r="L60" s="655"/>
      <c r="M60" s="681"/>
    </row>
    <row r="61" spans="1:19">
      <c r="A61" s="1573"/>
      <c r="B61" s="708"/>
      <c r="C61" s="708"/>
      <c r="D61" s="715"/>
      <c r="E61" s="951"/>
      <c r="F61" s="951"/>
      <c r="G61" s="949"/>
      <c r="H61" s="676"/>
      <c r="I61" s="678"/>
      <c r="J61" s="1439"/>
      <c r="K61" s="676"/>
      <c r="L61" s="676"/>
      <c r="M61" s="679"/>
      <c r="N61" s="735" t="s">
        <v>3360</v>
      </c>
    </row>
    <row r="62" spans="1:19">
      <c r="A62" s="1573"/>
      <c r="B62" s="708" t="s">
        <v>509</v>
      </c>
      <c r="C62" s="708"/>
      <c r="D62" s="715">
        <f>'Appendix A'!K30</f>
        <v>18544962.289999999</v>
      </c>
      <c r="E62" s="951"/>
      <c r="F62" s="951"/>
      <c r="G62" s="940"/>
      <c r="H62" s="658">
        <v>19439546.739999998</v>
      </c>
      <c r="I62" s="680"/>
      <c r="J62" s="1439"/>
      <c r="K62" s="655"/>
      <c r="L62" s="658">
        <v>8998646</v>
      </c>
      <c r="M62" s="681"/>
      <c r="N62" s="735">
        <f>D62-H62</f>
        <v>-894584.44999999925</v>
      </c>
    </row>
    <row r="63" spans="1:19">
      <c r="A63" s="1573"/>
      <c r="B63" s="708" t="s">
        <v>742</v>
      </c>
      <c r="C63" s="708"/>
      <c r="D63" s="716">
        <v>950592.37</v>
      </c>
      <c r="E63" s="951"/>
      <c r="F63" s="951"/>
      <c r="G63" s="940"/>
      <c r="H63" s="482">
        <v>2190279</v>
      </c>
      <c r="I63" s="680"/>
      <c r="J63" s="1439"/>
      <c r="K63" s="655"/>
      <c r="L63" s="482">
        <v>2236682</v>
      </c>
      <c r="M63" s="681"/>
      <c r="N63" s="735">
        <f>D63-H63</f>
        <v>-1239686.6299999999</v>
      </c>
    </row>
    <row r="64" spans="1:19">
      <c r="A64" s="1573"/>
      <c r="B64" s="709" t="s">
        <v>510</v>
      </c>
      <c r="C64" s="709"/>
      <c r="D64" s="954">
        <f>SUM(D62:D63)</f>
        <v>19495554.66</v>
      </c>
      <c r="E64" s="948"/>
      <c r="F64" s="948"/>
      <c r="G64" s="940"/>
      <c r="H64" s="687">
        <f>SUM(H62:H63)</f>
        <v>21629825.739999998</v>
      </c>
      <c r="I64" s="680"/>
      <c r="J64" s="1439"/>
      <c r="K64" s="655"/>
      <c r="L64" s="687">
        <f>SUM(L62:L63)</f>
        <v>11235328</v>
      </c>
      <c r="M64" s="681"/>
    </row>
    <row r="65" spans="1:14" ht="25.5">
      <c r="A65" s="1573"/>
      <c r="B65" s="708" t="s">
        <v>511</v>
      </c>
      <c r="C65" s="708"/>
      <c r="D65" s="716">
        <v>-4421075.92</v>
      </c>
      <c r="E65" s="951"/>
      <c r="F65" s="951"/>
      <c r="G65" s="940"/>
      <c r="H65" s="655">
        <v>-3205970.88</v>
      </c>
      <c r="I65" s="680"/>
      <c r="J65" s="1439"/>
      <c r="K65" s="655"/>
      <c r="L65" s="655">
        <v>-1902281</v>
      </c>
      <c r="M65" s="681"/>
      <c r="N65" s="735" t="s">
        <v>45</v>
      </c>
    </row>
    <row r="66" spans="1:14">
      <c r="A66" s="1573"/>
      <c r="B66" s="708"/>
      <c r="C66" s="708"/>
      <c r="D66" s="716"/>
      <c r="E66" s="951"/>
      <c r="F66" s="951"/>
      <c r="G66" s="940"/>
      <c r="H66" s="655"/>
      <c r="I66" s="680"/>
      <c r="J66" s="1439"/>
      <c r="K66" s="655"/>
      <c r="L66" s="655"/>
      <c r="M66" s="681"/>
    </row>
    <row r="67" spans="1:14">
      <c r="A67" s="1573"/>
      <c r="B67" s="709" t="s">
        <v>512</v>
      </c>
      <c r="C67" s="709"/>
      <c r="D67" s="687">
        <f>D65+D64</f>
        <v>15074478.74</v>
      </c>
      <c r="E67" s="948"/>
      <c r="F67" s="948"/>
      <c r="G67" s="940"/>
      <c r="H67" s="687">
        <f>H65+H64</f>
        <v>18423854.859999999</v>
      </c>
      <c r="I67" s="680"/>
      <c r="J67" s="1439"/>
      <c r="K67" s="655"/>
      <c r="L67" s="687">
        <f>L65+L64</f>
        <v>9333047</v>
      </c>
      <c r="M67" s="681"/>
      <c r="N67" s="735">
        <f>D67-H67</f>
        <v>-3349376.1199999992</v>
      </c>
    </row>
    <row r="68" spans="1:14">
      <c r="A68" s="1573"/>
      <c r="B68" s="670"/>
      <c r="C68" s="670"/>
      <c r="D68" s="482"/>
      <c r="E68" s="685"/>
      <c r="F68" s="685"/>
      <c r="G68" s="944"/>
      <c r="H68" s="700"/>
      <c r="I68" s="701"/>
      <c r="J68" s="1439"/>
      <c r="K68" s="700"/>
      <c r="L68" s="700"/>
      <c r="M68" s="702"/>
    </row>
    <row r="69" spans="1:14">
      <c r="A69" s="1573"/>
      <c r="B69" s="670"/>
      <c r="C69" s="670"/>
      <c r="D69" s="655"/>
      <c r="E69" s="685"/>
      <c r="F69" s="685"/>
      <c r="G69" s="670"/>
      <c r="H69" s="655"/>
      <c r="I69" s="655"/>
      <c r="J69" s="1439"/>
      <c r="K69" s="655"/>
      <c r="L69" s="655"/>
      <c r="M69" s="681"/>
    </row>
    <row r="70" spans="1:14" ht="25.5">
      <c r="A70" s="1573"/>
      <c r="B70" s="615" t="s">
        <v>513</v>
      </c>
      <c r="C70" s="615"/>
      <c r="D70" s="719"/>
      <c r="E70" s="955"/>
      <c r="F70" s="955"/>
      <c r="G70" s="1332"/>
      <c r="H70" s="726"/>
      <c r="I70" s="726"/>
      <c r="J70" s="1574"/>
      <c r="K70" s="726"/>
      <c r="L70" s="726"/>
      <c r="M70" s="1423"/>
    </row>
    <row r="71" spans="1:14">
      <c r="A71" s="1573"/>
      <c r="B71" s="615"/>
      <c r="C71" s="615"/>
      <c r="D71" s="719"/>
      <c r="E71" s="955"/>
      <c r="F71" s="955"/>
      <c r="G71" s="1332"/>
      <c r="H71" s="726"/>
      <c r="I71" s="726"/>
      <c r="J71" s="1574"/>
      <c r="K71" s="726"/>
      <c r="L71" s="726"/>
      <c r="M71" s="1423"/>
    </row>
    <row r="72" spans="1:14">
      <c r="A72" s="1573"/>
      <c r="B72" s="794" t="s">
        <v>2997</v>
      </c>
      <c r="C72" s="794"/>
      <c r="D72" s="795"/>
      <c r="E72" s="878"/>
      <c r="F72" s="878"/>
      <c r="G72" s="786"/>
      <c r="H72" s="786"/>
      <c r="I72" s="786"/>
      <c r="J72" s="1575"/>
      <c r="K72" s="957"/>
      <c r="L72" s="956"/>
      <c r="M72" s="788"/>
      <c r="N72" s="785" t="s">
        <v>45</v>
      </c>
    </row>
    <row r="73" spans="1:14">
      <c r="A73" s="1573"/>
      <c r="B73" s="786"/>
      <c r="C73" s="786"/>
      <c r="D73" s="787"/>
      <c r="E73" s="695"/>
      <c r="F73" s="695"/>
      <c r="G73" s="786"/>
      <c r="H73" s="786"/>
      <c r="I73" s="786"/>
      <c r="J73" s="1575"/>
      <c r="K73" s="957"/>
      <c r="L73" s="956"/>
      <c r="M73" s="788"/>
      <c r="N73" s="785" t="s">
        <v>45</v>
      </c>
    </row>
    <row r="74" spans="1:14" ht="63.75">
      <c r="A74" s="1573"/>
      <c r="B74" s="696" t="s">
        <v>3758</v>
      </c>
      <c r="C74" s="696"/>
      <c r="D74" s="697"/>
      <c r="E74" s="958"/>
      <c r="F74" s="958"/>
      <c r="G74" s="786"/>
      <c r="H74" s="786"/>
      <c r="I74" s="786"/>
      <c r="J74" s="1575"/>
      <c r="K74" s="957"/>
      <c r="L74" s="956"/>
      <c r="M74" s="788"/>
      <c r="N74" s="785"/>
    </row>
    <row r="75" spans="1:14">
      <c r="A75" s="1573"/>
      <c r="B75" s="786"/>
      <c r="C75" s="786"/>
      <c r="D75" s="787"/>
      <c r="E75" s="695"/>
      <c r="F75" s="695"/>
      <c r="G75" s="786"/>
      <c r="H75" s="786"/>
      <c r="I75" s="786"/>
      <c r="J75" s="1575"/>
      <c r="K75" s="957"/>
      <c r="L75" s="956"/>
      <c r="M75" s="788"/>
      <c r="N75" s="785"/>
    </row>
    <row r="76" spans="1:14" ht="25.5">
      <c r="A76" s="1573"/>
      <c r="B76" s="696" t="s">
        <v>2998</v>
      </c>
      <c r="C76" s="696"/>
      <c r="D76" s="697"/>
      <c r="E76" s="958"/>
      <c r="F76" s="958"/>
      <c r="G76" s="786"/>
      <c r="H76" s="786"/>
      <c r="I76" s="786"/>
      <c r="J76" s="1575"/>
      <c r="K76" s="957"/>
      <c r="L76" s="956"/>
      <c r="M76" s="788"/>
      <c r="N76" s="785"/>
    </row>
    <row r="77" spans="1:14">
      <c r="A77" s="1573"/>
      <c r="B77" s="786"/>
      <c r="C77" s="786"/>
      <c r="D77" s="787"/>
      <c r="E77" s="695"/>
      <c r="F77" s="695"/>
      <c r="G77" s="786"/>
      <c r="H77" s="786"/>
      <c r="I77" s="786"/>
      <c r="J77" s="1575"/>
      <c r="K77" s="957"/>
      <c r="L77" s="956"/>
      <c r="M77" s="788"/>
      <c r="N77" s="785"/>
    </row>
    <row r="78" spans="1:14" ht="27" customHeight="1">
      <c r="A78" s="1573"/>
      <c r="B78" s="786"/>
      <c r="C78" s="786"/>
      <c r="D78" s="959" t="s">
        <v>3868</v>
      </c>
      <c r="E78" s="960"/>
      <c r="F78" s="959" t="s">
        <v>2999</v>
      </c>
      <c r="G78" s="959"/>
      <c r="H78" s="961" t="s">
        <v>3000</v>
      </c>
      <c r="I78" s="961"/>
      <c r="J78" s="1576" t="s">
        <v>1740</v>
      </c>
      <c r="K78" s="959"/>
      <c r="L78" s="961"/>
      <c r="M78" s="962"/>
      <c r="N78" s="785"/>
    </row>
    <row r="79" spans="1:14">
      <c r="A79" s="1573"/>
      <c r="B79" s="786"/>
      <c r="C79" s="786"/>
      <c r="D79" s="959" t="s">
        <v>2422</v>
      </c>
      <c r="E79" s="960"/>
      <c r="F79" s="959" t="s">
        <v>2422</v>
      </c>
      <c r="G79" s="963"/>
      <c r="H79" s="959" t="s">
        <v>2422</v>
      </c>
      <c r="I79" s="960"/>
      <c r="J79" s="1577" t="s">
        <v>2422</v>
      </c>
      <c r="K79" s="963"/>
      <c r="L79" s="959"/>
      <c r="M79" s="1424"/>
      <c r="N79" s="785"/>
    </row>
    <row r="80" spans="1:14">
      <c r="A80" s="1573"/>
      <c r="B80" s="696">
        <v>2010</v>
      </c>
      <c r="C80" s="696"/>
      <c r="D80" s="786"/>
      <c r="E80" s="786"/>
      <c r="F80" s="956"/>
      <c r="G80" s="957"/>
      <c r="H80" s="956"/>
      <c r="I80" s="786"/>
      <c r="J80" s="1578"/>
      <c r="K80" s="957"/>
      <c r="L80" s="956"/>
      <c r="M80" s="788"/>
      <c r="N80" s="785"/>
    </row>
    <row r="81" spans="1:14">
      <c r="A81" s="1573"/>
      <c r="B81" s="786"/>
      <c r="C81" s="786"/>
      <c r="D81" s="786"/>
      <c r="E81" s="786"/>
      <c r="F81" s="956"/>
      <c r="G81" s="957"/>
      <c r="H81" s="956"/>
      <c r="I81" s="786"/>
      <c r="J81" s="1578"/>
      <c r="K81" s="957"/>
      <c r="L81" s="956"/>
      <c r="M81" s="788"/>
      <c r="N81" s="785"/>
    </row>
    <row r="82" spans="1:14">
      <c r="A82" s="1573"/>
      <c r="B82" s="696" t="s">
        <v>3001</v>
      </c>
      <c r="C82" s="696"/>
      <c r="D82" s="787">
        <v>1006618.7</v>
      </c>
      <c r="E82" s="787"/>
      <c r="F82" s="787">
        <v>0</v>
      </c>
      <c r="G82" s="787"/>
      <c r="H82" s="787"/>
      <c r="I82" s="787"/>
      <c r="J82" s="1538">
        <f>SUM(D82:F82)</f>
        <v>1006618.7</v>
      </c>
      <c r="K82" s="787"/>
      <c r="L82" s="787"/>
      <c r="M82" s="964"/>
      <c r="N82" s="785"/>
    </row>
    <row r="83" spans="1:14">
      <c r="A83" s="1573"/>
      <c r="B83" s="696" t="s">
        <v>2470</v>
      </c>
      <c r="C83" s="696"/>
      <c r="D83" s="787">
        <v>56026.36</v>
      </c>
      <c r="E83" s="787"/>
      <c r="F83" s="787">
        <v>0</v>
      </c>
      <c r="G83" s="787"/>
      <c r="H83" s="787"/>
      <c r="I83" s="787"/>
      <c r="J83" s="1538">
        <f>SUM(D83:F83)</f>
        <v>56026.36</v>
      </c>
      <c r="K83" s="787"/>
      <c r="L83" s="787"/>
      <c r="M83" s="964"/>
      <c r="N83" s="785"/>
    </row>
    <row r="84" spans="1:14" ht="13.5" thickBot="1">
      <c r="A84" s="1573"/>
      <c r="B84" s="696" t="s">
        <v>3002</v>
      </c>
      <c r="C84" s="696"/>
      <c r="D84" s="965">
        <f>D82-D83</f>
        <v>950592.34</v>
      </c>
      <c r="E84" s="787"/>
      <c r="F84" s="965">
        <f>F82-F83</f>
        <v>0</v>
      </c>
      <c r="G84" s="787"/>
      <c r="H84" s="965">
        <f>H82-H83</f>
        <v>0</v>
      </c>
      <c r="I84" s="787"/>
      <c r="J84" s="1579">
        <f>J82-J83</f>
        <v>950592.34</v>
      </c>
      <c r="K84" s="787"/>
      <c r="L84" s="787"/>
      <c r="M84" s="964"/>
      <c r="N84" s="785"/>
    </row>
    <row r="85" spans="1:14" ht="13.5" thickTop="1">
      <c r="A85" s="1573"/>
      <c r="B85" s="786"/>
      <c r="C85" s="786"/>
      <c r="D85" s="787"/>
      <c r="E85" s="787"/>
      <c r="F85" s="787"/>
      <c r="G85" s="787"/>
      <c r="H85" s="787"/>
      <c r="I85" s="787"/>
      <c r="J85" s="1538"/>
      <c r="K85" s="787"/>
      <c r="L85" s="787"/>
      <c r="M85" s="964"/>
      <c r="N85" s="785"/>
    </row>
    <row r="86" spans="1:14">
      <c r="A86" s="1573"/>
      <c r="B86" s="696">
        <v>2009</v>
      </c>
      <c r="C86" s="696"/>
      <c r="D86" s="787"/>
      <c r="E86" s="787"/>
      <c r="F86" s="787"/>
      <c r="G86" s="787"/>
      <c r="H86" s="787"/>
      <c r="I86" s="787"/>
      <c r="J86" s="1538"/>
      <c r="K86" s="787"/>
      <c r="L86" s="787"/>
      <c r="M86" s="964"/>
      <c r="N86" s="785"/>
    </row>
    <row r="87" spans="1:14">
      <c r="A87" s="1573"/>
      <c r="B87" s="786"/>
      <c r="C87" s="786"/>
      <c r="D87" s="787"/>
      <c r="E87" s="787"/>
      <c r="F87" s="787"/>
      <c r="G87" s="787"/>
      <c r="H87" s="787"/>
      <c r="I87" s="787"/>
      <c r="J87" s="1538"/>
      <c r="K87" s="787"/>
      <c r="L87" s="787"/>
      <c r="M87" s="964"/>
      <c r="N87" s="785"/>
    </row>
    <row r="88" spans="1:14">
      <c r="A88" s="1573"/>
      <c r="B88" s="696" t="s">
        <v>3001</v>
      </c>
      <c r="C88" s="696"/>
      <c r="D88" s="787">
        <v>1326187.93</v>
      </c>
      <c r="E88" s="787"/>
      <c r="F88" s="787">
        <v>882907.82</v>
      </c>
      <c r="G88" s="787"/>
      <c r="H88" s="787"/>
      <c r="I88" s="787"/>
      <c r="J88" s="1538">
        <f>SUM(D88:F88)</f>
        <v>2209095.75</v>
      </c>
      <c r="K88" s="787"/>
      <c r="L88" s="787"/>
      <c r="M88" s="964"/>
      <c r="N88" s="785"/>
    </row>
    <row r="89" spans="1:14">
      <c r="A89" s="1573"/>
      <c r="B89" s="696" t="s">
        <v>3704</v>
      </c>
      <c r="C89" s="696"/>
      <c r="D89" s="787">
        <v>223953.18</v>
      </c>
      <c r="E89" s="787"/>
      <c r="F89" s="787">
        <v>49134.59</v>
      </c>
      <c r="G89" s="787"/>
      <c r="H89" s="787"/>
      <c r="I89" s="787"/>
      <c r="J89" s="1538">
        <f>SUM(D89:F89)</f>
        <v>273087.77</v>
      </c>
      <c r="K89" s="787"/>
      <c r="L89" s="787"/>
      <c r="M89" s="964"/>
      <c r="N89" s="785"/>
    </row>
    <row r="90" spans="1:14">
      <c r="A90" s="1573"/>
      <c r="B90" s="696" t="s">
        <v>3002</v>
      </c>
      <c r="C90" s="696"/>
      <c r="D90" s="867">
        <v>1102234.75</v>
      </c>
      <c r="E90" s="787"/>
      <c r="F90" s="867">
        <v>833773.23</v>
      </c>
      <c r="G90" s="787"/>
      <c r="H90" s="867"/>
      <c r="I90" s="787"/>
      <c r="J90" s="1580">
        <f>SUM(D90:F90)</f>
        <v>1936007.98</v>
      </c>
      <c r="K90" s="787"/>
      <c r="L90" s="787"/>
      <c r="M90" s="964"/>
      <c r="N90" s="785"/>
    </row>
    <row r="91" spans="1:14">
      <c r="A91" s="1573"/>
      <c r="B91" s="696" t="s">
        <v>3705</v>
      </c>
      <c r="C91" s="696"/>
      <c r="D91" s="787">
        <v>144764.96</v>
      </c>
      <c r="E91" s="787"/>
      <c r="F91" s="787">
        <v>109505.84</v>
      </c>
      <c r="G91" s="787"/>
      <c r="H91" s="787"/>
      <c r="I91" s="787"/>
      <c r="J91" s="1538">
        <f>SUM(D91:F91)</f>
        <v>254270.8</v>
      </c>
      <c r="K91" s="787"/>
      <c r="L91" s="787"/>
      <c r="M91" s="964"/>
      <c r="N91" s="785"/>
    </row>
    <row r="92" spans="1:14" ht="13.5" thickBot="1">
      <c r="A92" s="1573"/>
      <c r="B92" s="696" t="s">
        <v>3002</v>
      </c>
      <c r="C92" s="696"/>
      <c r="D92" s="965">
        <f>SUM(D90:D91)</f>
        <v>1246999.71</v>
      </c>
      <c r="E92" s="787"/>
      <c r="F92" s="965">
        <f>SUM(F90:F91)</f>
        <v>943279.07</v>
      </c>
      <c r="G92" s="787"/>
      <c r="H92" s="965">
        <f>H88-H91</f>
        <v>0</v>
      </c>
      <c r="I92" s="787"/>
      <c r="J92" s="1579">
        <f>SUM(J90:J91)</f>
        <v>2190278.7799999998</v>
      </c>
      <c r="K92" s="787"/>
      <c r="L92" s="787"/>
      <c r="M92" s="964"/>
      <c r="N92" s="785"/>
    </row>
    <row r="93" spans="1:14" ht="13.5" thickTop="1">
      <c r="A93" s="1573"/>
      <c r="B93" s="786"/>
      <c r="C93" s="786"/>
      <c r="D93" s="787"/>
      <c r="E93" s="695"/>
      <c r="F93" s="695"/>
      <c r="G93" s="786"/>
      <c r="H93" s="787"/>
      <c r="I93" s="787"/>
      <c r="J93" s="1538"/>
      <c r="K93" s="787"/>
      <c r="L93" s="787"/>
      <c r="M93" s="964"/>
      <c r="N93" s="785"/>
    </row>
    <row r="94" spans="1:14" ht="89.25">
      <c r="A94" s="1573"/>
      <c r="B94" s="898" t="s">
        <v>3003</v>
      </c>
      <c r="C94" s="898"/>
      <c r="D94" s="899"/>
      <c r="E94" s="903"/>
      <c r="F94" s="903"/>
      <c r="G94" s="786"/>
      <c r="H94" s="786"/>
      <c r="I94" s="786"/>
      <c r="J94" s="1575"/>
      <c r="K94" s="957"/>
      <c r="L94" s="956"/>
      <c r="M94" s="788"/>
      <c r="N94" s="785"/>
    </row>
    <row r="95" spans="1:14">
      <c r="A95" s="1569"/>
      <c r="B95" s="699"/>
      <c r="C95" s="699"/>
      <c r="D95" s="700"/>
      <c r="E95" s="918"/>
      <c r="F95" s="918"/>
      <c r="G95" s="699"/>
      <c r="H95" s="700"/>
      <c r="I95" s="700"/>
      <c r="J95" s="1570"/>
      <c r="K95" s="700"/>
      <c r="L95" s="700"/>
      <c r="M95" s="702"/>
    </row>
    <row r="96" spans="1:14">
      <c r="A96" s="1571"/>
      <c r="B96" s="677"/>
      <c r="C96" s="677"/>
      <c r="D96" s="676"/>
      <c r="E96" s="919"/>
      <c r="F96" s="919"/>
      <c r="G96" s="677"/>
      <c r="H96" s="676"/>
      <c r="I96" s="676"/>
      <c r="J96" s="1572"/>
      <c r="K96" s="676"/>
      <c r="L96" s="676"/>
      <c r="M96" s="679"/>
    </row>
    <row r="97" spans="1:19">
      <c r="A97" s="1568" t="s">
        <v>710</v>
      </c>
      <c r="B97" s="709" t="s">
        <v>514</v>
      </c>
      <c r="C97" s="709"/>
      <c r="D97" s="711"/>
      <c r="E97" s="948"/>
      <c r="F97" s="948"/>
      <c r="G97" s="708"/>
      <c r="H97" s="713"/>
      <c r="I97" s="655"/>
      <c r="J97" s="1439"/>
      <c r="K97" s="655"/>
      <c r="L97" s="655"/>
      <c r="M97" s="681"/>
    </row>
    <row r="98" spans="1:19">
      <c r="A98" s="1573"/>
      <c r="B98" s="708"/>
      <c r="C98" s="708"/>
      <c r="D98" s="713"/>
      <c r="E98" s="951"/>
      <c r="F98" s="951"/>
      <c r="G98" s="708"/>
      <c r="H98" s="713"/>
      <c r="I98" s="655"/>
      <c r="J98" s="1439"/>
      <c r="K98" s="655"/>
      <c r="L98" s="655"/>
      <c r="M98" s="681"/>
    </row>
    <row r="99" spans="1:19">
      <c r="A99" s="1573"/>
      <c r="B99" s="708" t="s">
        <v>2147</v>
      </c>
      <c r="C99" s="708"/>
      <c r="D99" s="713" t="s">
        <v>45</v>
      </c>
      <c r="E99" s="951"/>
      <c r="F99" s="951"/>
      <c r="G99" s="708"/>
      <c r="H99" s="713"/>
      <c r="I99" s="655"/>
      <c r="J99" s="1439"/>
      <c r="K99" s="655"/>
      <c r="L99" s="655"/>
      <c r="M99" s="681"/>
    </row>
    <row r="100" spans="1:19">
      <c r="A100" s="1573"/>
      <c r="B100" s="708"/>
      <c r="C100" s="708"/>
      <c r="D100" s="713"/>
      <c r="E100" s="951"/>
      <c r="F100" s="951"/>
      <c r="G100" s="708"/>
      <c r="H100" s="713"/>
      <c r="I100" s="655"/>
      <c r="J100" s="1439"/>
      <c r="K100" s="655"/>
      <c r="L100" s="655"/>
      <c r="M100" s="681"/>
    </row>
    <row r="101" spans="1:19">
      <c r="A101" s="1573"/>
      <c r="B101" s="708" t="s">
        <v>2147</v>
      </c>
      <c r="C101" s="708"/>
      <c r="D101" s="715">
        <f>H105</f>
        <v>1830953.44</v>
      </c>
      <c r="E101" s="951"/>
      <c r="F101" s="951"/>
      <c r="G101" s="708"/>
      <c r="H101" s="715">
        <f>L105</f>
        <v>1561547</v>
      </c>
      <c r="I101" s="655"/>
      <c r="J101" s="1439"/>
      <c r="K101" s="655"/>
      <c r="L101" s="658"/>
      <c r="M101" s="681"/>
    </row>
    <row r="102" spans="1:19">
      <c r="A102" s="1573"/>
      <c r="B102" s="708" t="s">
        <v>1114</v>
      </c>
      <c r="C102" s="708"/>
      <c r="D102" s="716">
        <v>665485.49</v>
      </c>
      <c r="E102" s="951"/>
      <c r="F102" s="951"/>
      <c r="G102" s="708"/>
      <c r="H102" s="716">
        <v>0</v>
      </c>
      <c r="I102" s="655"/>
      <c r="J102" s="1439"/>
      <c r="K102" s="655"/>
      <c r="L102" s="659">
        <v>1063238</v>
      </c>
      <c r="M102" s="681"/>
      <c r="N102" s="735" t="s">
        <v>45</v>
      </c>
    </row>
    <row r="103" spans="1:19">
      <c r="A103" s="1573"/>
      <c r="B103" s="708" t="s">
        <v>515</v>
      </c>
      <c r="C103" s="708"/>
      <c r="D103" s="717">
        <v>303322.78000000003</v>
      </c>
      <c r="E103" s="951"/>
      <c r="F103" s="951"/>
      <c r="G103" s="708"/>
      <c r="H103" s="717">
        <v>269406.44</v>
      </c>
      <c r="I103" s="655"/>
      <c r="J103" s="1439"/>
      <c r="K103" s="655"/>
      <c r="L103" s="482">
        <v>498309</v>
      </c>
      <c r="M103" s="681"/>
      <c r="N103" s="735" t="s">
        <v>45</v>
      </c>
    </row>
    <row r="104" spans="1:19">
      <c r="A104" s="1573"/>
      <c r="B104" s="1336"/>
      <c r="C104" s="1336"/>
      <c r="D104" s="718"/>
      <c r="E104" s="966"/>
      <c r="F104" s="966"/>
      <c r="G104" s="1336"/>
      <c r="H104" s="713"/>
      <c r="I104" s="655"/>
      <c r="J104" s="1439"/>
      <c r="K104" s="655"/>
      <c r="L104" s="655"/>
      <c r="M104" s="681"/>
      <c r="N104" s="735" t="s">
        <v>3361</v>
      </c>
    </row>
    <row r="105" spans="1:19" ht="13.5" thickBot="1">
      <c r="A105" s="1573"/>
      <c r="B105" s="709" t="s">
        <v>516</v>
      </c>
      <c r="C105" s="709"/>
      <c r="D105" s="767">
        <f>SUM(D99:D104)</f>
        <v>2799761.71</v>
      </c>
      <c r="E105" s="948"/>
      <c r="F105" s="948"/>
      <c r="G105" s="709"/>
      <c r="H105" s="767">
        <f>SUM(H99:H104)</f>
        <v>1830953.44</v>
      </c>
      <c r="I105" s="683"/>
      <c r="J105" s="1446"/>
      <c r="K105" s="683"/>
      <c r="L105" s="767">
        <f>SUM(L102:L103)</f>
        <v>1561547</v>
      </c>
      <c r="M105" s="681"/>
      <c r="N105" s="735">
        <f>D105-H105</f>
        <v>968808.27</v>
      </c>
    </row>
    <row r="106" spans="1:19" ht="13.5" thickTop="1">
      <c r="A106" s="1573"/>
      <c r="B106" s="709"/>
      <c r="C106" s="709"/>
      <c r="D106" s="711"/>
      <c r="E106" s="948"/>
      <c r="F106" s="948"/>
      <c r="G106" s="709"/>
      <c r="H106" s="713"/>
      <c r="I106" s="655"/>
      <c r="J106" s="1439"/>
      <c r="K106" s="655"/>
      <c r="L106" s="655"/>
      <c r="M106" s="681"/>
    </row>
    <row r="107" spans="1:19">
      <c r="A107" s="1573"/>
      <c r="B107" s="708"/>
      <c r="C107" s="708"/>
      <c r="D107" s="713"/>
      <c r="E107" s="951"/>
      <c r="F107" s="951"/>
      <c r="G107" s="708"/>
      <c r="H107" s="713"/>
      <c r="I107" s="655"/>
      <c r="J107" s="1439"/>
      <c r="K107" s="655"/>
      <c r="L107" s="655"/>
      <c r="M107" s="681"/>
    </row>
    <row r="108" spans="1:19">
      <c r="A108" s="1573"/>
      <c r="B108" s="709"/>
      <c r="C108" s="709"/>
      <c r="D108" s="711"/>
      <c r="E108" s="948"/>
      <c r="F108" s="948"/>
      <c r="G108" s="709"/>
      <c r="H108" s="713"/>
      <c r="I108" s="655"/>
      <c r="J108" s="1439"/>
      <c r="K108" s="655"/>
      <c r="L108" s="655"/>
      <c r="M108" s="681"/>
      <c r="N108" s="735">
        <v>0</v>
      </c>
    </row>
    <row r="109" spans="1:19" s="707" customFormat="1">
      <c r="A109" s="1573"/>
      <c r="B109" s="709" t="s">
        <v>3594</v>
      </c>
      <c r="C109" s="709"/>
      <c r="D109" s="954">
        <v>1175630</v>
      </c>
      <c r="E109" s="948"/>
      <c r="F109" s="948"/>
      <c r="G109" s="709"/>
      <c r="H109" s="954">
        <v>733694</v>
      </c>
      <c r="I109" s="683"/>
      <c r="J109" s="1446"/>
      <c r="K109" s="683"/>
      <c r="L109" s="687">
        <v>659156</v>
      </c>
      <c r="M109" s="689"/>
      <c r="N109" s="922" t="s">
        <v>45</v>
      </c>
      <c r="O109" s="922"/>
      <c r="P109" s="922"/>
      <c r="Q109" s="922"/>
      <c r="R109" s="922"/>
      <c r="S109" s="922"/>
    </row>
    <row r="110" spans="1:19">
      <c r="A110" s="1569"/>
      <c r="B110" s="699"/>
      <c r="C110" s="699"/>
      <c r="D110" s="700"/>
      <c r="E110" s="918"/>
      <c r="F110" s="918"/>
      <c r="G110" s="699"/>
      <c r="H110" s="700"/>
      <c r="I110" s="700"/>
      <c r="J110" s="1570"/>
      <c r="K110" s="700"/>
      <c r="L110" s="700"/>
      <c r="M110" s="702"/>
    </row>
    <row r="111" spans="1:19">
      <c r="A111" s="1573"/>
      <c r="B111" s="670"/>
      <c r="C111" s="670"/>
      <c r="D111" s="655"/>
      <c r="E111" s="685"/>
      <c r="F111" s="685"/>
      <c r="G111" s="670"/>
      <c r="H111" s="655"/>
      <c r="I111" s="655"/>
      <c r="J111" s="1439"/>
      <c r="K111" s="655"/>
      <c r="L111" s="655"/>
      <c r="M111" s="681"/>
    </row>
    <row r="112" spans="1:19">
      <c r="A112" s="1568" t="s">
        <v>711</v>
      </c>
      <c r="B112" s="709" t="s">
        <v>832</v>
      </c>
      <c r="C112" s="709"/>
      <c r="D112" s="683">
        <f>SUM(D114)</f>
        <v>-1847610.7100000002</v>
      </c>
      <c r="E112" s="948"/>
      <c r="F112" s="948"/>
      <c r="G112" s="670"/>
      <c r="H112" s="683">
        <f>SUM(H114)</f>
        <v>-1435291.7100000002</v>
      </c>
      <c r="I112" s="655"/>
      <c r="J112" s="1439"/>
      <c r="K112" s="655"/>
      <c r="L112" s="683">
        <f>SUM(L114)</f>
        <v>-233875.09</v>
      </c>
      <c r="M112" s="681"/>
      <c r="N112" s="735">
        <f>D112-H112</f>
        <v>-412319</v>
      </c>
    </row>
    <row r="113" spans="1:16">
      <c r="A113" s="1568"/>
      <c r="B113" s="709"/>
      <c r="C113" s="709"/>
      <c r="D113" s="711"/>
      <c r="E113" s="948"/>
      <c r="F113" s="948"/>
      <c r="G113" s="670"/>
      <c r="H113" s="655"/>
      <c r="I113" s="655"/>
      <c r="J113" s="1439"/>
      <c r="K113" s="655"/>
      <c r="L113" s="655"/>
      <c r="M113" s="681"/>
    </row>
    <row r="114" spans="1:16">
      <c r="A114" s="1573"/>
      <c r="B114" s="709" t="s">
        <v>3800</v>
      </c>
      <c r="C114" s="780"/>
      <c r="D114" s="933">
        <f>SUM(D115:D118)</f>
        <v>-1847610.7100000002</v>
      </c>
      <c r="E114" s="947"/>
      <c r="F114" s="948"/>
      <c r="G114" s="949"/>
      <c r="H114" s="933">
        <f>SUM(H115:H118)</f>
        <v>-1435291.7100000002</v>
      </c>
      <c r="I114" s="678"/>
      <c r="J114" s="1439"/>
      <c r="K114" s="676"/>
      <c r="L114" s="933">
        <f>SUM(L115:L118)</f>
        <v>-233875.09</v>
      </c>
      <c r="M114" s="679"/>
      <c r="N114" s="735">
        <f>D114-H114</f>
        <v>-412319</v>
      </c>
    </row>
    <row r="115" spans="1:16">
      <c r="A115" s="1573"/>
      <c r="B115" s="708" t="s">
        <v>833</v>
      </c>
      <c r="C115" s="778"/>
      <c r="D115" s="715">
        <f>H114</f>
        <v>-1435291.7100000002</v>
      </c>
      <c r="E115" s="967"/>
      <c r="F115" s="951"/>
      <c r="G115" s="940"/>
      <c r="H115" s="658">
        <f>L114</f>
        <v>-233875.09</v>
      </c>
      <c r="I115" s="680"/>
      <c r="J115" s="1439"/>
      <c r="K115" s="655"/>
      <c r="L115" s="658">
        <f>'main TB'!F27</f>
        <v>-31894.93</v>
      </c>
      <c r="M115" s="681"/>
    </row>
    <row r="116" spans="1:16">
      <c r="A116" s="1573"/>
      <c r="B116" s="1585" t="s">
        <v>1339</v>
      </c>
      <c r="C116" s="1586"/>
      <c r="D116" s="1587">
        <f>-1668103+1255784</f>
        <v>-412319</v>
      </c>
      <c r="E116" s="1588"/>
      <c r="F116" s="1589"/>
      <c r="G116" s="1396"/>
      <c r="H116" s="1286">
        <f>-3223927.54+1968144</f>
        <v>-1255783.54</v>
      </c>
      <c r="I116" s="680"/>
      <c r="J116" s="1581"/>
      <c r="K116" s="655"/>
      <c r="L116" s="659">
        <f>'main TB'!H27</f>
        <v>-201980.16</v>
      </c>
      <c r="M116" s="681"/>
    </row>
    <row r="117" spans="1:16">
      <c r="A117" s="1573"/>
      <c r="B117" s="708" t="s">
        <v>1061</v>
      </c>
      <c r="C117" s="778"/>
      <c r="D117" s="716">
        <v>0</v>
      </c>
      <c r="E117" s="967"/>
      <c r="F117" s="951"/>
      <c r="G117" s="940"/>
      <c r="H117" s="659"/>
      <c r="I117" s="680"/>
      <c r="J117" s="1439"/>
      <c r="K117" s="655"/>
      <c r="L117" s="659"/>
      <c r="M117" s="681"/>
    </row>
    <row r="118" spans="1:16">
      <c r="A118" s="1573"/>
      <c r="B118" s="708" t="s">
        <v>834</v>
      </c>
      <c r="C118" s="778"/>
      <c r="D118" s="717">
        <f>'main TB'!M27</f>
        <v>0</v>
      </c>
      <c r="E118" s="967"/>
      <c r="F118" s="951"/>
      <c r="G118" s="940"/>
      <c r="H118" s="482">
        <f>'main TB'!J27</f>
        <v>54366.92</v>
      </c>
      <c r="I118" s="680"/>
      <c r="J118" s="1439"/>
      <c r="K118" s="655"/>
      <c r="L118" s="482">
        <v>0</v>
      </c>
      <c r="M118" s="681"/>
    </row>
    <row r="119" spans="1:16">
      <c r="A119" s="1573"/>
      <c r="B119" s="670"/>
      <c r="C119" s="944"/>
      <c r="D119" s="700"/>
      <c r="E119" s="945"/>
      <c r="F119" s="685"/>
      <c r="G119" s="944"/>
      <c r="H119" s="667"/>
      <c r="I119" s="701"/>
      <c r="J119" s="1439"/>
      <c r="K119" s="700"/>
      <c r="L119" s="667"/>
      <c r="M119" s="702"/>
    </row>
    <row r="120" spans="1:16">
      <c r="A120" s="1573"/>
      <c r="B120" s="670"/>
      <c r="C120" s="670"/>
      <c r="D120" s="655"/>
      <c r="E120" s="685"/>
      <c r="F120" s="685"/>
      <c r="G120" s="670"/>
      <c r="H120" s="683"/>
      <c r="I120" s="655"/>
      <c r="J120" s="1439"/>
      <c r="K120" s="655"/>
      <c r="L120" s="683"/>
      <c r="M120" s="681"/>
    </row>
    <row r="121" spans="1:16">
      <c r="A121" s="1569"/>
      <c r="B121" s="699"/>
      <c r="C121" s="699"/>
      <c r="D121" s="700"/>
      <c r="E121" s="918"/>
      <c r="F121" s="918"/>
      <c r="G121" s="699"/>
      <c r="H121" s="700"/>
      <c r="I121" s="700"/>
      <c r="J121" s="1570"/>
      <c r="K121" s="700"/>
      <c r="L121" s="700"/>
      <c r="M121" s="702"/>
    </row>
    <row r="122" spans="1:16">
      <c r="A122" s="1573"/>
      <c r="B122" s="670"/>
      <c r="C122" s="670"/>
      <c r="D122" s="655"/>
      <c r="E122" s="685"/>
      <c r="F122" s="685"/>
      <c r="G122" s="670"/>
      <c r="H122" s="655"/>
      <c r="I122" s="655"/>
      <c r="J122" s="1439"/>
      <c r="K122" s="655"/>
      <c r="L122" s="655"/>
      <c r="M122" s="681"/>
    </row>
    <row r="123" spans="1:16">
      <c r="A123" s="1568" t="s">
        <v>712</v>
      </c>
      <c r="B123" s="709" t="s">
        <v>2454</v>
      </c>
      <c r="C123" s="709"/>
      <c r="D123" s="711"/>
      <c r="E123" s="948"/>
      <c r="F123" s="948"/>
      <c r="G123" s="670"/>
      <c r="H123" s="655"/>
      <c r="I123" s="655"/>
      <c r="J123" s="1439"/>
      <c r="K123" s="655"/>
      <c r="L123" s="655"/>
      <c r="M123" s="681"/>
    </row>
    <row r="124" spans="1:16">
      <c r="A124" s="1573"/>
      <c r="B124" s="708" t="s">
        <v>791</v>
      </c>
      <c r="C124" s="708"/>
      <c r="D124" s="658">
        <f>-SUM('main TB'!O108)</f>
        <v>1934062.66</v>
      </c>
      <c r="E124" s="951"/>
      <c r="F124" s="951"/>
      <c r="G124" s="670"/>
      <c r="H124" s="658">
        <f>-SUM('main TB'!L108)</f>
        <v>1077520.5899999999</v>
      </c>
      <c r="I124" s="655"/>
      <c r="J124" s="1439"/>
      <c r="K124" s="655"/>
      <c r="L124" s="658">
        <f>-SUM('main TB'!I108)</f>
        <v>159268.81000000006</v>
      </c>
      <c r="M124" s="681"/>
      <c r="N124" s="775">
        <f t="shared" ref="N124:N145" si="0">D124-H124</f>
        <v>856542.07000000007</v>
      </c>
      <c r="O124" s="685"/>
      <c r="P124" s="735">
        <f>D124-H124</f>
        <v>856542.07000000007</v>
      </c>
    </row>
    <row r="125" spans="1:16" ht="12.75" customHeight="1">
      <c r="A125" s="1573"/>
      <c r="B125" s="708" t="s">
        <v>2669</v>
      </c>
      <c r="C125" s="708"/>
      <c r="D125" s="659">
        <f>-SUM('main TB'!O110)</f>
        <v>1246321.2</v>
      </c>
      <c r="E125" s="951"/>
      <c r="F125" s="951"/>
      <c r="G125" s="670"/>
      <c r="H125" s="659">
        <f>-SUM('main TB'!L110)</f>
        <v>1435771.29</v>
      </c>
      <c r="I125" s="655"/>
      <c r="J125" s="1439"/>
      <c r="K125" s="655"/>
      <c r="L125" s="659">
        <f>-SUM('main TB'!I110)</f>
        <v>1234470.78</v>
      </c>
      <c r="M125" s="681"/>
      <c r="N125" s="775">
        <f t="shared" si="0"/>
        <v>-189450.09000000008</v>
      </c>
      <c r="O125" s="685"/>
      <c r="P125" s="735">
        <f t="shared" ref="P125:P147" si="1">D125-H125</f>
        <v>-189450.09000000008</v>
      </c>
    </row>
    <row r="126" spans="1:16">
      <c r="A126" s="1573"/>
      <c r="B126" s="1332" t="s">
        <v>1048</v>
      </c>
      <c r="C126" s="1332"/>
      <c r="D126" s="659">
        <f>-'main TB'!O149</f>
        <v>333757</v>
      </c>
      <c r="E126" s="968"/>
      <c r="F126" s="968"/>
      <c r="G126" s="670"/>
      <c r="H126" s="659">
        <f>-'main TB'!L149</f>
        <v>169681.86</v>
      </c>
      <c r="I126" s="655"/>
      <c r="J126" s="1439"/>
      <c r="K126" s="655"/>
      <c r="L126" s="659">
        <f>-'main TB'!I149</f>
        <v>295466.28999999998</v>
      </c>
      <c r="M126" s="681"/>
      <c r="N126" s="775">
        <v>0</v>
      </c>
      <c r="O126" s="685"/>
      <c r="P126" s="735">
        <f t="shared" si="1"/>
        <v>164075.14000000001</v>
      </c>
    </row>
    <row r="127" spans="1:16">
      <c r="A127" s="1573"/>
      <c r="B127" s="1332" t="s">
        <v>2314</v>
      </c>
      <c r="C127" s="1332"/>
      <c r="D127" s="659">
        <f>-SUM('main TB'!O109)</f>
        <v>24274625.640000001</v>
      </c>
      <c r="E127" s="968"/>
      <c r="F127" s="968"/>
      <c r="G127" s="670"/>
      <c r="H127" s="659">
        <f>-SUM('main TB'!L109)</f>
        <v>13896022.949999999</v>
      </c>
      <c r="I127" s="655"/>
      <c r="J127" s="1439"/>
      <c r="K127" s="655"/>
      <c r="L127" s="659">
        <f>-SUM('main TB'!I109)</f>
        <v>3329083.32</v>
      </c>
      <c r="M127" s="681"/>
      <c r="N127" s="775">
        <f>D127-H127</f>
        <v>10378602.690000001</v>
      </c>
      <c r="O127" s="735" t="s">
        <v>3956</v>
      </c>
      <c r="P127" s="735">
        <f t="shared" si="1"/>
        <v>10378602.690000001</v>
      </c>
    </row>
    <row r="128" spans="1:16" hidden="1">
      <c r="A128" s="1573"/>
      <c r="B128" s="708" t="s">
        <v>794</v>
      </c>
      <c r="C128" s="708"/>
      <c r="D128" s="659">
        <v>0</v>
      </c>
      <c r="E128" s="951"/>
      <c r="F128" s="951"/>
      <c r="G128" s="670"/>
      <c r="H128" s="659">
        <v>0</v>
      </c>
      <c r="I128" s="655"/>
      <c r="J128" s="1439"/>
      <c r="K128" s="655"/>
      <c r="L128" s="659">
        <v>0</v>
      </c>
      <c r="M128" s="681"/>
      <c r="N128" s="775">
        <f t="shared" si="0"/>
        <v>0</v>
      </c>
      <c r="P128" s="735">
        <f t="shared" si="1"/>
        <v>0</v>
      </c>
    </row>
    <row r="129" spans="1:19">
      <c r="A129" s="1573"/>
      <c r="B129" s="708" t="s">
        <v>1582</v>
      </c>
      <c r="C129" s="708"/>
      <c r="D129" s="659">
        <f>-'main TB'!O144</f>
        <v>54586.69</v>
      </c>
      <c r="E129" s="951"/>
      <c r="F129" s="951"/>
      <c r="G129" s="670"/>
      <c r="H129" s="659">
        <f>-'main TB'!L144</f>
        <v>54586.69</v>
      </c>
      <c r="I129" s="655"/>
      <c r="J129" s="1439"/>
      <c r="K129" s="655"/>
      <c r="L129" s="659">
        <f>-'main TB'!I144</f>
        <v>54586.69</v>
      </c>
      <c r="M129" s="681"/>
      <c r="N129" s="775">
        <f t="shared" si="0"/>
        <v>0</v>
      </c>
      <c r="P129" s="735">
        <f t="shared" si="1"/>
        <v>0</v>
      </c>
    </row>
    <row r="130" spans="1:19" hidden="1">
      <c r="A130" s="1573"/>
      <c r="B130" s="708" t="s">
        <v>3345</v>
      </c>
      <c r="C130" s="708"/>
      <c r="D130" s="659">
        <v>0</v>
      </c>
      <c r="E130" s="951"/>
      <c r="F130" s="951"/>
      <c r="G130" s="670"/>
      <c r="H130" s="659">
        <v>0</v>
      </c>
      <c r="I130" s="655"/>
      <c r="J130" s="1439"/>
      <c r="K130" s="655"/>
      <c r="L130" s="659">
        <v>0</v>
      </c>
      <c r="M130" s="681"/>
      <c r="N130" s="775">
        <f t="shared" si="0"/>
        <v>0</v>
      </c>
      <c r="P130" s="735">
        <f t="shared" si="1"/>
        <v>0</v>
      </c>
    </row>
    <row r="131" spans="1:19">
      <c r="A131" s="1573"/>
      <c r="B131" s="708" t="s">
        <v>2311</v>
      </c>
      <c r="C131" s="708"/>
      <c r="D131" s="659">
        <f>-SUM('main TB'!O145)</f>
        <v>0</v>
      </c>
      <c r="E131" s="951"/>
      <c r="F131" s="951"/>
      <c r="G131" s="670"/>
      <c r="H131" s="659">
        <f>-SUM('main TB'!L145)</f>
        <v>0</v>
      </c>
      <c r="I131" s="655"/>
      <c r="J131" s="1439"/>
      <c r="K131" s="655"/>
      <c r="L131" s="659">
        <f>-SUM('main TB'!I145)</f>
        <v>27466.02</v>
      </c>
      <c r="M131" s="681"/>
      <c r="N131" s="775">
        <f t="shared" si="0"/>
        <v>0</v>
      </c>
      <c r="P131" s="735">
        <f t="shared" si="1"/>
        <v>0</v>
      </c>
    </row>
    <row r="132" spans="1:19">
      <c r="A132" s="1573"/>
      <c r="B132" s="708" t="s">
        <v>2312</v>
      </c>
      <c r="C132" s="708"/>
      <c r="D132" s="659">
        <f>-SUM('main TB'!O143)</f>
        <v>0</v>
      </c>
      <c r="E132" s="951"/>
      <c r="F132" s="951"/>
      <c r="G132" s="670"/>
      <c r="H132" s="659">
        <f>-SUM('main TB'!L143)</f>
        <v>0</v>
      </c>
      <c r="I132" s="655"/>
      <c r="J132" s="1439"/>
      <c r="K132" s="655"/>
      <c r="L132" s="659">
        <f>-SUM('main TB'!I143)</f>
        <v>19325.45</v>
      </c>
      <c r="M132" s="681"/>
      <c r="N132" s="775">
        <f t="shared" si="0"/>
        <v>0</v>
      </c>
      <c r="P132" s="735">
        <f t="shared" si="1"/>
        <v>0</v>
      </c>
    </row>
    <row r="133" spans="1:19">
      <c r="A133" s="1573"/>
      <c r="B133" s="708" t="s">
        <v>515</v>
      </c>
      <c r="C133" s="708"/>
      <c r="D133" s="659">
        <f>-SUM('main TB'!O115+'main TB'!O116+'main TB'!O122+'main TB'!O123+'main TB'!O124+'main TB'!O130+'main TB'!O132+'main TB'!O141)-'main TB'!O137</f>
        <v>135449.62000000075</v>
      </c>
      <c r="E133" s="951"/>
      <c r="F133" s="951"/>
      <c r="G133" s="670"/>
      <c r="H133" s="659">
        <f>-SUM('main TB'!L115+'main TB'!L116+'main TB'!L122+'main TB'!L123+'main TB'!L124+'main TB'!L130+'main TB'!L132+'main TB'!L141)</f>
        <v>119175.5499999993</v>
      </c>
      <c r="I133" s="655"/>
      <c r="J133" s="1439"/>
      <c r="K133" s="655"/>
      <c r="L133" s="659">
        <f>-SUM('main TB'!I115+'main TB'!I116+'main TB'!I122+'main TB'!I123+'main TB'!I124+'main TB'!I130+'main TB'!I132+'main TB'!I141)</f>
        <v>121145.12999999925</v>
      </c>
      <c r="M133" s="681"/>
      <c r="N133" s="775">
        <f t="shared" si="0"/>
        <v>16274.070000001448</v>
      </c>
      <c r="P133" s="735">
        <f t="shared" si="1"/>
        <v>16274.070000001448</v>
      </c>
    </row>
    <row r="134" spans="1:19" hidden="1">
      <c r="A134" s="1573"/>
      <c r="B134" s="708" t="s">
        <v>2136</v>
      </c>
      <c r="C134" s="708"/>
      <c r="D134" s="659">
        <f>-SUM('main TB'!H121)</f>
        <v>0</v>
      </c>
      <c r="E134" s="951"/>
      <c r="F134" s="951"/>
      <c r="G134" s="670"/>
      <c r="H134" s="659">
        <f>-SUM('main TB'!L121)</f>
        <v>0</v>
      </c>
      <c r="I134" s="655"/>
      <c r="J134" s="1439"/>
      <c r="K134" s="655"/>
      <c r="L134" s="659">
        <f>-SUM('main TB'!I121)</f>
        <v>0</v>
      </c>
      <c r="M134" s="681"/>
      <c r="N134" s="775">
        <f t="shared" si="0"/>
        <v>0</v>
      </c>
      <c r="P134" s="735">
        <f t="shared" si="1"/>
        <v>0</v>
      </c>
    </row>
    <row r="135" spans="1:19" s="707" customFormat="1">
      <c r="A135" s="1573"/>
      <c r="B135" s="708" t="s">
        <v>660</v>
      </c>
      <c r="C135" s="708"/>
      <c r="D135" s="659">
        <f>-'main TB'!O148</f>
        <v>4255360.9499999993</v>
      </c>
      <c r="E135" s="951"/>
      <c r="F135" s="951"/>
      <c r="G135" s="670"/>
      <c r="H135" s="659">
        <f>-'main TB'!L148</f>
        <v>2800590.38</v>
      </c>
      <c r="I135" s="655"/>
      <c r="J135" s="1439"/>
      <c r="K135" s="655"/>
      <c r="L135" s="659">
        <f>-'main TB'!I148</f>
        <v>2202806.31</v>
      </c>
      <c r="M135" s="681"/>
      <c r="N135" s="775">
        <v>0</v>
      </c>
      <c r="O135" s="735"/>
      <c r="P135" s="735">
        <v>0</v>
      </c>
      <c r="Q135" s="922"/>
      <c r="R135" s="922"/>
      <c r="S135" s="922"/>
    </row>
    <row r="136" spans="1:19">
      <c r="A136" s="1573"/>
      <c r="B136" s="708" t="s">
        <v>1300</v>
      </c>
      <c r="C136" s="708"/>
      <c r="D136" s="659">
        <f>-SUM('main TB'!O150)+0.47</f>
        <v>0.47</v>
      </c>
      <c r="E136" s="951"/>
      <c r="F136" s="951"/>
      <c r="G136" s="670"/>
      <c r="H136" s="659">
        <f>-SUM('main TB'!L150)+0.47</f>
        <v>0.47</v>
      </c>
      <c r="I136" s="655"/>
      <c r="J136" s="1439"/>
      <c r="K136" s="655"/>
      <c r="L136" s="659">
        <f>-SUM('main TB'!I150)+0.47</f>
        <v>450000.47</v>
      </c>
      <c r="M136" s="681"/>
      <c r="N136" s="775">
        <f t="shared" si="0"/>
        <v>0</v>
      </c>
      <c r="P136" s="735">
        <f t="shared" si="1"/>
        <v>0</v>
      </c>
    </row>
    <row r="137" spans="1:19">
      <c r="A137" s="1573"/>
      <c r="B137" s="708" t="s">
        <v>2634</v>
      </c>
      <c r="C137" s="708"/>
      <c r="D137" s="659">
        <f>-'main TB'!O131</f>
        <v>17565105.509999998</v>
      </c>
      <c r="E137" s="951"/>
      <c r="F137" s="951"/>
      <c r="G137" s="670"/>
      <c r="H137" s="659">
        <f>-'main TB'!L131</f>
        <v>12345265.199999999</v>
      </c>
      <c r="I137" s="655"/>
      <c r="J137" s="1439"/>
      <c r="K137" s="655"/>
      <c r="L137" s="659">
        <f>-'main TB'!I131</f>
        <v>5200457.41</v>
      </c>
      <c r="M137" s="681"/>
      <c r="N137" s="775">
        <v>0</v>
      </c>
      <c r="P137" s="735">
        <v>0</v>
      </c>
    </row>
    <row r="138" spans="1:19">
      <c r="A138" s="1573"/>
      <c r="B138" s="708" t="s">
        <v>1301</v>
      </c>
      <c r="C138" s="708"/>
      <c r="D138" s="659">
        <f>-SUM('main TB'!O151)</f>
        <v>211414.04</v>
      </c>
      <c r="E138" s="951"/>
      <c r="F138" s="951"/>
      <c r="G138" s="670"/>
      <c r="H138" s="659">
        <f>-SUM('main TB'!L151)</f>
        <v>211414.04</v>
      </c>
      <c r="I138" s="655"/>
      <c r="J138" s="1439"/>
      <c r="K138" s="655"/>
      <c r="L138" s="659">
        <f>-SUM('main TB'!I151)</f>
        <v>211414.04</v>
      </c>
      <c r="M138" s="681"/>
      <c r="N138" s="775">
        <f t="shared" si="0"/>
        <v>0</v>
      </c>
      <c r="P138" s="735">
        <f t="shared" si="1"/>
        <v>0</v>
      </c>
    </row>
    <row r="139" spans="1:19">
      <c r="A139" s="1573"/>
      <c r="B139" s="708" t="s">
        <v>2731</v>
      </c>
      <c r="C139" s="708"/>
      <c r="D139" s="659">
        <f>-'main TB'!O152</f>
        <v>351610.70999999996</v>
      </c>
      <c r="E139" s="951"/>
      <c r="F139" s="951"/>
      <c r="G139" s="670"/>
      <c r="H139" s="659">
        <f>-'main TB'!L152</f>
        <v>351610.70999999996</v>
      </c>
      <c r="I139" s="655"/>
      <c r="J139" s="1439"/>
      <c r="K139" s="655"/>
      <c r="L139" s="659"/>
      <c r="M139" s="681"/>
      <c r="N139" s="775">
        <f t="shared" si="0"/>
        <v>0</v>
      </c>
      <c r="P139" s="735">
        <f t="shared" si="1"/>
        <v>0</v>
      </c>
    </row>
    <row r="140" spans="1:19">
      <c r="A140" s="1573"/>
      <c r="B140" s="708" t="s">
        <v>2729</v>
      </c>
      <c r="C140" s="708"/>
      <c r="D140" s="659">
        <f>-'main TB'!O154</f>
        <v>132202.50999999995</v>
      </c>
      <c r="E140" s="951"/>
      <c r="F140" s="951"/>
      <c r="G140" s="670"/>
      <c r="H140" s="659">
        <f>-'main TB'!L154</f>
        <v>655764.94999999995</v>
      </c>
      <c r="I140" s="655"/>
      <c r="J140" s="1439"/>
      <c r="K140" s="655"/>
      <c r="L140" s="659"/>
      <c r="M140" s="681"/>
      <c r="N140" s="775">
        <f t="shared" si="0"/>
        <v>-523562.44</v>
      </c>
      <c r="P140" s="735">
        <f t="shared" si="1"/>
        <v>-523562.44</v>
      </c>
    </row>
    <row r="141" spans="1:19">
      <c r="A141" s="1573"/>
      <c r="B141" s="1585" t="s">
        <v>3967</v>
      </c>
      <c r="C141" s="1585"/>
      <c r="D141" s="1286">
        <v>215723.71</v>
      </c>
      <c r="E141" s="951"/>
      <c r="F141" s="951"/>
      <c r="G141" s="670"/>
      <c r="H141" s="659"/>
      <c r="I141" s="655"/>
      <c r="J141" s="1439"/>
      <c r="K141" s="655"/>
      <c r="L141" s="659"/>
      <c r="M141" s="681"/>
      <c r="N141" s="775">
        <f t="shared" si="0"/>
        <v>215723.71</v>
      </c>
      <c r="P141" s="735">
        <f t="shared" si="1"/>
        <v>215723.71</v>
      </c>
    </row>
    <row r="142" spans="1:19">
      <c r="A142" s="1573"/>
      <c r="B142" s="708" t="s">
        <v>3933</v>
      </c>
      <c r="C142" s="708"/>
      <c r="D142" s="659">
        <f>-'main TB'!O158</f>
        <v>5234591.3099999996</v>
      </c>
      <c r="E142" s="951"/>
      <c r="F142" s="951"/>
      <c r="G142" s="670"/>
      <c r="H142" s="659"/>
      <c r="I142" s="655"/>
      <c r="J142" s="1439"/>
      <c r="K142" s="655"/>
      <c r="L142" s="659"/>
      <c r="M142" s="681"/>
      <c r="N142" s="775">
        <v>0</v>
      </c>
      <c r="P142" s="735">
        <v>0</v>
      </c>
    </row>
    <row r="143" spans="1:19">
      <c r="A143" s="1573"/>
      <c r="B143" s="708" t="s">
        <v>2313</v>
      </c>
      <c r="C143" s="708"/>
      <c r="D143" s="659">
        <f>-SUM('main TB'!O129)</f>
        <v>1433580</v>
      </c>
      <c r="E143" s="951"/>
      <c r="F143" s="951"/>
      <c r="G143" s="670"/>
      <c r="H143" s="659">
        <f>-SUM('main TB'!L129)</f>
        <v>1433580</v>
      </c>
      <c r="I143" s="655"/>
      <c r="J143" s="1439"/>
      <c r="K143" s="655"/>
      <c r="L143" s="1286">
        <v>1433580</v>
      </c>
      <c r="M143" s="681"/>
      <c r="N143" s="775">
        <f t="shared" si="0"/>
        <v>0</v>
      </c>
      <c r="P143" s="735">
        <f t="shared" si="1"/>
        <v>0</v>
      </c>
    </row>
    <row r="144" spans="1:19">
      <c r="A144" s="1573"/>
      <c r="B144" s="709" t="s">
        <v>3759</v>
      </c>
      <c r="C144" s="709"/>
      <c r="D144" s="687">
        <f>SUM(D124:D143)</f>
        <v>57378392.019999996</v>
      </c>
      <c r="E144" s="948"/>
      <c r="F144" s="948"/>
      <c r="G144" s="670"/>
      <c r="H144" s="687">
        <f>SUM(H124:H143)</f>
        <v>34550984.679999992</v>
      </c>
      <c r="I144" s="655"/>
      <c r="J144" s="1439"/>
      <c r="K144" s="655"/>
      <c r="L144" s="687">
        <f>SUM(L124:L143)</f>
        <v>14739070.719999999</v>
      </c>
      <c r="M144" s="681"/>
      <c r="N144" s="775">
        <v>0</v>
      </c>
      <c r="P144" s="735">
        <v>0</v>
      </c>
    </row>
    <row r="145" spans="1:16">
      <c r="A145" s="1573"/>
      <c r="B145" s="709"/>
      <c r="C145" s="709"/>
      <c r="D145" s="683"/>
      <c r="E145" s="948"/>
      <c r="F145" s="948"/>
      <c r="G145" s="670"/>
      <c r="H145" s="683"/>
      <c r="I145" s="655"/>
      <c r="J145" s="1439"/>
      <c r="K145" s="655"/>
      <c r="L145" s="683"/>
      <c r="M145" s="681"/>
      <c r="N145" s="775">
        <f t="shared" si="0"/>
        <v>0</v>
      </c>
      <c r="P145" s="735">
        <f t="shared" si="1"/>
        <v>0</v>
      </c>
    </row>
    <row r="146" spans="1:16">
      <c r="A146" s="1573"/>
      <c r="B146" s="708" t="s">
        <v>2456</v>
      </c>
      <c r="C146" s="708"/>
      <c r="D146" s="656">
        <f>-'main TB'!O111</f>
        <v>1401169.7599999979</v>
      </c>
      <c r="E146" s="951"/>
      <c r="F146" s="951"/>
      <c r="G146" s="670"/>
      <c r="H146" s="656">
        <f>-SUM('main TB'!L111)</f>
        <v>1080381.6899999976</v>
      </c>
      <c r="I146" s="655"/>
      <c r="J146" s="1439"/>
      <c r="K146" s="655"/>
      <c r="L146" s="656">
        <f>-SUM('main TB'!I111)</f>
        <v>1410492.7199999997</v>
      </c>
      <c r="M146" s="681"/>
      <c r="N146" s="775">
        <v>0</v>
      </c>
      <c r="P146" s="735">
        <f t="shared" si="1"/>
        <v>320788.0700000003</v>
      </c>
    </row>
    <row r="147" spans="1:16">
      <c r="A147" s="1573"/>
      <c r="B147" s="670"/>
      <c r="C147" s="670"/>
      <c r="D147" s="655"/>
      <c r="E147" s="685"/>
      <c r="F147" s="685"/>
      <c r="G147" s="670"/>
      <c r="H147" s="655"/>
      <c r="I147" s="655"/>
      <c r="J147" s="1439"/>
      <c r="K147" s="655"/>
      <c r="L147" s="655"/>
      <c r="M147" s="681"/>
      <c r="P147" s="735">
        <f t="shared" si="1"/>
        <v>0</v>
      </c>
    </row>
    <row r="148" spans="1:16" ht="13.5" thickBot="1">
      <c r="A148" s="1573"/>
      <c r="B148" s="709" t="s">
        <v>795</v>
      </c>
      <c r="C148" s="670"/>
      <c r="D148" s="969">
        <f>SUM(D144:D146)</f>
        <v>58779561.779999994</v>
      </c>
      <c r="E148" s="685"/>
      <c r="F148" s="685"/>
      <c r="G148" s="670"/>
      <c r="H148" s="969">
        <f>SUM(H144:H146)</f>
        <v>35631366.36999999</v>
      </c>
      <c r="I148" s="655"/>
      <c r="J148" s="1439"/>
      <c r="K148" s="655"/>
      <c r="L148" s="969">
        <f>SUM(L144:L147)</f>
        <v>16149563.439999998</v>
      </c>
      <c r="M148" s="681"/>
      <c r="N148" s="735">
        <f>SUM(N124:N147)</f>
        <v>10754130.010000005</v>
      </c>
      <c r="P148" s="735">
        <f>SUM(P124:P147)</f>
        <v>11238993.220000004</v>
      </c>
    </row>
    <row r="149" spans="1:16" ht="39" thickTop="1">
      <c r="A149" s="1573"/>
      <c r="B149" s="615" t="s">
        <v>3870</v>
      </c>
      <c r="C149" s="615"/>
      <c r="D149" s="719"/>
      <c r="E149" s="955"/>
      <c r="F149" s="955"/>
      <c r="G149" s="1332"/>
      <c r="H149" s="726"/>
      <c r="I149" s="726"/>
      <c r="J149" s="1574"/>
      <c r="K149" s="726"/>
      <c r="L149" s="726"/>
      <c r="M149" s="1423"/>
    </row>
    <row r="150" spans="1:16">
      <c r="A150" s="1569"/>
      <c r="B150" s="699"/>
      <c r="C150" s="699"/>
      <c r="D150" s="700"/>
      <c r="E150" s="918"/>
      <c r="F150" s="918"/>
      <c r="G150" s="699"/>
      <c r="H150" s="700"/>
      <c r="I150" s="700"/>
      <c r="J150" s="1570"/>
      <c r="K150" s="700"/>
      <c r="L150" s="700"/>
      <c r="M150" s="702"/>
    </row>
    <row r="151" spans="1:16">
      <c r="A151" s="1571"/>
      <c r="B151" s="677"/>
      <c r="C151" s="677"/>
      <c r="D151" s="676"/>
      <c r="E151" s="919"/>
      <c r="F151" s="919"/>
      <c r="G151" s="677"/>
      <c r="H151" s="676"/>
      <c r="I151" s="676"/>
      <c r="J151" s="1572"/>
      <c r="K151" s="676"/>
      <c r="L151" s="676"/>
      <c r="M151" s="679"/>
    </row>
    <row r="152" spans="1:16" ht="25.5">
      <c r="A152" s="1568" t="s">
        <v>713</v>
      </c>
      <c r="B152" s="709" t="s">
        <v>2021</v>
      </c>
      <c r="C152" s="709"/>
      <c r="D152" s="711"/>
      <c r="E152" s="948"/>
      <c r="F152" s="948"/>
      <c r="G152" s="670"/>
      <c r="H152" s="655"/>
      <c r="I152" s="655"/>
      <c r="J152" s="1439"/>
      <c r="K152" s="655"/>
      <c r="L152" s="655"/>
      <c r="M152" s="681"/>
    </row>
    <row r="153" spans="1:16">
      <c r="A153" s="1573"/>
      <c r="B153" s="708" t="s">
        <v>1583</v>
      </c>
      <c r="C153" s="708"/>
      <c r="D153" s="658">
        <f>-'main TB'!O117</f>
        <v>318235.78000000003</v>
      </c>
      <c r="E153" s="951"/>
      <c r="F153" s="951"/>
      <c r="G153" s="670"/>
      <c r="H153" s="658">
        <f>-'main TB'!L117</f>
        <v>318235.78000000003</v>
      </c>
      <c r="I153" s="655"/>
      <c r="J153" s="1439"/>
      <c r="K153" s="655"/>
      <c r="L153" s="658">
        <f>-'main TB'!I117</f>
        <v>318235.78000000003</v>
      </c>
      <c r="M153" s="681"/>
    </row>
    <row r="154" spans="1:16">
      <c r="A154" s="1573"/>
      <c r="B154" s="708" t="s">
        <v>2442</v>
      </c>
      <c r="C154" s="708"/>
      <c r="D154" s="659">
        <f>-'main TB'!O118</f>
        <v>0</v>
      </c>
      <c r="E154" s="951"/>
      <c r="F154" s="951"/>
      <c r="G154" s="670"/>
      <c r="H154" s="659">
        <f>-'main TB'!L118</f>
        <v>0</v>
      </c>
      <c r="I154" s="655"/>
      <c r="J154" s="1439"/>
      <c r="K154" s="655"/>
      <c r="L154" s="659">
        <f>-'main TB'!I118</f>
        <v>70051.360000000001</v>
      </c>
      <c r="M154" s="681"/>
    </row>
    <row r="155" spans="1:16">
      <c r="A155" s="1573"/>
      <c r="B155" s="708" t="s">
        <v>2442</v>
      </c>
      <c r="C155" s="708"/>
      <c r="D155" s="659">
        <f>-'main TB'!H119-'main TB'!O120</f>
        <v>0</v>
      </c>
      <c r="E155" s="951"/>
      <c r="F155" s="951"/>
      <c r="G155" s="670"/>
      <c r="H155" s="659">
        <f>-'main TB'!L119-'main TB'!L120</f>
        <v>0</v>
      </c>
      <c r="I155" s="655"/>
      <c r="J155" s="1439"/>
      <c r="K155" s="655"/>
      <c r="L155" s="659">
        <f>-'main TB'!I119-'main TB'!I120</f>
        <v>95581.09</v>
      </c>
      <c r="M155" s="681"/>
    </row>
    <row r="156" spans="1:16">
      <c r="A156" s="1573"/>
      <c r="B156" s="708" t="s">
        <v>1341</v>
      </c>
      <c r="C156" s="708"/>
      <c r="D156" s="659">
        <f>-'main TB'!O127</f>
        <v>435954.76</v>
      </c>
      <c r="E156" s="951"/>
      <c r="F156" s="951"/>
      <c r="G156" s="670"/>
      <c r="H156" s="659">
        <f>-'main TB'!L127</f>
        <v>435954.76</v>
      </c>
      <c r="I156" s="655"/>
      <c r="J156" s="1439"/>
      <c r="K156" s="655"/>
      <c r="L156" s="659">
        <f>-'main TB'!I127</f>
        <v>833000</v>
      </c>
      <c r="M156" s="681"/>
    </row>
    <row r="157" spans="1:16">
      <c r="A157" s="1573"/>
      <c r="B157" s="708" t="s">
        <v>1341</v>
      </c>
      <c r="C157" s="708"/>
      <c r="D157" s="659">
        <f>-'main TB'!O142</f>
        <v>0</v>
      </c>
      <c r="E157" s="951"/>
      <c r="F157" s="951"/>
      <c r="G157" s="670"/>
      <c r="H157" s="659">
        <f>-'main TB'!L142</f>
        <v>15000</v>
      </c>
      <c r="I157" s="655"/>
      <c r="J157" s="1439"/>
      <c r="K157" s="655"/>
      <c r="L157" s="659">
        <f>-'main TB'!I142</f>
        <v>15043.11</v>
      </c>
      <c r="M157" s="681"/>
    </row>
    <row r="158" spans="1:16">
      <c r="A158" s="1573"/>
      <c r="B158" s="708" t="s">
        <v>1341</v>
      </c>
      <c r="C158" s="708"/>
      <c r="D158" s="659">
        <f>-'main TB'!O136</f>
        <v>47324</v>
      </c>
      <c r="E158" s="951"/>
      <c r="F158" s="951"/>
      <c r="G158" s="670"/>
      <c r="H158" s="659">
        <f>-'main TB'!L136</f>
        <v>82600</v>
      </c>
      <c r="I158" s="655"/>
      <c r="J158" s="1439"/>
      <c r="K158" s="655"/>
      <c r="L158" s="659">
        <f>-'main TB'!I136</f>
        <v>82600</v>
      </c>
      <c r="M158" s="681"/>
    </row>
    <row r="159" spans="1:16">
      <c r="A159" s="1573"/>
      <c r="B159" s="708" t="s">
        <v>796</v>
      </c>
      <c r="C159" s="708"/>
      <c r="D159" s="659">
        <f>-'main TB'!O140</f>
        <v>67382.210000000021</v>
      </c>
      <c r="E159" s="951"/>
      <c r="F159" s="951"/>
      <c r="G159" s="670"/>
      <c r="H159" s="659">
        <f>-'main TB'!L140</f>
        <v>67382.210000000021</v>
      </c>
      <c r="I159" s="655"/>
      <c r="J159" s="1439"/>
      <c r="K159" s="655"/>
      <c r="L159" s="659">
        <f>-'main TB'!I140</f>
        <v>247014.14999999997</v>
      </c>
      <c r="M159" s="681"/>
    </row>
    <row r="160" spans="1:16">
      <c r="A160" s="1573"/>
      <c r="B160" s="708" t="s">
        <v>797</v>
      </c>
      <c r="C160" s="708"/>
      <c r="D160" s="659">
        <f>-'main TB'!O126-'main TB'!O128-'main TB'!O133-'main TB'!O134-'main TB'!O135-'main TB'!O147-'main TB'!O146-'main TB'!O156-'main TB'!O157-'main TB'!O159-'main TB'!O155</f>
        <v>7535656.5099999998</v>
      </c>
      <c r="E160" s="951"/>
      <c r="F160" s="951"/>
      <c r="G160" s="670"/>
      <c r="H160" s="659">
        <f>-'main TB'!L126-'main TB'!L128-'main TB'!L133-'main TB'!L134-'main TB'!L135-'main TB'!L147-'main TB'!L146</f>
        <v>4036452.47</v>
      </c>
      <c r="I160" s="655"/>
      <c r="J160" s="1439"/>
      <c r="K160" s="655"/>
      <c r="L160" s="659">
        <f>-'main TB'!I126-'main TB'!I128-'main TB'!I133-'main TB'!I134-'main TB'!I135-'main TB'!I147-'main TB'!I146</f>
        <v>2112319.6</v>
      </c>
      <c r="M160" s="681"/>
    </row>
    <row r="161" spans="1:14">
      <c r="A161" s="1573"/>
      <c r="B161" s="708" t="s">
        <v>798</v>
      </c>
      <c r="C161" s="708"/>
      <c r="D161" s="716">
        <f>-'main TB'!O125</f>
        <v>600000</v>
      </c>
      <c r="E161" s="951"/>
      <c r="F161" s="951"/>
      <c r="G161" s="670"/>
      <c r="H161" s="482"/>
      <c r="I161" s="655"/>
      <c r="J161" s="1439"/>
      <c r="K161" s="655"/>
      <c r="L161" s="482">
        <f>-SUM('main TB'!F149)</f>
        <v>0</v>
      </c>
      <c r="M161" s="681"/>
    </row>
    <row r="162" spans="1:14">
      <c r="A162" s="1573"/>
      <c r="B162" s="709" t="s">
        <v>799</v>
      </c>
      <c r="C162" s="709"/>
      <c r="D162" s="970">
        <f>SUM(D153:D161)</f>
        <v>9004553.2599999998</v>
      </c>
      <c r="E162" s="948"/>
      <c r="F162" s="948"/>
      <c r="G162" s="682"/>
      <c r="H162" s="970">
        <f>SUM(H153:H161)</f>
        <v>4955625.2200000007</v>
      </c>
      <c r="I162" s="683"/>
      <c r="J162" s="1446"/>
      <c r="K162" s="683"/>
      <c r="L162" s="970">
        <f>SUM(L153:L161)</f>
        <v>3773845.09</v>
      </c>
      <c r="M162" s="689"/>
      <c r="N162" s="735">
        <f>D162-H162</f>
        <v>4048928.0399999991</v>
      </c>
    </row>
    <row r="163" spans="1:14">
      <c r="A163" s="1573"/>
      <c r="B163" s="670"/>
      <c r="C163" s="670"/>
      <c r="D163" s="655"/>
      <c r="E163" s="685"/>
      <c r="F163" s="685"/>
      <c r="G163" s="670"/>
      <c r="H163" s="655"/>
      <c r="I163" s="655"/>
      <c r="J163" s="1439"/>
      <c r="K163" s="655"/>
      <c r="L163" s="655"/>
      <c r="M163" s="681"/>
    </row>
    <row r="164" spans="1:14" ht="51">
      <c r="A164" s="1573"/>
      <c r="B164" s="615" t="s">
        <v>3906</v>
      </c>
      <c r="C164" s="615"/>
      <c r="D164" s="719"/>
      <c r="E164" s="955"/>
      <c r="F164" s="955"/>
      <c r="G164" s="1332"/>
      <c r="H164" s="726"/>
      <c r="I164" s="726"/>
      <c r="J164" s="1574"/>
      <c r="K164" s="726"/>
      <c r="L164" s="726"/>
      <c r="M164" s="1423"/>
    </row>
    <row r="165" spans="1:14" ht="13.5" thickBot="1">
      <c r="A165" s="1582"/>
      <c r="B165" s="1583"/>
      <c r="C165" s="1583"/>
      <c r="D165" s="1453"/>
      <c r="E165" s="1584"/>
      <c r="F165" s="1584"/>
      <c r="G165" s="1583"/>
      <c r="H165" s="1453"/>
      <c r="I165" s="1453"/>
      <c r="J165" s="1454"/>
      <c r="K165" s="700"/>
      <c r="L165" s="700"/>
      <c r="M165" s="702"/>
    </row>
    <row r="166" spans="1:14" ht="13.5" thickTop="1"/>
    <row r="167" spans="1:14">
      <c r="D167" s="673">
        <f>D144+D162+D146</f>
        <v>67784115.039999992</v>
      </c>
      <c r="H167" s="673">
        <f>H144+H162+H146</f>
        <v>40586991.589999989</v>
      </c>
      <c r="L167" s="673">
        <f>L144+L162+L146</f>
        <v>19923408.529999997</v>
      </c>
    </row>
    <row r="168" spans="1:14">
      <c r="D168" s="673">
        <f>'main TB'!O163</f>
        <v>-67784113.860000014</v>
      </c>
      <c r="H168" s="673">
        <f>-'main TB'!L163</f>
        <v>40586991.11999999</v>
      </c>
      <c r="L168" s="673">
        <f>-'main TB'!I163</f>
        <v>19923408.059999995</v>
      </c>
      <c r="N168" s="735" t="s">
        <v>45</v>
      </c>
    </row>
    <row r="169" spans="1:14">
      <c r="D169" s="673">
        <f>SUM(D167:D168)</f>
        <v>1.179999977350235</v>
      </c>
      <c r="H169" s="673">
        <f>H167-H168</f>
        <v>0.4699999988079071</v>
      </c>
      <c r="L169" s="673">
        <f>L167-L168</f>
        <v>0.4700000025331974</v>
      </c>
    </row>
    <row r="170" spans="1:14">
      <c r="I170" s="673">
        <f>SUM(I168+I162+I144)</f>
        <v>0</v>
      </c>
      <c r="J170" s="673">
        <f>SUM(J168+J162+J144)</f>
        <v>0</v>
      </c>
      <c r="K170" s="673">
        <f>SUM(K168+K162+K144)</f>
        <v>0</v>
      </c>
    </row>
  </sheetData>
  <mergeCells count="2">
    <mergeCell ref="A1:J1"/>
    <mergeCell ref="A2:J2"/>
  </mergeCells>
  <phoneticPr fontId="0" type="noConversion"/>
  <printOptions horizontalCentered="1"/>
  <pageMargins left="0.59055118110236227" right="0.39370078740157483" top="0.78740157480314965" bottom="0.78740157480314965" header="0" footer="0"/>
  <pageSetup scale="85" fitToHeight="4" orientation="portrait" r:id="rId1"/>
  <headerFooter>
    <oddHeader>&amp;C FINANCIAL STATEMENTS: MUSINA LOCAL MUNICIPALITY</oddHeader>
    <oddFooter>&amp;RPage &amp;P</oddFooter>
  </headerFooter>
  <rowBreaks count="3" manualBreakCount="3">
    <brk id="58" max="9" man="1"/>
    <brk id="95" max="9" man="1"/>
    <brk id="150" max="9" man="1"/>
  </rowBreaks>
  <legacyDrawing r:id="rId2"/>
</worksheet>
</file>

<file path=xl/worksheets/sheet11.xml><?xml version="1.0" encoding="utf-8"?>
<worksheet xmlns="http://schemas.openxmlformats.org/spreadsheetml/2006/main" xmlns:r="http://schemas.openxmlformats.org/officeDocument/2006/relationships">
  <sheetPr>
    <pageSetUpPr fitToPage="1"/>
  </sheetPr>
  <dimension ref="A1:L125"/>
  <sheetViews>
    <sheetView tabSelected="1" view="pageBreakPreview" zoomScaleSheetLayoutView="100" workbookViewId="0">
      <selection activeCell="B43" sqref="B43"/>
    </sheetView>
  </sheetViews>
  <sheetFormatPr defaultRowHeight="12.75"/>
  <cols>
    <col min="1" max="1" width="6" style="672" customWidth="1"/>
    <col min="2" max="2" width="33" style="671" customWidth="1"/>
    <col min="3" max="3" width="16.28515625" style="673" bestFit="1" customWidth="1"/>
    <col min="4" max="4" width="19.42578125" style="735" bestFit="1" customWidth="1"/>
    <col min="5" max="5" width="18.42578125" style="735" bestFit="1" customWidth="1"/>
    <col min="6" max="6" width="20.42578125" style="735" bestFit="1" customWidth="1"/>
    <col min="7" max="7" width="14" style="735" customWidth="1"/>
    <col min="8" max="8" width="19.85546875" style="735" bestFit="1" customWidth="1"/>
    <col min="9" max="9" width="2.28515625" style="671" customWidth="1"/>
    <col min="10" max="10" width="15" style="735" bestFit="1" customWidth="1"/>
    <col min="11" max="11" width="12.85546875" style="735" bestFit="1" customWidth="1"/>
    <col min="12" max="12" width="14.5703125" style="671" bestFit="1" customWidth="1"/>
    <col min="13" max="16384" width="9.140625" style="671"/>
  </cols>
  <sheetData>
    <row r="1" spans="1:11" ht="13.5" thickTop="1">
      <c r="A1" s="1818" t="s">
        <v>2486</v>
      </c>
      <c r="B1" s="1819"/>
      <c r="C1" s="1819"/>
      <c r="D1" s="1819"/>
      <c r="E1" s="1819"/>
      <c r="F1" s="1819"/>
      <c r="G1" s="1819"/>
      <c r="H1" s="1819"/>
      <c r="I1" s="1820"/>
    </row>
    <row r="2" spans="1:11">
      <c r="A2" s="1821" t="s">
        <v>3498</v>
      </c>
      <c r="B2" s="1822"/>
      <c r="C2" s="1822"/>
      <c r="D2" s="1822"/>
      <c r="E2" s="1822"/>
      <c r="F2" s="1822"/>
      <c r="G2" s="1822"/>
      <c r="H2" s="1822"/>
      <c r="I2" s="1823"/>
    </row>
    <row r="3" spans="1:11">
      <c r="A3" s="1590"/>
      <c r="B3" s="670"/>
      <c r="C3" s="655"/>
      <c r="D3" s="685"/>
      <c r="E3" s="685"/>
      <c r="F3" s="685"/>
      <c r="G3" s="685"/>
      <c r="H3" s="685"/>
      <c r="I3" s="1591"/>
    </row>
    <row r="4" spans="1:11" s="132" customFormat="1" ht="15.75">
      <c r="A4" s="1592" t="s">
        <v>419</v>
      </c>
      <c r="B4" s="913" t="s">
        <v>803</v>
      </c>
      <c r="C4" s="908"/>
      <c r="D4" s="156"/>
      <c r="E4" s="156"/>
      <c r="F4" s="156"/>
      <c r="G4" s="156"/>
      <c r="H4" s="156"/>
      <c r="I4" s="1593"/>
      <c r="J4" s="542"/>
      <c r="K4" s="542"/>
    </row>
    <row r="5" spans="1:11">
      <c r="A5" s="1590"/>
      <c r="B5" s="670"/>
      <c r="C5" s="655"/>
      <c r="D5" s="685"/>
      <c r="E5" s="685"/>
      <c r="F5" s="685"/>
      <c r="G5" s="685"/>
      <c r="H5" s="685"/>
      <c r="I5" s="1591"/>
    </row>
    <row r="6" spans="1:11" s="703" customFormat="1" ht="38.25">
      <c r="A6" s="1590"/>
      <c r="C6" s="691"/>
      <c r="D6" s="841" t="s">
        <v>2053</v>
      </c>
      <c r="E6" s="841" t="s">
        <v>2494</v>
      </c>
      <c r="F6" s="841" t="s">
        <v>2496</v>
      </c>
      <c r="G6" s="841" t="s">
        <v>1736</v>
      </c>
      <c r="H6" s="841" t="s">
        <v>1740</v>
      </c>
      <c r="I6" s="1594"/>
      <c r="J6" s="914"/>
      <c r="K6" s="914"/>
    </row>
    <row r="7" spans="1:11" s="703" customFormat="1">
      <c r="A7" s="1590"/>
      <c r="C7" s="910" t="s">
        <v>2422</v>
      </c>
      <c r="D7" s="915" t="s">
        <v>2422</v>
      </c>
      <c r="E7" s="915" t="s">
        <v>2422</v>
      </c>
      <c r="F7" s="915" t="s">
        <v>2422</v>
      </c>
      <c r="G7" s="915" t="s">
        <v>2422</v>
      </c>
      <c r="H7" s="915" t="s">
        <v>2422</v>
      </c>
      <c r="I7" s="1594"/>
      <c r="J7" s="914"/>
      <c r="K7" s="914"/>
    </row>
    <row r="8" spans="1:11" s="703" customFormat="1">
      <c r="A8" s="1590"/>
      <c r="B8" s="766"/>
      <c r="C8" s="910"/>
      <c r="D8" s="910"/>
      <c r="E8" s="910"/>
      <c r="F8" s="910"/>
      <c r="G8" s="910"/>
      <c r="H8" s="910">
        <v>0</v>
      </c>
      <c r="I8" s="1594"/>
      <c r="J8" s="914" t="s">
        <v>45</v>
      </c>
      <c r="K8" s="914"/>
    </row>
    <row r="9" spans="1:11" s="703" customFormat="1">
      <c r="A9" s="1590"/>
      <c r="C9" s="910"/>
      <c r="D9" s="910"/>
      <c r="E9" s="910"/>
      <c r="F9" s="910"/>
      <c r="G9" s="910"/>
      <c r="H9" s="910"/>
      <c r="I9" s="1594"/>
      <c r="J9" s="914"/>
      <c r="K9" s="914"/>
    </row>
    <row r="10" spans="1:11" s="670" customFormat="1">
      <c r="A10" s="1590"/>
      <c r="B10" s="709" t="s">
        <v>804</v>
      </c>
      <c r="C10" s="482"/>
      <c r="D10" s="482"/>
      <c r="E10" s="482"/>
      <c r="F10" s="482"/>
      <c r="G10" s="482"/>
      <c r="H10" s="482"/>
      <c r="I10" s="1591"/>
      <c r="J10" s="685"/>
      <c r="K10" s="685"/>
    </row>
    <row r="11" spans="1:11" s="682" customFormat="1">
      <c r="A11" s="1590"/>
      <c r="B11" s="709" t="s">
        <v>3591</v>
      </c>
      <c r="C11" s="911">
        <f>SUM(C12:C13)</f>
        <v>0</v>
      </c>
      <c r="D11" s="911">
        <f>SUM(D12:D13)</f>
        <v>14522331.659999996</v>
      </c>
      <c r="E11" s="911">
        <f>SUM(E12:E13)</f>
        <v>72133371.280000001</v>
      </c>
      <c r="F11" s="911">
        <f>SUM(F12:F13)</f>
        <v>7343257</v>
      </c>
      <c r="G11" s="911">
        <f>SUM(G12:G13)</f>
        <v>0</v>
      </c>
      <c r="H11" s="911">
        <f>SUM(C11:G11)+1</f>
        <v>93998960.939999998</v>
      </c>
      <c r="I11" s="1595"/>
      <c r="J11" s="916"/>
      <c r="K11" s="916"/>
    </row>
    <row r="12" spans="1:11" s="670" customFormat="1">
      <c r="A12" s="1590"/>
      <c r="B12" s="1332" t="s">
        <v>800</v>
      </c>
      <c r="C12" s="658"/>
      <c r="D12" s="658">
        <f>'Appendix B'!B8</f>
        <v>26358572.659999996</v>
      </c>
      <c r="E12" s="658">
        <f>'Appendix B'!B21</f>
        <v>77263592.280000001</v>
      </c>
      <c r="F12" s="658">
        <f>'Appendix B'!B26</f>
        <v>16349702</v>
      </c>
      <c r="G12" s="658"/>
      <c r="H12" s="658">
        <f>SUM(C12:G12)</f>
        <v>119971866.94</v>
      </c>
      <c r="I12" s="1591"/>
      <c r="J12" s="685"/>
      <c r="K12" s="916"/>
    </row>
    <row r="13" spans="1:11" s="670" customFormat="1">
      <c r="A13" s="1590"/>
      <c r="B13" s="1332" t="s">
        <v>801</v>
      </c>
      <c r="C13" s="482"/>
      <c r="D13" s="482">
        <f>-'Appendix B'!I8</f>
        <v>-11836241</v>
      </c>
      <c r="E13" s="482">
        <f>-'Appendix B'!I21</f>
        <v>-5130221</v>
      </c>
      <c r="F13" s="482">
        <f>-'Appendix B'!I26</f>
        <v>-9006445</v>
      </c>
      <c r="G13" s="482"/>
      <c r="H13" s="482">
        <f t="shared" ref="H13:H21" si="0">SUM(C13:G13)</f>
        <v>-25972907</v>
      </c>
      <c r="I13" s="1591"/>
      <c r="J13" s="685"/>
      <c r="K13" s="685"/>
    </row>
    <row r="14" spans="1:11" s="670" customFormat="1">
      <c r="A14" s="1590"/>
      <c r="B14" s="708" t="s">
        <v>802</v>
      </c>
      <c r="C14" s="658"/>
      <c r="D14" s="658">
        <f>'Appendix B'!C8</f>
        <v>2175147.5999999996</v>
      </c>
      <c r="E14" s="658">
        <f>'Appendix B'!C21</f>
        <v>9463953.1300000008</v>
      </c>
      <c r="F14" s="658">
        <f>'Appendix B'!C26</f>
        <v>725462.85000000009</v>
      </c>
      <c r="G14" s="658">
        <v>0</v>
      </c>
      <c r="H14" s="658">
        <f>SUM(C14:G14)</f>
        <v>12364563.58</v>
      </c>
      <c r="I14" s="1591"/>
      <c r="J14" s="685"/>
      <c r="K14" s="685"/>
    </row>
    <row r="15" spans="1:11" s="670" customFormat="1">
      <c r="A15" s="1590"/>
      <c r="B15" s="708" t="s">
        <v>1050</v>
      </c>
      <c r="C15" s="659"/>
      <c r="D15" s="659"/>
      <c r="E15" s="659">
        <v>0</v>
      </c>
      <c r="F15" s="659">
        <v>0</v>
      </c>
      <c r="G15" s="659"/>
      <c r="H15" s="659">
        <f t="shared" si="0"/>
        <v>0</v>
      </c>
      <c r="I15" s="1591"/>
      <c r="J15" s="685"/>
      <c r="K15" s="685"/>
    </row>
    <row r="16" spans="1:11" s="670" customFormat="1">
      <c r="A16" s="1590"/>
      <c r="B16" s="708" t="s">
        <v>2489</v>
      </c>
      <c r="C16" s="659"/>
      <c r="D16" s="659"/>
      <c r="E16" s="659">
        <f>'Appendix B'!E21</f>
        <v>0</v>
      </c>
      <c r="F16" s="659">
        <v>0</v>
      </c>
      <c r="G16" s="659">
        <v>0</v>
      </c>
      <c r="H16" s="659">
        <f t="shared" si="0"/>
        <v>0</v>
      </c>
      <c r="I16" s="1591"/>
      <c r="J16" s="685"/>
      <c r="K16" s="685"/>
    </row>
    <row r="17" spans="1:12" s="670" customFormat="1">
      <c r="A17" s="1590"/>
      <c r="B17" s="708" t="s">
        <v>2490</v>
      </c>
      <c r="C17" s="659"/>
      <c r="D17" s="659">
        <f>-'Appendix B'!J8</f>
        <v>-1317335.2899999998</v>
      </c>
      <c r="E17" s="912">
        <f>-'Appendix B'!J21</f>
        <v>-1099236.95</v>
      </c>
      <c r="F17" s="912">
        <f>-'Appendix B'!J26</f>
        <v>-2390549.9800000004</v>
      </c>
      <c r="G17" s="659"/>
      <c r="H17" s="659">
        <f t="shared" si="0"/>
        <v>-4807122.2200000007</v>
      </c>
      <c r="I17" s="1591"/>
      <c r="J17" s="685"/>
      <c r="K17" s="685"/>
    </row>
    <row r="18" spans="1:12" s="670" customFormat="1">
      <c r="A18" s="1590"/>
      <c r="B18" s="708"/>
      <c r="C18" s="659"/>
      <c r="D18" s="659">
        <f>'Appendix B'!K8</f>
        <v>-119211</v>
      </c>
      <c r="E18" s="912">
        <f>'Appendix B'!K21</f>
        <v>-823522</v>
      </c>
      <c r="F18" s="912">
        <f>'Appendix B'!K26</f>
        <v>-668485</v>
      </c>
      <c r="G18" s="659"/>
      <c r="H18" s="659">
        <f t="shared" si="0"/>
        <v>-1611218</v>
      </c>
      <c r="I18" s="1591"/>
      <c r="J18" s="685"/>
      <c r="K18" s="685"/>
    </row>
    <row r="19" spans="1:12" s="670" customFormat="1">
      <c r="A19" s="1590"/>
      <c r="B19" s="708" t="s">
        <v>2491</v>
      </c>
      <c r="C19" s="482">
        <f>SUM(C20:C21)</f>
        <v>0</v>
      </c>
      <c r="D19" s="482">
        <f>'Appendix B'!F8+'Appendix B'!L8</f>
        <v>0</v>
      </c>
      <c r="E19" s="482">
        <f>'Appendix B'!F21+'Appendix B'!L21</f>
        <v>-4626370</v>
      </c>
      <c r="F19" s="482">
        <f>'Appendix B'!F26+'Appendix B'!L26</f>
        <v>-4563.13</v>
      </c>
      <c r="G19" s="482">
        <f>SUM(G20:G21)</f>
        <v>0</v>
      </c>
      <c r="H19" s="482">
        <f t="shared" si="0"/>
        <v>-4630933.13</v>
      </c>
      <c r="I19" s="1591"/>
      <c r="J19" s="685"/>
      <c r="K19" s="685"/>
    </row>
    <row r="20" spans="1:12" s="670" customFormat="1">
      <c r="A20" s="1590"/>
      <c r="B20" s="1332" t="s">
        <v>800</v>
      </c>
      <c r="C20" s="658"/>
      <c r="D20" s="658">
        <f>'Appendix B'!F8</f>
        <v>0</v>
      </c>
      <c r="E20" s="658">
        <f>'Appendix B'!F21</f>
        <v>-4626370</v>
      </c>
      <c r="F20" s="658">
        <f>'Appendix B'!F26</f>
        <v>-9261.94</v>
      </c>
      <c r="G20" s="658">
        <v>0</v>
      </c>
      <c r="H20" s="658">
        <f t="shared" si="0"/>
        <v>-4635631.9400000004</v>
      </c>
      <c r="I20" s="1591"/>
      <c r="J20" s="916"/>
      <c r="K20" s="685"/>
    </row>
    <row r="21" spans="1:12" s="670" customFormat="1">
      <c r="A21" s="1590"/>
      <c r="B21" s="1332" t="s">
        <v>2492</v>
      </c>
      <c r="C21" s="482"/>
      <c r="D21" s="482">
        <f>'Appendix B'!L8</f>
        <v>0</v>
      </c>
      <c r="E21" s="482">
        <f>-'Appendix B'!K24</f>
        <v>0</v>
      </c>
      <c r="F21" s="482">
        <f>'Appendix B'!L26</f>
        <v>4698.8100000000004</v>
      </c>
      <c r="G21" s="482">
        <v>0</v>
      </c>
      <c r="H21" s="482">
        <f t="shared" si="0"/>
        <v>4698.8100000000004</v>
      </c>
      <c r="I21" s="1591"/>
      <c r="J21" s="685"/>
      <c r="K21" s="685"/>
    </row>
    <row r="22" spans="1:12" s="682" customFormat="1">
      <c r="A22" s="1590"/>
      <c r="B22" s="709" t="s">
        <v>3592</v>
      </c>
      <c r="C22" s="912">
        <f>C23+C24</f>
        <v>0</v>
      </c>
      <c r="D22" s="912">
        <f>'Appendix B'!O8</f>
        <v>15499354.970000001</v>
      </c>
      <c r="E22" s="912">
        <f>'Appendix B'!O21</f>
        <v>76695239.460000008</v>
      </c>
      <c r="F22" s="912">
        <f>'Appendix B'!O26</f>
        <v>5918715.7400000002</v>
      </c>
      <c r="G22" s="912">
        <f>G23+G24</f>
        <v>0</v>
      </c>
      <c r="H22" s="912">
        <f>SUM(D22:F22)</f>
        <v>98113310.170000002</v>
      </c>
      <c r="I22" s="1595"/>
      <c r="J22" s="916" t="s">
        <v>45</v>
      </c>
      <c r="K22" s="916" t="s">
        <v>45</v>
      </c>
      <c r="L22" s="916"/>
    </row>
    <row r="23" spans="1:12" s="670" customFormat="1">
      <c r="A23" s="1590"/>
      <c r="B23" s="708" t="s">
        <v>800</v>
      </c>
      <c r="C23" s="659">
        <f>C12+C14+C16+C20</f>
        <v>0</v>
      </c>
      <c r="D23" s="659">
        <f>'Appendix B'!G8</f>
        <v>28533720.259999998</v>
      </c>
      <c r="E23" s="659">
        <f>'Appendix B'!G21</f>
        <v>82101175.409999996</v>
      </c>
      <c r="F23" s="659">
        <f>'Appendix B'!G26+'Appendix B'!D26</f>
        <v>16219150.909999998</v>
      </c>
      <c r="G23" s="659">
        <f>G12+G14+G16+G20</f>
        <v>0</v>
      </c>
      <c r="H23" s="659">
        <f>SUM(C23:G23)</f>
        <v>126854046.57999998</v>
      </c>
      <c r="I23" s="1591"/>
      <c r="J23" s="685"/>
      <c r="K23" s="685"/>
    </row>
    <row r="24" spans="1:12" s="670" customFormat="1">
      <c r="A24" s="1590"/>
      <c r="B24" s="708" t="s">
        <v>801</v>
      </c>
      <c r="C24" s="482">
        <f>C21+C17+C13</f>
        <v>0</v>
      </c>
      <c r="D24" s="482">
        <f>+D13+D17+D21-D19-D18</f>
        <v>-13034365.289999999</v>
      </c>
      <c r="E24" s="482">
        <f>+E13+E17+E21-E18</f>
        <v>-5405935.9500000002</v>
      </c>
      <c r="F24" s="482">
        <f>+F13+F17+F21-F18</f>
        <v>-10723811.17</v>
      </c>
      <c r="G24" s="482">
        <f>G21+G17+G13</f>
        <v>0</v>
      </c>
      <c r="H24" s="482">
        <f>SUM(C24:G24)</f>
        <v>-29164112.409999996</v>
      </c>
      <c r="I24" s="1591"/>
      <c r="J24" s="685"/>
      <c r="K24" s="685"/>
    </row>
    <row r="25" spans="1:12" s="670" customFormat="1">
      <c r="A25" s="1590"/>
      <c r="B25" s="708"/>
      <c r="C25" s="655"/>
      <c r="D25" s="655"/>
      <c r="E25" s="655"/>
      <c r="F25" s="655"/>
      <c r="G25" s="655"/>
      <c r="H25" s="655"/>
      <c r="I25" s="1591"/>
      <c r="J25" s="685"/>
      <c r="K25" s="685"/>
    </row>
    <row r="26" spans="1:12" s="670" customFormat="1">
      <c r="A26" s="1590"/>
      <c r="B26" s="709" t="s">
        <v>804</v>
      </c>
      <c r="C26" s="655"/>
      <c r="D26" s="655"/>
      <c r="E26" s="655"/>
      <c r="F26" s="655"/>
      <c r="G26" s="655"/>
      <c r="H26" s="655"/>
      <c r="I26" s="1591"/>
      <c r="J26" s="685"/>
      <c r="K26" s="685"/>
    </row>
    <row r="27" spans="1:12" s="670" customFormat="1">
      <c r="A27" s="1590"/>
      <c r="B27" s="709" t="s">
        <v>2985</v>
      </c>
      <c r="C27" s="911">
        <f>SUM(C28:C29)</f>
        <v>0</v>
      </c>
      <c r="D27" s="911">
        <f>SUM(D28:D29)</f>
        <v>15499354.969999999</v>
      </c>
      <c r="E27" s="658">
        <f>SUM(E28:E29)</f>
        <v>76695239.459999993</v>
      </c>
      <c r="F27" s="911">
        <f>SUM(F28:F29)</f>
        <v>5918715.7399999965</v>
      </c>
      <c r="G27" s="911">
        <f>SUM(G28:G29)</f>
        <v>0</v>
      </c>
      <c r="H27" s="911">
        <f t="shared" ref="H27:H36" si="1">SUM(C27:G27)</f>
        <v>98113310.169999987</v>
      </c>
      <c r="I27" s="1591"/>
      <c r="J27" s="685"/>
      <c r="K27" s="685"/>
    </row>
    <row r="28" spans="1:12" s="670" customFormat="1">
      <c r="A28" s="1590"/>
      <c r="B28" s="1332" t="s">
        <v>800</v>
      </c>
      <c r="C28" s="658"/>
      <c r="D28" s="658">
        <f>'Appendix B'!G8</f>
        <v>28533720.259999998</v>
      </c>
      <c r="E28" s="658">
        <f>'Appendix B'!G21</f>
        <v>82101175.409999996</v>
      </c>
      <c r="F28" s="658">
        <f>'Appendix B'!G26</f>
        <v>16642526.909999998</v>
      </c>
      <c r="G28" s="658"/>
      <c r="H28" s="658">
        <f t="shared" si="1"/>
        <v>127277422.57999998</v>
      </c>
      <c r="I28" s="1591"/>
      <c r="J28" s="685"/>
      <c r="K28" s="685"/>
    </row>
    <row r="29" spans="1:12" s="670" customFormat="1">
      <c r="A29" s="1590"/>
      <c r="B29" s="1332" t="s">
        <v>801</v>
      </c>
      <c r="C29" s="482"/>
      <c r="D29" s="482">
        <f>-'Appendix B'!M8</f>
        <v>-13034365.289999999</v>
      </c>
      <c r="E29" s="482">
        <f>-'Appendix B'!M21</f>
        <v>-5405935.9499999993</v>
      </c>
      <c r="F29" s="482">
        <f>-'Appendix B'!M26</f>
        <v>-10723811.170000002</v>
      </c>
      <c r="G29" s="482"/>
      <c r="H29" s="482">
        <f t="shared" si="1"/>
        <v>-29164112.41</v>
      </c>
      <c r="I29" s="1591"/>
      <c r="J29" s="685"/>
      <c r="K29" s="685"/>
    </row>
    <row r="30" spans="1:12" s="670" customFormat="1">
      <c r="A30" s="1590"/>
      <c r="B30" s="708" t="s">
        <v>802</v>
      </c>
      <c r="C30" s="658">
        <v>0</v>
      </c>
      <c r="D30" s="658">
        <v>0</v>
      </c>
      <c r="E30" s="658">
        <v>0</v>
      </c>
      <c r="F30" s="658">
        <v>0</v>
      </c>
      <c r="G30" s="658">
        <v>0</v>
      </c>
      <c r="H30" s="658">
        <f t="shared" si="1"/>
        <v>0</v>
      </c>
      <c r="I30" s="1591"/>
      <c r="J30" s="685"/>
      <c r="K30" s="685"/>
    </row>
    <row r="31" spans="1:12" s="670" customFormat="1">
      <c r="A31" s="1590"/>
      <c r="B31" s="708" t="s">
        <v>2489</v>
      </c>
      <c r="C31" s="659">
        <v>0</v>
      </c>
      <c r="D31" s="659">
        <v>0</v>
      </c>
      <c r="E31" s="659">
        <v>0</v>
      </c>
      <c r="F31" s="659">
        <v>0</v>
      </c>
      <c r="G31" s="659">
        <v>0</v>
      </c>
      <c r="H31" s="659">
        <f t="shared" si="1"/>
        <v>0</v>
      </c>
      <c r="I31" s="1591"/>
      <c r="J31" s="685"/>
      <c r="K31" s="685"/>
    </row>
    <row r="32" spans="1:12" s="670" customFormat="1">
      <c r="A32" s="1590"/>
      <c r="B32" s="708" t="s">
        <v>2490</v>
      </c>
      <c r="C32" s="659">
        <v>0</v>
      </c>
      <c r="D32" s="659">
        <v>0</v>
      </c>
      <c r="E32" s="659">
        <v>0</v>
      </c>
      <c r="F32" s="659">
        <v>0</v>
      </c>
      <c r="G32" s="659">
        <v>0</v>
      </c>
      <c r="H32" s="659">
        <f t="shared" si="1"/>
        <v>0</v>
      </c>
      <c r="I32" s="1591"/>
      <c r="J32" s="685"/>
      <c r="K32" s="685"/>
    </row>
    <row r="33" spans="1:11" s="670" customFormat="1">
      <c r="A33" s="1590"/>
      <c r="B33" s="708" t="s">
        <v>2491</v>
      </c>
      <c r="C33" s="482">
        <f>SUM(C34:C35)</f>
        <v>0</v>
      </c>
      <c r="D33" s="482">
        <f>SUM(D34:D35)</f>
        <v>0</v>
      </c>
      <c r="E33" s="482">
        <f>SUM(E34:E35)</f>
        <v>0</v>
      </c>
      <c r="F33" s="482">
        <v>0</v>
      </c>
      <c r="G33" s="482">
        <v>0</v>
      </c>
      <c r="H33" s="482">
        <f t="shared" si="1"/>
        <v>0</v>
      </c>
      <c r="I33" s="1591"/>
      <c r="J33" s="685"/>
      <c r="K33" s="685"/>
    </row>
    <row r="34" spans="1:11" s="670" customFormat="1">
      <c r="A34" s="1590"/>
      <c r="B34" s="1332" t="s">
        <v>800</v>
      </c>
      <c r="C34" s="658">
        <v>0</v>
      </c>
      <c r="D34" s="658">
        <v>0</v>
      </c>
      <c r="E34" s="658">
        <v>0</v>
      </c>
      <c r="F34" s="658">
        <v>0</v>
      </c>
      <c r="G34" s="658">
        <v>0</v>
      </c>
      <c r="H34" s="658">
        <f t="shared" si="1"/>
        <v>0</v>
      </c>
      <c r="I34" s="1591"/>
      <c r="J34" s="685"/>
      <c r="K34" s="685"/>
    </row>
    <row r="35" spans="1:11" s="670" customFormat="1">
      <c r="A35" s="1590"/>
      <c r="B35" s="1332" t="s">
        <v>2492</v>
      </c>
      <c r="C35" s="482">
        <v>0</v>
      </c>
      <c r="D35" s="482">
        <v>0</v>
      </c>
      <c r="E35" s="482">
        <v>0</v>
      </c>
      <c r="F35" s="482">
        <v>0</v>
      </c>
      <c r="G35" s="482">
        <v>0</v>
      </c>
      <c r="H35" s="659">
        <f t="shared" si="1"/>
        <v>0</v>
      </c>
      <c r="I35" s="1591"/>
      <c r="J35" s="685"/>
      <c r="K35" s="685"/>
    </row>
    <row r="36" spans="1:11" s="670" customFormat="1">
      <c r="A36" s="1590"/>
      <c r="B36" s="708" t="s">
        <v>2493</v>
      </c>
      <c r="C36" s="659">
        <v>0</v>
      </c>
      <c r="D36" s="659">
        <v>0</v>
      </c>
      <c r="E36" s="659">
        <v>0</v>
      </c>
      <c r="F36" s="659">
        <v>0</v>
      </c>
      <c r="G36" s="734">
        <v>0</v>
      </c>
      <c r="H36" s="658">
        <f t="shared" si="1"/>
        <v>0</v>
      </c>
      <c r="I36" s="1591"/>
      <c r="J36" s="685"/>
      <c r="K36" s="685"/>
    </row>
    <row r="37" spans="1:11" s="682" customFormat="1">
      <c r="A37" s="1590"/>
      <c r="B37" s="709" t="s">
        <v>2676</v>
      </c>
      <c r="C37" s="912">
        <f>C38+C39</f>
        <v>0</v>
      </c>
      <c r="D37" s="912">
        <f>D38+D39</f>
        <v>14522331.659999996</v>
      </c>
      <c r="E37" s="912">
        <f>E38+E39</f>
        <v>72133371.280000001</v>
      </c>
      <c r="F37" s="912">
        <f>F38+F39</f>
        <v>7343257</v>
      </c>
      <c r="G37" s="688">
        <f>G38+G39</f>
        <v>0</v>
      </c>
      <c r="H37" s="912">
        <f>SUM(H38:H39)+1</f>
        <v>93998960.939999998</v>
      </c>
      <c r="I37" s="1595"/>
      <c r="J37" s="916"/>
      <c r="K37" s="916"/>
    </row>
    <row r="38" spans="1:11" s="670" customFormat="1">
      <c r="A38" s="1590"/>
      <c r="B38" s="708" t="s">
        <v>800</v>
      </c>
      <c r="C38" s="659">
        <f>C28+C30+C31+C34+C36</f>
        <v>0</v>
      </c>
      <c r="D38" s="659">
        <f t="shared" ref="D38:F39" si="2">D12</f>
        <v>26358572.659999996</v>
      </c>
      <c r="E38" s="659">
        <f t="shared" si="2"/>
        <v>77263592.280000001</v>
      </c>
      <c r="F38" s="659">
        <f t="shared" si="2"/>
        <v>16349702</v>
      </c>
      <c r="G38" s="734">
        <f>G28+G30+G31+G34+G36</f>
        <v>0</v>
      </c>
      <c r="H38" s="659">
        <f>SUM(C38:G38)</f>
        <v>119971866.94</v>
      </c>
      <c r="I38" s="1591"/>
      <c r="J38" s="685"/>
      <c r="K38" s="685"/>
    </row>
    <row r="39" spans="1:11" s="670" customFormat="1">
      <c r="A39" s="1590"/>
      <c r="B39" s="708" t="s">
        <v>801</v>
      </c>
      <c r="C39" s="482">
        <f>C35+C32+C29</f>
        <v>0</v>
      </c>
      <c r="D39" s="482">
        <f t="shared" si="2"/>
        <v>-11836241</v>
      </c>
      <c r="E39" s="482">
        <f t="shared" si="2"/>
        <v>-5130221</v>
      </c>
      <c r="F39" s="482">
        <f t="shared" si="2"/>
        <v>-9006445</v>
      </c>
      <c r="G39" s="917">
        <f>G35+G32+G29</f>
        <v>0</v>
      </c>
      <c r="H39" s="482">
        <f>SUM(D39:G39)</f>
        <v>-25972907</v>
      </c>
      <c r="I39" s="1591"/>
      <c r="J39" s="685"/>
      <c r="K39" s="685"/>
    </row>
    <row r="40" spans="1:11" s="670" customFormat="1">
      <c r="A40" s="1596"/>
      <c r="B40" s="699"/>
      <c r="C40" s="700"/>
      <c r="D40" s="918"/>
      <c r="E40" s="918"/>
      <c r="F40" s="918"/>
      <c r="G40" s="918"/>
      <c r="H40" s="918"/>
      <c r="I40" s="1597"/>
      <c r="J40" s="685"/>
      <c r="K40" s="685"/>
    </row>
    <row r="41" spans="1:11" s="670" customFormat="1" ht="57.75" customHeight="1">
      <c r="A41" s="1590"/>
      <c r="B41" s="1824" t="s">
        <v>3869</v>
      </c>
      <c r="C41" s="1824"/>
      <c r="D41" s="1824"/>
      <c r="E41" s="1824"/>
      <c r="F41" s="1824"/>
      <c r="G41" s="1824"/>
      <c r="H41" s="1824"/>
      <c r="I41" s="1591"/>
      <c r="J41" s="685"/>
      <c r="K41" s="685"/>
    </row>
    <row r="42" spans="1:11" s="670" customFormat="1" ht="13.5" thickBot="1">
      <c r="A42" s="1598"/>
      <c r="B42" s="1825"/>
      <c r="C42" s="1825"/>
      <c r="D42" s="1825"/>
      <c r="E42" s="1825"/>
      <c r="F42" s="1825"/>
      <c r="G42" s="1825"/>
      <c r="H42" s="1825"/>
      <c r="I42" s="1599"/>
      <c r="J42" s="685"/>
      <c r="K42" s="685"/>
    </row>
    <row r="43" spans="1:11" s="670" customFormat="1" ht="13.5" thickTop="1">
      <c r="A43" s="703"/>
      <c r="C43" s="655"/>
      <c r="D43" s="685"/>
      <c r="E43" s="685"/>
      <c r="F43" s="685"/>
      <c r="G43" s="685"/>
      <c r="H43" s="685"/>
      <c r="J43" s="685"/>
      <c r="K43" s="685"/>
    </row>
    <row r="44" spans="1:11" s="670" customFormat="1">
      <c r="A44" s="703"/>
      <c r="C44" s="655"/>
      <c r="D44" s="685"/>
      <c r="E44" s="685"/>
      <c r="F44" s="685"/>
      <c r="G44" s="685"/>
      <c r="H44" s="685"/>
      <c r="J44" s="685"/>
      <c r="K44" s="685"/>
    </row>
    <row r="45" spans="1:11" s="670" customFormat="1">
      <c r="A45" s="703"/>
      <c r="C45" s="655"/>
      <c r="D45" s="685"/>
      <c r="E45" s="685"/>
      <c r="F45" s="685"/>
      <c r="G45" s="685"/>
      <c r="H45" s="685"/>
      <c r="J45" s="685"/>
      <c r="K45" s="685"/>
    </row>
    <row r="46" spans="1:11">
      <c r="B46" s="707"/>
    </row>
    <row r="47" spans="1:11">
      <c r="B47" s="707"/>
    </row>
    <row r="125" spans="7:7">
      <c r="G125" s="735">
        <v>5253981.1399999997</v>
      </c>
    </row>
  </sheetData>
  <mergeCells count="3">
    <mergeCell ref="A1:I1"/>
    <mergeCell ref="A2:I2"/>
    <mergeCell ref="B41:H42"/>
  </mergeCells>
  <phoneticPr fontId="0" type="noConversion"/>
  <printOptions horizontalCentered="1"/>
  <pageMargins left="0.6692913385826772" right="0.39370078740157483" top="0.98425196850393704" bottom="0.98425196850393704" header="0.51181102362204722" footer="0.51181102362204722"/>
  <pageSetup scale="79" orientation="landscape" r:id="rId1"/>
  <headerFooter>
    <oddHeader>&amp;C FINANCIAL STATEMENTS: MUSINA LOCAL MUNICIPALITY</oddHeader>
    <oddFooter>&amp;RPage &amp;P</oddFooter>
  </headerFooter>
</worksheet>
</file>

<file path=xl/worksheets/sheet12.xml><?xml version="1.0" encoding="utf-8"?>
<worksheet xmlns="http://schemas.openxmlformats.org/spreadsheetml/2006/main" xmlns:r="http://schemas.openxmlformats.org/officeDocument/2006/relationships">
  <sheetPr>
    <pageSetUpPr fitToPage="1"/>
  </sheetPr>
  <dimension ref="A1:L125"/>
  <sheetViews>
    <sheetView tabSelected="1" view="pageBreakPreview" zoomScaleSheetLayoutView="100" workbookViewId="0">
      <selection activeCell="B43" sqref="B43"/>
    </sheetView>
  </sheetViews>
  <sheetFormatPr defaultRowHeight="12.75"/>
  <cols>
    <col min="1" max="1" width="3.5703125" style="445" bestFit="1" customWidth="1"/>
    <col min="2" max="2" width="38.28515625" style="239" bestFit="1" customWidth="1"/>
    <col min="3" max="8" width="14.7109375" style="268" customWidth="1"/>
    <col min="9" max="16384" width="9.140625" style="239"/>
  </cols>
  <sheetData>
    <row r="1" spans="1:9" ht="13.5" thickTop="1">
      <c r="A1" s="1827" t="s">
        <v>2486</v>
      </c>
      <c r="B1" s="1828"/>
      <c r="C1" s="1828"/>
      <c r="D1" s="1828"/>
      <c r="E1" s="1828"/>
      <c r="F1" s="1828"/>
      <c r="G1" s="1828"/>
      <c r="H1" s="1828"/>
      <c r="I1" s="1600"/>
    </row>
    <row r="2" spans="1:9">
      <c r="A2" s="1829" t="s">
        <v>3498</v>
      </c>
      <c r="B2" s="1830"/>
      <c r="C2" s="1830"/>
      <c r="D2" s="1830"/>
      <c r="E2" s="1830"/>
      <c r="F2" s="1830"/>
      <c r="G2" s="1830"/>
      <c r="H2" s="1830"/>
      <c r="I2" s="1601"/>
    </row>
    <row r="3" spans="1:9" s="312" customFormat="1" ht="15">
      <c r="A3" s="1602" t="s">
        <v>3110</v>
      </c>
      <c r="B3" s="172" t="s">
        <v>447</v>
      </c>
      <c r="C3" s="370"/>
      <c r="D3" s="370"/>
      <c r="E3" s="370"/>
      <c r="F3" s="370"/>
      <c r="G3" s="370"/>
      <c r="H3" s="370"/>
      <c r="I3" s="1603"/>
    </row>
    <row r="4" spans="1:9">
      <c r="A4" s="1604"/>
      <c r="B4" s="218"/>
      <c r="C4" s="214"/>
      <c r="D4" s="214"/>
      <c r="E4" s="214"/>
      <c r="F4" s="214"/>
      <c r="G4" s="214"/>
      <c r="H4" s="214"/>
      <c r="I4" s="1601"/>
    </row>
    <row r="5" spans="1:9" s="444" customFormat="1" ht="25.5">
      <c r="A5" s="1604"/>
      <c r="B5" s="170"/>
      <c r="C5" s="263" t="s">
        <v>3098</v>
      </c>
      <c r="D5" s="263" t="s">
        <v>3099</v>
      </c>
      <c r="E5" s="263" t="s">
        <v>3100</v>
      </c>
      <c r="F5" s="263" t="s">
        <v>3101</v>
      </c>
      <c r="G5" s="263" t="s">
        <v>3101</v>
      </c>
      <c r="H5" s="263" t="s">
        <v>1740</v>
      </c>
      <c r="I5" s="1605"/>
    </row>
    <row r="6" spans="1:9" s="444" customFormat="1">
      <c r="A6" s="1604"/>
      <c r="B6" s="170"/>
      <c r="C6" s="371" t="s">
        <v>2422</v>
      </c>
      <c r="D6" s="371" t="s">
        <v>2422</v>
      </c>
      <c r="E6" s="371" t="s">
        <v>2422</v>
      </c>
      <c r="F6" s="371" t="s">
        <v>2422</v>
      </c>
      <c r="G6" s="371" t="s">
        <v>2422</v>
      </c>
      <c r="H6" s="371" t="s">
        <v>2422</v>
      </c>
      <c r="I6" s="1605"/>
    </row>
    <row r="7" spans="1:9" s="269" customFormat="1">
      <c r="A7" s="1604"/>
      <c r="B7" s="174" t="s">
        <v>45</v>
      </c>
      <c r="C7" s="220"/>
      <c r="D7" s="220"/>
      <c r="E7" s="220"/>
      <c r="F7" s="220"/>
      <c r="G7" s="220"/>
      <c r="H7" s="220"/>
      <c r="I7" s="1601"/>
    </row>
    <row r="8" spans="1:9" s="373" customFormat="1">
      <c r="A8" s="1604"/>
      <c r="B8" s="174" t="s">
        <v>3591</v>
      </c>
      <c r="C8" s="376">
        <f>SUM(C9:C10)</f>
        <v>0</v>
      </c>
      <c r="D8" s="375">
        <v>562</v>
      </c>
      <c r="E8" s="376">
        <f>SUM(E9:E10)</f>
        <v>0</v>
      </c>
      <c r="F8" s="376">
        <f>SUM(F9:F10)</f>
        <v>0</v>
      </c>
      <c r="G8" s="376">
        <f>SUM(G9:G10)</f>
        <v>0</v>
      </c>
      <c r="H8" s="375">
        <f>SUM(C8:G8)</f>
        <v>562</v>
      </c>
      <c r="I8" s="1606"/>
    </row>
    <row r="9" spans="1:9" s="269" customFormat="1">
      <c r="A9" s="1604"/>
      <c r="B9" s="1339" t="s">
        <v>800</v>
      </c>
      <c r="C9" s="377">
        <f>+C42</f>
        <v>0</v>
      </c>
      <c r="D9" s="221">
        <v>700</v>
      </c>
      <c r="E9" s="377">
        <f t="shared" ref="E9:G10" si="0">+E42</f>
        <v>0</v>
      </c>
      <c r="F9" s="377">
        <f t="shared" si="0"/>
        <v>0</v>
      </c>
      <c r="G9" s="377">
        <f t="shared" si="0"/>
        <v>0</v>
      </c>
      <c r="H9" s="221">
        <f>SUM(C9:G9)</f>
        <v>700</v>
      </c>
      <c r="I9" s="1601"/>
    </row>
    <row r="10" spans="1:9" s="269" customFormat="1">
      <c r="A10" s="1604"/>
      <c r="B10" s="1339" t="s">
        <v>3102</v>
      </c>
      <c r="C10" s="378">
        <f>+C43</f>
        <v>0</v>
      </c>
      <c r="D10" s="219">
        <f>D8-D9</f>
        <v>-138</v>
      </c>
      <c r="E10" s="378">
        <v>0</v>
      </c>
      <c r="F10" s="378">
        <f t="shared" si="0"/>
        <v>0</v>
      </c>
      <c r="G10" s="378">
        <f t="shared" si="0"/>
        <v>0</v>
      </c>
      <c r="H10" s="220">
        <f>SUM(C10:G10)</f>
        <v>-138</v>
      </c>
      <c r="I10" s="1601"/>
    </row>
    <row r="11" spans="1:9" s="269" customFormat="1">
      <c r="A11" s="1604"/>
      <c r="B11" s="227" t="s">
        <v>3103</v>
      </c>
      <c r="C11" s="377">
        <v>0</v>
      </c>
      <c r="D11" s="221">
        <v>0</v>
      </c>
      <c r="E11" s="377">
        <v>0</v>
      </c>
      <c r="F11" s="377">
        <v>0</v>
      </c>
      <c r="G11" s="377">
        <v>0</v>
      </c>
      <c r="H11" s="221">
        <v>0</v>
      </c>
      <c r="I11" s="1601"/>
    </row>
    <row r="12" spans="1:9" s="269" customFormat="1">
      <c r="A12" s="1604"/>
      <c r="B12" s="227" t="s">
        <v>3104</v>
      </c>
      <c r="C12" s="378">
        <v>0</v>
      </c>
      <c r="D12" s="219">
        <v>0</v>
      </c>
      <c r="E12" s="378">
        <v>0</v>
      </c>
      <c r="F12" s="378">
        <v>0</v>
      </c>
      <c r="G12" s="378">
        <v>0</v>
      </c>
      <c r="H12" s="219">
        <v>0</v>
      </c>
      <c r="I12" s="1601"/>
    </row>
    <row r="13" spans="1:9" s="269" customFormat="1">
      <c r="A13" s="1604"/>
      <c r="B13" s="227" t="s">
        <v>3105</v>
      </c>
      <c r="C13" s="378">
        <v>0</v>
      </c>
      <c r="D13" s="219">
        <v>0</v>
      </c>
      <c r="E13" s="378">
        <v>0</v>
      </c>
      <c r="F13" s="378">
        <v>0</v>
      </c>
      <c r="G13" s="378">
        <v>0</v>
      </c>
      <c r="H13" s="219">
        <f>SUM(C13:G13)</f>
        <v>0</v>
      </c>
      <c r="I13" s="1601"/>
    </row>
    <row r="14" spans="1:9" s="269" customFormat="1">
      <c r="A14" s="1604"/>
      <c r="B14" s="227" t="s">
        <v>3106</v>
      </c>
      <c r="C14" s="378">
        <v>0</v>
      </c>
      <c r="D14" s="219">
        <v>0</v>
      </c>
      <c r="E14" s="378">
        <v>0</v>
      </c>
      <c r="F14" s="378">
        <v>0</v>
      </c>
      <c r="G14" s="378">
        <v>0</v>
      </c>
      <c r="H14" s="219">
        <f>SUM(C14:G14)</f>
        <v>0</v>
      </c>
      <c r="I14" s="1601"/>
    </row>
    <row r="15" spans="1:9" s="269" customFormat="1">
      <c r="A15" s="1604"/>
      <c r="B15" s="443" t="s">
        <v>3938</v>
      </c>
      <c r="C15" s="378"/>
      <c r="D15" s="219">
        <v>423376.42</v>
      </c>
      <c r="E15" s="378"/>
      <c r="F15" s="378"/>
      <c r="G15" s="378"/>
      <c r="H15" s="219">
        <f>SUM(D15:G15)</f>
        <v>423376.42</v>
      </c>
      <c r="I15" s="1601"/>
    </row>
    <row r="16" spans="1:9" s="269" customFormat="1">
      <c r="A16" s="1604"/>
      <c r="B16" s="227" t="s">
        <v>3107</v>
      </c>
      <c r="C16" s="378">
        <v>0</v>
      </c>
      <c r="D16" s="219">
        <v>0</v>
      </c>
      <c r="E16" s="378">
        <v>0</v>
      </c>
      <c r="F16" s="378">
        <v>0</v>
      </c>
      <c r="G16" s="378">
        <v>0</v>
      </c>
      <c r="H16" s="219">
        <f>SUM(C16:G16)</f>
        <v>0</v>
      </c>
      <c r="I16" s="1601"/>
    </row>
    <row r="17" spans="1:12" s="269" customFormat="1">
      <c r="A17" s="1604"/>
      <c r="B17" s="227" t="s">
        <v>3028</v>
      </c>
      <c r="C17" s="378">
        <v>0</v>
      </c>
      <c r="D17" s="219">
        <v>0</v>
      </c>
      <c r="E17" s="378">
        <v>0</v>
      </c>
      <c r="F17" s="378">
        <v>0</v>
      </c>
      <c r="G17" s="378">
        <v>0</v>
      </c>
      <c r="H17" s="219">
        <f>SUM(C17:G17)</f>
        <v>0</v>
      </c>
      <c r="I17" s="1601"/>
    </row>
    <row r="18" spans="1:12" s="269" customFormat="1">
      <c r="A18" s="1604"/>
      <c r="B18" s="227" t="s">
        <v>3108</v>
      </c>
      <c r="C18" s="378">
        <v>0</v>
      </c>
      <c r="D18" s="219">
        <v>0</v>
      </c>
      <c r="E18" s="378">
        <v>0</v>
      </c>
      <c r="F18" s="378">
        <v>0</v>
      </c>
      <c r="G18" s="378">
        <v>0</v>
      </c>
      <c r="H18" s="219">
        <v>0</v>
      </c>
      <c r="I18" s="1601"/>
    </row>
    <row r="19" spans="1:12" s="269" customFormat="1">
      <c r="A19" s="1604"/>
      <c r="B19" s="227" t="s">
        <v>2491</v>
      </c>
      <c r="C19" s="374">
        <v>0</v>
      </c>
      <c r="D19" s="220">
        <v>0</v>
      </c>
      <c r="E19" s="374">
        <v>0</v>
      </c>
      <c r="F19" s="374">
        <v>0</v>
      </c>
      <c r="G19" s="374">
        <v>0</v>
      </c>
      <c r="H19" s="219">
        <f>SUM(C19:G19)</f>
        <v>0</v>
      </c>
      <c r="I19" s="1601"/>
    </row>
    <row r="20" spans="1:12" s="269" customFormat="1">
      <c r="A20" s="1604"/>
      <c r="B20" s="1339" t="s">
        <v>800</v>
      </c>
      <c r="C20" s="377">
        <v>0</v>
      </c>
      <c r="D20" s="221">
        <v>0</v>
      </c>
      <c r="E20" s="377">
        <v>0</v>
      </c>
      <c r="F20" s="377">
        <v>0</v>
      </c>
      <c r="G20" s="642">
        <v>0</v>
      </c>
      <c r="H20" s="221">
        <v>0</v>
      </c>
      <c r="I20" s="1601"/>
    </row>
    <row r="21" spans="1:12" s="269" customFormat="1">
      <c r="A21" s="1604"/>
      <c r="B21" s="484" t="s">
        <v>3942</v>
      </c>
      <c r="C21" s="378"/>
      <c r="D21" s="219">
        <v>110580</v>
      </c>
      <c r="E21" s="378"/>
      <c r="F21" s="378"/>
      <c r="G21" s="358"/>
      <c r="H21" s="219">
        <f>SUM(C21:G21)</f>
        <v>110580</v>
      </c>
      <c r="I21" s="1601"/>
    </row>
    <row r="22" spans="1:12" s="269" customFormat="1">
      <c r="A22" s="1604"/>
      <c r="B22" s="1339" t="s">
        <v>3102</v>
      </c>
      <c r="C22" s="374">
        <v>0</v>
      </c>
      <c r="D22" s="220">
        <v>-141263.74</v>
      </c>
      <c r="E22" s="374">
        <v>0</v>
      </c>
      <c r="F22" s="374">
        <v>0</v>
      </c>
      <c r="G22" s="643">
        <v>0</v>
      </c>
      <c r="H22" s="220">
        <f>SUM(C22:G22)</f>
        <v>-141263.74</v>
      </c>
      <c r="I22" s="1601"/>
    </row>
    <row r="23" spans="1:12" s="373" customFormat="1">
      <c r="A23" s="1604"/>
      <c r="B23" s="174" t="s">
        <v>3592</v>
      </c>
      <c r="C23" s="379">
        <f>C24+C25</f>
        <v>0</v>
      </c>
      <c r="D23" s="176">
        <v>172094.46</v>
      </c>
      <c r="E23" s="379">
        <f>E24+E25</f>
        <v>0</v>
      </c>
      <c r="F23" s="379">
        <f>F24+F25</f>
        <v>0</v>
      </c>
      <c r="G23" s="379">
        <f>G24+G25</f>
        <v>0</v>
      </c>
      <c r="H23" s="176">
        <f>SUM(D23)</f>
        <v>172094.46</v>
      </c>
      <c r="I23" s="1606"/>
    </row>
    <row r="24" spans="1:12" s="269" customFormat="1">
      <c r="A24" s="1604"/>
      <c r="B24" s="227" t="s">
        <v>800</v>
      </c>
      <c r="C24" s="377">
        <f t="shared" ref="C24:G25" si="1">+C51</f>
        <v>0</v>
      </c>
      <c r="D24" s="221">
        <v>424076.42</v>
      </c>
      <c r="E24" s="377">
        <f t="shared" si="1"/>
        <v>0</v>
      </c>
      <c r="F24" s="377">
        <f t="shared" si="1"/>
        <v>0</v>
      </c>
      <c r="G24" s="377">
        <f t="shared" si="1"/>
        <v>0</v>
      </c>
      <c r="H24" s="221">
        <f>SUM(C24:G24)</f>
        <v>424076.42</v>
      </c>
      <c r="I24" s="1601"/>
      <c r="L24" s="442"/>
    </row>
    <row r="25" spans="1:12" s="269" customFormat="1">
      <c r="A25" s="1604"/>
      <c r="B25" s="227" t="s">
        <v>3102</v>
      </c>
      <c r="C25" s="374">
        <f t="shared" si="1"/>
        <v>0</v>
      </c>
      <c r="D25" s="220">
        <v>-251981.96</v>
      </c>
      <c r="E25" s="374">
        <f t="shared" si="1"/>
        <v>0</v>
      </c>
      <c r="F25" s="374">
        <f t="shared" si="1"/>
        <v>0</v>
      </c>
      <c r="G25" s="374">
        <f t="shared" si="1"/>
        <v>0</v>
      </c>
      <c r="H25" s="220">
        <f>SUM(D25)</f>
        <v>-251981.96</v>
      </c>
      <c r="I25" s="1601"/>
    </row>
    <row r="26" spans="1:12" s="269" customFormat="1">
      <c r="A26" s="1604"/>
      <c r="B26" s="227"/>
      <c r="C26" s="217"/>
      <c r="D26" s="214"/>
      <c r="E26" s="217"/>
      <c r="F26" s="217"/>
      <c r="G26" s="217"/>
      <c r="H26" s="214"/>
      <c r="I26" s="1601"/>
    </row>
    <row r="27" spans="1:12" s="269" customFormat="1">
      <c r="A27" s="1604"/>
      <c r="B27" s="174" t="s">
        <v>45</v>
      </c>
      <c r="C27" s="217"/>
      <c r="D27" s="214"/>
      <c r="E27" s="217"/>
      <c r="F27" s="217"/>
      <c r="G27" s="217"/>
      <c r="H27" s="214"/>
      <c r="I27" s="1601"/>
    </row>
    <row r="28" spans="1:12" s="269" customFormat="1">
      <c r="A28" s="1604"/>
      <c r="B28" s="174" t="s">
        <v>2985</v>
      </c>
      <c r="C28" s="376">
        <f>SUM(C29:C30)</f>
        <v>0</v>
      </c>
      <c r="D28" s="375">
        <v>0</v>
      </c>
      <c r="E28" s="376">
        <v>0</v>
      </c>
      <c r="F28" s="376">
        <f>SUM(F29:F30)</f>
        <v>0</v>
      </c>
      <c r="G28" s="376">
        <f>SUM(G29:G30)</f>
        <v>0</v>
      </c>
      <c r="H28" s="375">
        <f t="shared" ref="H28:H40" si="2">SUM(C28:G28)</f>
        <v>0</v>
      </c>
      <c r="I28" s="1601"/>
    </row>
    <row r="29" spans="1:12" s="269" customFormat="1">
      <c r="A29" s="1604"/>
      <c r="B29" s="1339" t="s">
        <v>800</v>
      </c>
      <c r="C29" s="377">
        <v>0</v>
      </c>
      <c r="D29" s="221">
        <v>0</v>
      </c>
      <c r="E29" s="377">
        <v>0</v>
      </c>
      <c r="F29" s="377">
        <v>0</v>
      </c>
      <c r="G29" s="377">
        <v>0</v>
      </c>
      <c r="H29" s="221">
        <f t="shared" si="2"/>
        <v>0</v>
      </c>
      <c r="I29" s="1601"/>
    </row>
    <row r="30" spans="1:12" s="269" customFormat="1">
      <c r="A30" s="1604"/>
      <c r="B30" s="1339" t="s">
        <v>3109</v>
      </c>
      <c r="C30" s="378">
        <v>0</v>
      </c>
      <c r="D30" s="219">
        <v>0</v>
      </c>
      <c r="E30" s="378">
        <v>0</v>
      </c>
      <c r="F30" s="378">
        <v>0</v>
      </c>
      <c r="G30" s="378">
        <v>0</v>
      </c>
      <c r="H30" s="220">
        <f t="shared" si="2"/>
        <v>0</v>
      </c>
      <c r="I30" s="1601"/>
    </row>
    <row r="31" spans="1:12" s="269" customFormat="1">
      <c r="A31" s="1604"/>
      <c r="B31" s="227" t="s">
        <v>3103</v>
      </c>
      <c r="C31" s="377">
        <v>0</v>
      </c>
      <c r="D31" s="221">
        <v>0</v>
      </c>
      <c r="E31" s="377">
        <v>0</v>
      </c>
      <c r="F31" s="377">
        <v>0</v>
      </c>
      <c r="G31" s="377">
        <v>0</v>
      </c>
      <c r="H31" s="221">
        <f t="shared" si="2"/>
        <v>0</v>
      </c>
      <c r="I31" s="1601"/>
    </row>
    <row r="32" spans="1:12" s="269" customFormat="1">
      <c r="A32" s="1604"/>
      <c r="B32" s="227" t="s">
        <v>3104</v>
      </c>
      <c r="C32" s="378">
        <v>0</v>
      </c>
      <c r="D32" s="219">
        <v>0</v>
      </c>
      <c r="E32" s="378">
        <v>0</v>
      </c>
      <c r="F32" s="378">
        <v>0</v>
      </c>
      <c r="G32" s="378">
        <v>0</v>
      </c>
      <c r="H32" s="219">
        <f t="shared" si="2"/>
        <v>0</v>
      </c>
      <c r="I32" s="1601"/>
    </row>
    <row r="33" spans="1:9" s="269" customFormat="1">
      <c r="A33" s="1604"/>
      <c r="B33" s="227" t="s">
        <v>3105</v>
      </c>
      <c r="C33" s="378">
        <v>0</v>
      </c>
      <c r="D33" s="219">
        <v>0</v>
      </c>
      <c r="E33" s="378">
        <v>0</v>
      </c>
      <c r="F33" s="378">
        <v>0</v>
      </c>
      <c r="G33" s="378">
        <v>0</v>
      </c>
      <c r="H33" s="219">
        <f t="shared" si="2"/>
        <v>0</v>
      </c>
      <c r="I33" s="1601"/>
    </row>
    <row r="34" spans="1:9" s="269" customFormat="1">
      <c r="A34" s="1604"/>
      <c r="B34" s="227" t="s">
        <v>3028</v>
      </c>
      <c r="C34" s="378">
        <v>0</v>
      </c>
      <c r="D34" s="219">
        <v>0</v>
      </c>
      <c r="E34" s="378">
        <v>0</v>
      </c>
      <c r="F34" s="378">
        <v>0</v>
      </c>
      <c r="G34" s="378">
        <v>0</v>
      </c>
      <c r="H34" s="219">
        <f t="shared" si="2"/>
        <v>0</v>
      </c>
      <c r="I34" s="1601"/>
    </row>
    <row r="35" spans="1:9" s="269" customFormat="1">
      <c r="A35" s="1604"/>
      <c r="B35" s="227" t="s">
        <v>3106</v>
      </c>
      <c r="C35" s="378">
        <v>0</v>
      </c>
      <c r="D35" s="219">
        <v>0</v>
      </c>
      <c r="E35" s="378">
        <v>0</v>
      </c>
      <c r="F35" s="378">
        <v>0</v>
      </c>
      <c r="G35" s="378">
        <v>0</v>
      </c>
      <c r="H35" s="219">
        <f t="shared" si="2"/>
        <v>0</v>
      </c>
      <c r="I35" s="1601"/>
    </row>
    <row r="36" spans="1:9" s="269" customFormat="1">
      <c r="A36" s="1604"/>
      <c r="B36" s="227" t="s">
        <v>3107</v>
      </c>
      <c r="C36" s="378">
        <v>0</v>
      </c>
      <c r="D36" s="219">
        <v>0</v>
      </c>
      <c r="E36" s="378">
        <v>0</v>
      </c>
      <c r="F36" s="378">
        <v>0</v>
      </c>
      <c r="G36" s="378">
        <v>0</v>
      </c>
      <c r="H36" s="219">
        <f t="shared" si="2"/>
        <v>0</v>
      </c>
      <c r="I36" s="1601"/>
    </row>
    <row r="37" spans="1:9" s="269" customFormat="1">
      <c r="A37" s="1604"/>
      <c r="B37" s="227" t="s">
        <v>2491</v>
      </c>
      <c r="C37" s="374">
        <v>0</v>
      </c>
      <c r="D37" s="220">
        <v>0</v>
      </c>
      <c r="E37" s="374">
        <v>0</v>
      </c>
      <c r="F37" s="374">
        <v>0</v>
      </c>
      <c r="G37" s="374">
        <v>0</v>
      </c>
      <c r="H37" s="220">
        <f t="shared" si="2"/>
        <v>0</v>
      </c>
      <c r="I37" s="1601"/>
    </row>
    <row r="38" spans="1:9" s="269" customFormat="1">
      <c r="A38" s="1604"/>
      <c r="B38" s="1339" t="s">
        <v>800</v>
      </c>
      <c r="C38" s="377">
        <v>0</v>
      </c>
      <c r="D38" s="221">
        <v>0</v>
      </c>
      <c r="E38" s="377">
        <v>0</v>
      </c>
      <c r="F38" s="377">
        <v>0</v>
      </c>
      <c r="G38" s="377">
        <v>0</v>
      </c>
      <c r="H38" s="221">
        <f t="shared" si="2"/>
        <v>0</v>
      </c>
      <c r="I38" s="1601"/>
    </row>
    <row r="39" spans="1:9" s="269" customFormat="1">
      <c r="A39" s="1604"/>
      <c r="B39" s="1339" t="s">
        <v>3102</v>
      </c>
      <c r="C39" s="374">
        <v>0</v>
      </c>
      <c r="D39" s="220">
        <v>0</v>
      </c>
      <c r="E39" s="374">
        <v>0</v>
      </c>
      <c r="F39" s="374">
        <v>0</v>
      </c>
      <c r="G39" s="374">
        <v>0</v>
      </c>
      <c r="H39" s="220">
        <f t="shared" si="2"/>
        <v>0</v>
      </c>
      <c r="I39" s="1601"/>
    </row>
    <row r="40" spans="1:9" s="269" customFormat="1">
      <c r="A40" s="1604"/>
      <c r="B40" s="227" t="s">
        <v>2493</v>
      </c>
      <c r="C40" s="378">
        <v>0</v>
      </c>
      <c r="D40" s="219">
        <v>0</v>
      </c>
      <c r="E40" s="378">
        <v>0</v>
      </c>
      <c r="F40" s="378">
        <v>0</v>
      </c>
      <c r="G40" s="378"/>
      <c r="H40" s="219">
        <f t="shared" si="2"/>
        <v>0</v>
      </c>
      <c r="I40" s="1601"/>
    </row>
    <row r="41" spans="1:9" s="373" customFormat="1">
      <c r="A41" s="1604"/>
      <c r="B41" s="174" t="s">
        <v>2188</v>
      </c>
      <c r="C41" s="377">
        <v>0</v>
      </c>
      <c r="D41" s="221">
        <v>0</v>
      </c>
      <c r="E41" s="377">
        <f>E42+E43</f>
        <v>0</v>
      </c>
      <c r="F41" s="377">
        <f>F42+F43</f>
        <v>0</v>
      </c>
      <c r="G41" s="377">
        <f>G42+G43</f>
        <v>0</v>
      </c>
      <c r="H41" s="221">
        <f>H42+H43</f>
        <v>0</v>
      </c>
      <c r="I41" s="1606"/>
    </row>
    <row r="42" spans="1:9" s="269" customFormat="1">
      <c r="A42" s="1604"/>
      <c r="B42" s="227" t="s">
        <v>800</v>
      </c>
      <c r="C42" s="377">
        <v>0</v>
      </c>
      <c r="D42" s="221">
        <v>0</v>
      </c>
      <c r="E42" s="377">
        <f>E29+E31+E38+E40</f>
        <v>0</v>
      </c>
      <c r="F42" s="377">
        <f>F29+F31+F38+F40</f>
        <v>0</v>
      </c>
      <c r="G42" s="377">
        <f>G29+G31+G38+G40</f>
        <v>0</v>
      </c>
      <c r="H42" s="221">
        <f>H29+H31+H38+H40</f>
        <v>0</v>
      </c>
      <c r="I42" s="1601"/>
    </row>
    <row r="43" spans="1:9" s="269" customFormat="1">
      <c r="A43" s="1604"/>
      <c r="B43" s="227" t="s">
        <v>3102</v>
      </c>
      <c r="C43" s="374">
        <v>0</v>
      </c>
      <c r="D43" s="220">
        <v>0</v>
      </c>
      <c r="E43" s="374">
        <f>E39+E34+E30</f>
        <v>0</v>
      </c>
      <c r="F43" s="374">
        <f>F39+F34+F30</f>
        <v>0</v>
      </c>
      <c r="G43" s="374">
        <f>G39+G34+G30</f>
        <v>0</v>
      </c>
      <c r="H43" s="220">
        <f>H39+H34+H30</f>
        <v>0</v>
      </c>
      <c r="I43" s="1601"/>
    </row>
    <row r="44" spans="1:9" s="269" customFormat="1" ht="13.5" thickBot="1">
      <c r="A44" s="1607"/>
      <c r="B44" s="1608"/>
      <c r="C44" s="1609"/>
      <c r="D44" s="1610"/>
      <c r="E44" s="1609"/>
      <c r="F44" s="1609"/>
      <c r="G44" s="1609"/>
      <c r="H44" s="1610"/>
      <c r="I44" s="1611"/>
    </row>
    <row r="45" spans="1:9" s="269" customFormat="1" ht="13.5" thickTop="1">
      <c r="A45" s="170"/>
      <c r="B45" s="227"/>
      <c r="C45" s="372"/>
      <c r="D45" s="214"/>
      <c r="E45" s="372"/>
      <c r="F45" s="372"/>
      <c r="G45" s="372"/>
      <c r="H45" s="214"/>
    </row>
    <row r="46" spans="1:9">
      <c r="A46" s="446"/>
      <c r="B46" s="1826"/>
      <c r="C46" s="1826"/>
      <c r="D46" s="1826"/>
      <c r="E46" s="1826"/>
      <c r="F46" s="1826"/>
      <c r="G46" s="1826"/>
      <c r="H46" s="1826"/>
    </row>
    <row r="125" spans="7:7">
      <c r="G125" s="268">
        <v>5253981.1399999997</v>
      </c>
    </row>
  </sheetData>
  <mergeCells count="3">
    <mergeCell ref="B46:H46"/>
    <mergeCell ref="A1:H1"/>
    <mergeCell ref="A2:H2"/>
  </mergeCells>
  <printOptions horizontalCentered="1"/>
  <pageMargins left="0.70866141732283472" right="0.70866141732283472" top="0.74803149606299213" bottom="0.74803149606299213" header="0.31496062992125984" footer="0.31496062992125984"/>
  <pageSetup paperSize="9" scale="83" orientation="landscape" r:id="rId1"/>
  <headerFooter>
    <oddFooter>&amp;R&amp;P</oddFooter>
  </headerFooter>
</worksheet>
</file>

<file path=xl/worksheets/sheet13.xml><?xml version="1.0" encoding="utf-8"?>
<worksheet xmlns="http://schemas.openxmlformats.org/spreadsheetml/2006/main" xmlns:r="http://schemas.openxmlformats.org/officeDocument/2006/relationships">
  <sheetPr>
    <pageSetUpPr fitToPage="1"/>
  </sheetPr>
  <dimension ref="A1:H125"/>
  <sheetViews>
    <sheetView tabSelected="1" view="pageBreakPreview" zoomScaleSheetLayoutView="100" workbookViewId="0">
      <selection activeCell="B43" sqref="B43"/>
    </sheetView>
  </sheetViews>
  <sheetFormatPr defaultRowHeight="12.75"/>
  <cols>
    <col min="1" max="1" width="6" style="672" customWidth="1"/>
    <col min="2" max="2" width="20.42578125" style="671" bestFit="1" customWidth="1"/>
    <col min="3" max="8" width="14.7109375" style="673" customWidth="1"/>
    <col min="9" max="16384" width="9.140625" style="671"/>
  </cols>
  <sheetData>
    <row r="1" spans="1:8" ht="13.5" thickTop="1">
      <c r="A1" s="1818" t="s">
        <v>2486</v>
      </c>
      <c r="B1" s="1819"/>
      <c r="C1" s="1819"/>
      <c r="D1" s="1819"/>
      <c r="E1" s="1819"/>
      <c r="F1" s="1819"/>
      <c r="G1" s="1819"/>
      <c r="H1" s="1820"/>
    </row>
    <row r="2" spans="1:8">
      <c r="A2" s="1821" t="s">
        <v>3498</v>
      </c>
      <c r="B2" s="1822"/>
      <c r="C2" s="1822"/>
      <c r="D2" s="1822"/>
      <c r="E2" s="1822"/>
      <c r="F2" s="1822"/>
      <c r="G2" s="1822"/>
      <c r="H2" s="1823"/>
    </row>
    <row r="3" spans="1:8" s="132" customFormat="1" ht="18">
      <c r="A3" s="1592" t="s">
        <v>3144</v>
      </c>
      <c r="B3" s="906" t="s">
        <v>2226</v>
      </c>
      <c r="C3" s="907"/>
      <c r="D3" s="908"/>
      <c r="E3" s="908"/>
      <c r="F3" s="908"/>
      <c r="G3" s="908"/>
      <c r="H3" s="1612"/>
    </row>
    <row r="4" spans="1:8">
      <c r="A4" s="1590"/>
      <c r="B4" s="670"/>
      <c r="C4" s="655"/>
      <c r="D4" s="655"/>
      <c r="E4" s="655"/>
      <c r="F4" s="655"/>
      <c r="G4" s="655"/>
      <c r="H4" s="1439"/>
    </row>
    <row r="5" spans="1:8" s="703" customFormat="1">
      <c r="A5" s="1590"/>
      <c r="C5" s="909" t="s">
        <v>45</v>
      </c>
      <c r="D5" s="909" t="s">
        <v>3147</v>
      </c>
      <c r="E5" s="909" t="s">
        <v>45</v>
      </c>
      <c r="F5" s="909" t="s">
        <v>45</v>
      </c>
      <c r="G5" s="909" t="s">
        <v>45</v>
      </c>
      <c r="H5" s="1613" t="s">
        <v>1740</v>
      </c>
    </row>
    <row r="6" spans="1:8" s="703" customFormat="1">
      <c r="A6" s="1590"/>
      <c r="C6" s="910" t="s">
        <v>2422</v>
      </c>
      <c r="D6" s="910" t="s">
        <v>2422</v>
      </c>
      <c r="E6" s="910" t="s">
        <v>2422</v>
      </c>
      <c r="F6" s="910" t="s">
        <v>2422</v>
      </c>
      <c r="G6" s="910" t="s">
        <v>2422</v>
      </c>
      <c r="H6" s="1614" t="s">
        <v>2422</v>
      </c>
    </row>
    <row r="7" spans="1:8" s="670" customFormat="1">
      <c r="A7" s="1590"/>
      <c r="B7" s="709" t="s">
        <v>45</v>
      </c>
      <c r="C7" s="482"/>
      <c r="D7" s="482"/>
      <c r="E7" s="482"/>
      <c r="F7" s="482"/>
      <c r="G7" s="482"/>
      <c r="H7" s="1445"/>
    </row>
    <row r="8" spans="1:8" s="682" customFormat="1" ht="25.5">
      <c r="A8" s="1590"/>
      <c r="B8" s="709" t="s">
        <v>3591</v>
      </c>
      <c r="C8" s="911">
        <v>0</v>
      </c>
      <c r="D8" s="911">
        <f>SUM(D9)</f>
        <v>49530850</v>
      </c>
      <c r="E8" s="911">
        <v>0</v>
      </c>
      <c r="F8" s="911">
        <v>0</v>
      </c>
      <c r="G8" s="911">
        <v>0</v>
      </c>
      <c r="H8" s="1615">
        <f t="shared" ref="H8:H15" si="0">SUM(C8:G8)</f>
        <v>49530850</v>
      </c>
    </row>
    <row r="9" spans="1:8" s="670" customFormat="1">
      <c r="A9" s="1590"/>
      <c r="B9" s="1332" t="s">
        <v>800</v>
      </c>
      <c r="C9" s="658">
        <v>0</v>
      </c>
      <c r="D9" s="658">
        <v>49530850</v>
      </c>
      <c r="E9" s="658">
        <v>0</v>
      </c>
      <c r="F9" s="658">
        <v>0</v>
      </c>
      <c r="G9" s="658">
        <v>0</v>
      </c>
      <c r="H9" s="1448">
        <f t="shared" si="0"/>
        <v>49530850</v>
      </c>
    </row>
    <row r="10" spans="1:8" s="670" customFormat="1" ht="25.5">
      <c r="A10" s="1590"/>
      <c r="B10" s="1332" t="s">
        <v>3145</v>
      </c>
      <c r="C10" s="659">
        <v>0</v>
      </c>
      <c r="D10" s="659">
        <v>0</v>
      </c>
      <c r="E10" s="659">
        <v>0</v>
      </c>
      <c r="F10" s="659">
        <v>0</v>
      </c>
      <c r="G10" s="659">
        <v>0</v>
      </c>
      <c r="H10" s="1444">
        <f t="shared" si="0"/>
        <v>0</v>
      </c>
    </row>
    <row r="11" spans="1:8" s="670" customFormat="1">
      <c r="A11" s="1590"/>
      <c r="B11" s="708" t="s">
        <v>802</v>
      </c>
      <c r="C11" s="659"/>
      <c r="D11" s="659">
        <v>218000</v>
      </c>
      <c r="E11" s="659"/>
      <c r="F11" s="659"/>
      <c r="G11" s="659"/>
      <c r="H11" s="1444"/>
    </row>
    <row r="12" spans="1:8" s="670" customFormat="1" ht="25.5">
      <c r="A12" s="1590"/>
      <c r="B12" s="708" t="s">
        <v>3146</v>
      </c>
      <c r="C12" s="656">
        <v>0</v>
      </c>
      <c r="D12" s="656">
        <v>0</v>
      </c>
      <c r="E12" s="656">
        <v>0</v>
      </c>
      <c r="F12" s="656">
        <v>0</v>
      </c>
      <c r="G12" s="656">
        <v>0</v>
      </c>
      <c r="H12" s="1447">
        <v>0</v>
      </c>
    </row>
    <row r="13" spans="1:8" s="670" customFormat="1" ht="25.5">
      <c r="A13" s="1590"/>
      <c r="B13" s="708" t="s">
        <v>2491</v>
      </c>
      <c r="C13" s="482">
        <v>0</v>
      </c>
      <c r="D13" s="482">
        <v>14042850</v>
      </c>
      <c r="E13" s="482">
        <v>0</v>
      </c>
      <c r="F13" s="482">
        <v>0</v>
      </c>
      <c r="G13" s="482">
        <v>0</v>
      </c>
      <c r="H13" s="1445">
        <f t="shared" si="0"/>
        <v>14042850</v>
      </c>
    </row>
    <row r="14" spans="1:8" s="670" customFormat="1">
      <c r="A14" s="1590"/>
      <c r="B14" s="1332" t="s">
        <v>800</v>
      </c>
      <c r="C14" s="658">
        <v>0</v>
      </c>
      <c r="D14" s="658">
        <v>0</v>
      </c>
      <c r="E14" s="658">
        <v>0</v>
      </c>
      <c r="F14" s="658">
        <v>0</v>
      </c>
      <c r="G14" s="658">
        <v>0</v>
      </c>
      <c r="H14" s="1448">
        <f t="shared" si="0"/>
        <v>0</v>
      </c>
    </row>
    <row r="15" spans="1:8" s="670" customFormat="1" ht="25.5">
      <c r="A15" s="1590"/>
      <c r="B15" s="1332" t="s">
        <v>2492</v>
      </c>
      <c r="C15" s="482">
        <v>0</v>
      </c>
      <c r="D15" s="482">
        <v>0</v>
      </c>
      <c r="E15" s="482">
        <v>0</v>
      </c>
      <c r="F15" s="482">
        <v>0</v>
      </c>
      <c r="G15" s="482">
        <v>0</v>
      </c>
      <c r="H15" s="1445">
        <f t="shared" si="0"/>
        <v>0</v>
      </c>
    </row>
    <row r="16" spans="1:8" s="682" customFormat="1" ht="25.5">
      <c r="A16" s="1590"/>
      <c r="B16" s="709" t="s">
        <v>3592</v>
      </c>
      <c r="C16" s="912">
        <v>0</v>
      </c>
      <c r="D16" s="912">
        <f>D9-D13+D11</f>
        <v>35706000</v>
      </c>
      <c r="E16" s="912">
        <v>0</v>
      </c>
      <c r="F16" s="912">
        <f>F17+F18</f>
        <v>0</v>
      </c>
      <c r="G16" s="912">
        <f>G17+G18</f>
        <v>0</v>
      </c>
      <c r="H16" s="1616">
        <f>SUM(H17:H18)</f>
        <v>35706000</v>
      </c>
    </row>
    <row r="17" spans="1:8" s="670" customFormat="1">
      <c r="A17" s="1590"/>
      <c r="B17" s="708" t="s">
        <v>800</v>
      </c>
      <c r="C17" s="658">
        <v>0</v>
      </c>
      <c r="D17" s="658">
        <f>'App B (2)'!F24</f>
        <v>35706000</v>
      </c>
      <c r="E17" s="658">
        <v>0</v>
      </c>
      <c r="F17" s="658">
        <f t="shared" ref="C17:G18" si="1">+F25</f>
        <v>0</v>
      </c>
      <c r="G17" s="658">
        <f t="shared" si="1"/>
        <v>0</v>
      </c>
      <c r="H17" s="1448">
        <f>SUM(C17:G17)</f>
        <v>35706000</v>
      </c>
    </row>
    <row r="18" spans="1:8" s="670" customFormat="1" ht="25.5">
      <c r="A18" s="1590"/>
      <c r="B18" s="708" t="s">
        <v>3145</v>
      </c>
      <c r="C18" s="482">
        <f t="shared" si="1"/>
        <v>0</v>
      </c>
      <c r="D18" s="482">
        <v>0</v>
      </c>
      <c r="E18" s="482">
        <f t="shared" si="1"/>
        <v>0</v>
      </c>
      <c r="F18" s="482">
        <f t="shared" si="1"/>
        <v>0</v>
      </c>
      <c r="G18" s="482">
        <f t="shared" si="1"/>
        <v>0</v>
      </c>
      <c r="H18" s="1445">
        <f>SUM(C18:G18)</f>
        <v>0</v>
      </c>
    </row>
    <row r="19" spans="1:8" s="670" customFormat="1" ht="25.5">
      <c r="A19" s="1590"/>
      <c r="B19" s="708" t="s">
        <v>2491</v>
      </c>
      <c r="C19" s="482">
        <v>0</v>
      </c>
      <c r="D19" s="482">
        <v>0</v>
      </c>
      <c r="E19" s="482">
        <v>0</v>
      </c>
      <c r="F19" s="482">
        <v>0</v>
      </c>
      <c r="G19" s="482">
        <v>0</v>
      </c>
      <c r="H19" s="1445">
        <f>SUM(C19:G19)</f>
        <v>0</v>
      </c>
    </row>
    <row r="20" spans="1:8" s="670" customFormat="1" ht="13.5" thickBot="1">
      <c r="A20" s="1598"/>
      <c r="B20" s="1617" t="s">
        <v>45</v>
      </c>
      <c r="C20" s="1453"/>
      <c r="D20" s="1453"/>
      <c r="E20" s="1453"/>
      <c r="F20" s="1453"/>
      <c r="G20" s="1453"/>
      <c r="H20" s="1454"/>
    </row>
    <row r="21" spans="1:8" ht="13.5" thickTop="1"/>
    <row r="125" spans="7:7">
      <c r="G125" s="673">
        <v>5253981.1399999997</v>
      </c>
    </row>
  </sheetData>
  <mergeCells count="2">
    <mergeCell ref="A1:H1"/>
    <mergeCell ref="A2:H2"/>
  </mergeCells>
  <printOptions horizontalCentered="1"/>
  <pageMargins left="0.70866141732283472" right="0.70866141732283472" top="0.74803149606299213" bottom="0.74803149606299213" header="0.31496062992125984" footer="0.31496062992125984"/>
  <pageSetup paperSize="9" orientation="landscape" r:id="rId1"/>
  <headerFooter>
    <oddFooter>&amp;R&amp;P</oddFooter>
  </headerFooter>
</worksheet>
</file>

<file path=xl/worksheets/sheet14.xml><?xml version="1.0" encoding="utf-8"?>
<worksheet xmlns="http://schemas.openxmlformats.org/spreadsheetml/2006/main" xmlns:r="http://schemas.openxmlformats.org/officeDocument/2006/relationships">
  <sheetPr>
    <pageSetUpPr fitToPage="1"/>
  </sheetPr>
  <dimension ref="A1:P125"/>
  <sheetViews>
    <sheetView tabSelected="1" view="pageBreakPreview" zoomScaleSheetLayoutView="100" workbookViewId="0">
      <selection activeCell="B43" sqref="B43"/>
    </sheetView>
  </sheetViews>
  <sheetFormatPr defaultRowHeight="12.75"/>
  <cols>
    <col min="1" max="1" width="4.7109375" style="1278" bestFit="1" customWidth="1"/>
    <col min="2" max="2" width="39.85546875" style="784" customWidth="1"/>
    <col min="3" max="3" width="2.85546875" style="784" customWidth="1"/>
    <col min="4" max="4" width="18.42578125" style="785" customWidth="1"/>
    <col min="5" max="5" width="2.28515625" style="784" customWidth="1"/>
    <col min="6" max="6" width="20.28515625" style="785" customWidth="1"/>
    <col min="7" max="8" width="2.28515625" style="784" customWidth="1"/>
    <col min="9" max="9" width="2.28515625" style="784" hidden="1" customWidth="1"/>
    <col min="10" max="10" width="18.28515625" style="785" hidden="1" customWidth="1"/>
    <col min="11" max="11" width="2.28515625" style="784" hidden="1" customWidth="1"/>
    <col min="12" max="12" width="14.5703125" style="695" customWidth="1"/>
    <col min="13" max="13" width="15" style="866" bestFit="1" customWidth="1"/>
    <col min="14" max="14" width="11.28515625" style="866" bestFit="1" customWidth="1"/>
    <col min="15" max="15" width="14.5703125" style="866" bestFit="1" customWidth="1"/>
    <col min="16" max="16384" width="9.140625" style="784"/>
  </cols>
  <sheetData>
    <row r="1" spans="1:15" ht="15.75" customHeight="1" thickTop="1">
      <c r="A1" s="1831" t="s">
        <v>2486</v>
      </c>
      <c r="B1" s="1832"/>
      <c r="C1" s="1832"/>
      <c r="D1" s="1832"/>
      <c r="E1" s="1832"/>
      <c r="F1" s="1832"/>
      <c r="G1" s="1832"/>
      <c r="H1" s="1833"/>
      <c r="I1" s="1618"/>
      <c r="J1" s="1618"/>
      <c r="K1" s="1619"/>
    </row>
    <row r="2" spans="1:15">
      <c r="A2" s="1834" t="s">
        <v>3498</v>
      </c>
      <c r="B2" s="1835"/>
      <c r="C2" s="1835"/>
      <c r="D2" s="1835"/>
      <c r="E2" s="1835"/>
      <c r="F2" s="1835"/>
      <c r="G2" s="1835"/>
      <c r="H2" s="1836"/>
      <c r="I2" s="1330"/>
      <c r="J2" s="1330"/>
      <c r="K2" s="1620"/>
    </row>
    <row r="3" spans="1:15">
      <c r="A3" s="1622"/>
      <c r="B3" s="786"/>
      <c r="C3" s="786"/>
      <c r="D3" s="787"/>
      <c r="E3" s="786"/>
      <c r="F3" s="787"/>
      <c r="G3" s="786"/>
      <c r="H3" s="1578"/>
      <c r="I3" s="786"/>
      <c r="J3" s="787"/>
      <c r="K3" s="788"/>
    </row>
    <row r="4" spans="1:15">
      <c r="A4" s="1623"/>
      <c r="B4" s="812"/>
      <c r="C4" s="812"/>
      <c r="D4" s="867"/>
      <c r="E4" s="812"/>
      <c r="F4" s="867"/>
      <c r="G4" s="812"/>
      <c r="H4" s="1624"/>
      <c r="I4" s="812"/>
      <c r="J4" s="867"/>
      <c r="K4" s="1425"/>
      <c r="L4" s="786"/>
      <c r="M4" s="785"/>
      <c r="N4" s="785"/>
      <c r="O4" s="785"/>
    </row>
    <row r="5" spans="1:15">
      <c r="A5" s="1622"/>
      <c r="B5" s="786"/>
      <c r="C5" s="786"/>
      <c r="D5" s="789" t="s">
        <v>3484</v>
      </c>
      <c r="E5" s="786"/>
      <c r="F5" s="789" t="s">
        <v>2651</v>
      </c>
      <c r="G5" s="1325"/>
      <c r="H5" s="1505"/>
      <c r="I5" s="1325"/>
      <c r="J5" s="789" t="s">
        <v>1634</v>
      </c>
      <c r="K5" s="788"/>
      <c r="L5" s="786"/>
      <c r="M5" s="785"/>
      <c r="N5" s="785"/>
      <c r="O5" s="785"/>
    </row>
    <row r="6" spans="1:15">
      <c r="A6" s="1621" t="s">
        <v>446</v>
      </c>
      <c r="B6" s="792" t="s">
        <v>447</v>
      </c>
      <c r="C6" s="792"/>
      <c r="D6" s="793"/>
      <c r="E6" s="786"/>
      <c r="F6" s="787"/>
      <c r="G6" s="786"/>
      <c r="H6" s="1578"/>
      <c r="I6" s="786"/>
      <c r="J6" s="787"/>
      <c r="K6" s="788"/>
      <c r="L6" s="786"/>
      <c r="M6" s="785"/>
      <c r="N6" s="785"/>
      <c r="O6" s="785"/>
    </row>
    <row r="7" spans="1:15">
      <c r="A7" s="1625"/>
      <c r="B7" s="786"/>
      <c r="C7" s="786"/>
      <c r="D7" s="787"/>
      <c r="E7" s="786"/>
      <c r="F7" s="787"/>
      <c r="G7" s="786"/>
      <c r="H7" s="1578"/>
      <c r="I7" s="786"/>
      <c r="J7" s="787"/>
      <c r="K7" s="788"/>
      <c r="L7" s="786"/>
      <c r="M7" s="785"/>
      <c r="N7" s="785"/>
      <c r="O7" s="785"/>
    </row>
    <row r="8" spans="1:15" ht="25.5">
      <c r="A8" s="1625"/>
      <c r="B8" s="696" t="s">
        <v>3116</v>
      </c>
      <c r="C8" s="696"/>
      <c r="D8" s="697"/>
      <c r="E8" s="868"/>
      <c r="F8" s="868"/>
      <c r="G8" s="868"/>
      <c r="H8" s="1626"/>
      <c r="I8" s="868"/>
      <c r="J8" s="868"/>
      <c r="K8" s="1426"/>
      <c r="L8" s="786"/>
      <c r="M8" s="785"/>
      <c r="N8" s="785"/>
      <c r="O8" s="785"/>
    </row>
    <row r="9" spans="1:15">
      <c r="A9" s="1625"/>
      <c r="B9" s="696"/>
      <c r="C9" s="696"/>
      <c r="D9" s="869" t="s">
        <v>2422</v>
      </c>
      <c r="E9" s="868"/>
      <c r="F9" s="870" t="s">
        <v>2422</v>
      </c>
      <c r="G9" s="868"/>
      <c r="H9" s="1626"/>
      <c r="I9" s="868"/>
      <c r="J9" s="868"/>
      <c r="K9" s="1426"/>
      <c r="L9" s="786"/>
      <c r="M9" s="785"/>
      <c r="N9" s="785"/>
      <c r="O9" s="785"/>
    </row>
    <row r="10" spans="1:15">
      <c r="A10" s="1625"/>
      <c r="B10" s="696" t="s">
        <v>3117</v>
      </c>
      <c r="C10" s="696"/>
      <c r="D10" s="871">
        <v>53.5</v>
      </c>
      <c r="E10" s="868"/>
      <c r="F10" s="872">
        <v>100</v>
      </c>
      <c r="G10" s="868"/>
      <c r="H10" s="1626"/>
      <c r="I10" s="868"/>
      <c r="J10" s="868"/>
      <c r="K10" s="1426"/>
      <c r="L10" s="786"/>
      <c r="M10" s="785"/>
      <c r="N10" s="785"/>
      <c r="O10" s="785"/>
    </row>
    <row r="11" spans="1:15">
      <c r="A11" s="1625"/>
      <c r="B11" s="696" t="s">
        <v>3118</v>
      </c>
      <c r="C11" s="696"/>
      <c r="D11" s="871">
        <v>53.5</v>
      </c>
      <c r="E11" s="868"/>
      <c r="F11" s="872">
        <v>100</v>
      </c>
      <c r="G11" s="868"/>
      <c r="H11" s="1626"/>
      <c r="I11" s="868"/>
      <c r="J11" s="868"/>
      <c r="K11" s="1426"/>
      <c r="L11" s="786"/>
      <c r="M11" s="785"/>
      <c r="N11" s="785"/>
      <c r="O11" s="785"/>
    </row>
    <row r="12" spans="1:15">
      <c r="A12" s="1625"/>
      <c r="B12" s="696" t="s">
        <v>3119</v>
      </c>
      <c r="C12" s="696"/>
      <c r="D12" s="871"/>
      <c r="E12" s="868"/>
      <c r="F12" s="872"/>
      <c r="G12" s="868"/>
      <c r="H12" s="1626"/>
      <c r="I12" s="868"/>
      <c r="J12" s="868"/>
      <c r="K12" s="1426"/>
      <c r="L12" s="786"/>
      <c r="M12" s="785"/>
      <c r="N12" s="785"/>
      <c r="O12" s="785"/>
    </row>
    <row r="13" spans="1:15">
      <c r="A13" s="1625"/>
      <c r="B13" s="696" t="s">
        <v>3120</v>
      </c>
      <c r="C13" s="696"/>
      <c r="D13" s="871"/>
      <c r="E13" s="868"/>
      <c r="F13" s="872"/>
      <c r="G13" s="868"/>
      <c r="H13" s="1626"/>
      <c r="I13" s="868"/>
      <c r="J13" s="868"/>
      <c r="K13" s="1426"/>
      <c r="L13" s="786"/>
      <c r="M13" s="785"/>
      <c r="N13" s="785"/>
      <c r="O13" s="785"/>
    </row>
    <row r="14" spans="1:15">
      <c r="A14" s="1625"/>
      <c r="B14" s="696" t="s">
        <v>3121</v>
      </c>
      <c r="C14" s="696"/>
      <c r="D14" s="871"/>
      <c r="E14" s="868"/>
      <c r="F14" s="872"/>
      <c r="G14" s="868"/>
      <c r="H14" s="1626"/>
      <c r="I14" s="868"/>
      <c r="J14" s="868"/>
      <c r="K14" s="1426"/>
      <c r="L14" s="786"/>
      <c r="M14" s="785"/>
      <c r="N14" s="785"/>
      <c r="O14" s="785"/>
    </row>
    <row r="15" spans="1:15">
      <c r="A15" s="1625"/>
      <c r="B15" s="696" t="s">
        <v>3122</v>
      </c>
      <c r="C15" s="696"/>
      <c r="D15" s="871"/>
      <c r="E15" s="868"/>
      <c r="F15" s="872"/>
      <c r="G15" s="868"/>
      <c r="H15" s="1626"/>
      <c r="I15" s="868"/>
      <c r="J15" s="868"/>
      <c r="K15" s="1426"/>
      <c r="L15" s="786"/>
      <c r="M15" s="785"/>
      <c r="N15" s="785"/>
      <c r="O15" s="785"/>
    </row>
    <row r="16" spans="1:15">
      <c r="A16" s="1625"/>
      <c r="B16" s="696" t="s">
        <v>3123</v>
      </c>
      <c r="C16" s="696"/>
      <c r="D16" s="871">
        <v>53.5</v>
      </c>
      <c r="E16" s="868"/>
      <c r="F16" s="872">
        <v>100</v>
      </c>
      <c r="G16" s="868"/>
      <c r="H16" s="1626"/>
      <c r="I16" s="868"/>
      <c r="J16" s="868"/>
      <c r="K16" s="1426"/>
      <c r="L16" s="786"/>
      <c r="M16" s="785"/>
      <c r="N16" s="785"/>
      <c r="O16" s="785"/>
    </row>
    <row r="17" spans="1:15">
      <c r="A17" s="1625"/>
      <c r="B17" s="696" t="s">
        <v>3124</v>
      </c>
      <c r="C17" s="696"/>
      <c r="D17" s="871">
        <v>53.5</v>
      </c>
      <c r="E17" s="868"/>
      <c r="F17" s="872">
        <v>100</v>
      </c>
      <c r="G17" s="868"/>
      <c r="H17" s="1626"/>
      <c r="I17" s="868"/>
      <c r="J17" s="868"/>
      <c r="K17" s="1426"/>
      <c r="L17" s="786"/>
      <c r="M17" s="785"/>
      <c r="N17" s="785"/>
      <c r="O17" s="785"/>
    </row>
    <row r="18" spans="1:15">
      <c r="A18" s="1625"/>
      <c r="B18" s="696" t="s">
        <v>3125</v>
      </c>
      <c r="C18" s="696"/>
      <c r="D18" s="871">
        <v>53.5</v>
      </c>
      <c r="E18" s="868"/>
      <c r="F18" s="872">
        <v>100</v>
      </c>
      <c r="G18" s="868"/>
      <c r="H18" s="1626"/>
      <c r="I18" s="868"/>
      <c r="J18" s="868"/>
      <c r="K18" s="1426"/>
      <c r="L18" s="786"/>
      <c r="M18" s="785"/>
      <c r="N18" s="785"/>
      <c r="O18" s="785"/>
    </row>
    <row r="19" spans="1:15">
      <c r="A19" s="1625"/>
      <c r="B19" s="696" t="s">
        <v>3126</v>
      </c>
      <c r="C19" s="696"/>
      <c r="D19" s="871"/>
      <c r="E19" s="868"/>
      <c r="F19" s="872"/>
      <c r="G19" s="868"/>
      <c r="H19" s="1626"/>
      <c r="I19" s="868"/>
      <c r="J19" s="868"/>
      <c r="K19" s="1426"/>
      <c r="L19" s="786"/>
      <c r="M19" s="785"/>
      <c r="N19" s="785"/>
      <c r="O19" s="785"/>
    </row>
    <row r="20" spans="1:15">
      <c r="A20" s="1625"/>
      <c r="B20" s="696" t="s">
        <v>3127</v>
      </c>
      <c r="C20" s="696"/>
      <c r="D20" s="871">
        <f>53.5+171719.46</f>
        <v>171772.96</v>
      </c>
      <c r="E20" s="868"/>
      <c r="F20" s="872">
        <v>100</v>
      </c>
      <c r="G20" s="868"/>
      <c r="H20" s="1626"/>
      <c r="I20" s="868"/>
      <c r="J20" s="868"/>
      <c r="K20" s="1426"/>
      <c r="L20" s="786"/>
      <c r="M20" s="785"/>
      <c r="N20" s="785"/>
      <c r="O20" s="785"/>
    </row>
    <row r="21" spans="1:15">
      <c r="A21" s="1625"/>
      <c r="B21" s="696" t="s">
        <v>3128</v>
      </c>
      <c r="C21" s="696"/>
      <c r="D21" s="871">
        <v>53.5</v>
      </c>
      <c r="E21" s="868"/>
      <c r="F21" s="872">
        <v>100</v>
      </c>
      <c r="G21" s="868"/>
      <c r="H21" s="1626"/>
      <c r="I21" s="868"/>
      <c r="J21" s="868"/>
      <c r="K21" s="1426"/>
      <c r="L21" s="786"/>
      <c r="M21" s="785"/>
      <c r="N21" s="785"/>
      <c r="O21" s="785"/>
    </row>
    <row r="22" spans="1:15" ht="25.5">
      <c r="A22" s="1625"/>
      <c r="B22" s="696" t="s">
        <v>3129</v>
      </c>
      <c r="C22" s="696"/>
      <c r="D22" s="697"/>
      <c r="E22" s="868"/>
      <c r="F22" s="872"/>
      <c r="G22" s="868"/>
      <c r="H22" s="1626"/>
      <c r="I22" s="868"/>
      <c r="J22" s="868"/>
      <c r="K22" s="1426"/>
      <c r="L22" s="786"/>
      <c r="M22" s="785"/>
      <c r="N22" s="785"/>
      <c r="O22" s="785"/>
    </row>
    <row r="23" spans="1:15" ht="25.5">
      <c r="A23" s="1625"/>
      <c r="B23" s="696" t="s">
        <v>3130</v>
      </c>
      <c r="C23" s="696"/>
      <c r="D23" s="697"/>
      <c r="E23" s="868"/>
      <c r="F23" s="872"/>
      <c r="G23" s="868"/>
      <c r="H23" s="1626"/>
      <c r="I23" s="868"/>
      <c r="J23" s="868"/>
      <c r="K23" s="1426"/>
      <c r="L23" s="786"/>
      <c r="M23" s="785"/>
      <c r="N23" s="785"/>
      <c r="O23" s="785"/>
    </row>
    <row r="24" spans="1:15">
      <c r="A24" s="1625"/>
      <c r="B24" s="696" t="s">
        <v>3131</v>
      </c>
      <c r="C24" s="696"/>
      <c r="D24" s="697"/>
      <c r="E24" s="868"/>
      <c r="F24" s="872"/>
      <c r="G24" s="868"/>
      <c r="H24" s="1626"/>
      <c r="I24" s="868"/>
      <c r="J24" s="868"/>
      <c r="K24" s="1426"/>
      <c r="L24" s="786"/>
      <c r="M24" s="785"/>
      <c r="N24" s="785"/>
      <c r="O24" s="785"/>
    </row>
    <row r="25" spans="1:15" ht="13.5" thickBot="1">
      <c r="A25" s="1625"/>
      <c r="B25" s="696"/>
      <c r="C25" s="696"/>
      <c r="D25" s="873">
        <f>SUM(D10:D24)</f>
        <v>172093.96</v>
      </c>
      <c r="E25" s="868"/>
      <c r="F25" s="874">
        <f>SUM(F10:F24)</f>
        <v>700</v>
      </c>
      <c r="G25" s="868"/>
      <c r="H25" s="1626"/>
      <c r="I25" s="868"/>
      <c r="J25" s="868"/>
      <c r="K25" s="1426"/>
      <c r="L25" s="875">
        <f>D25-F25</f>
        <v>171393.96</v>
      </c>
      <c r="M25" s="785"/>
      <c r="N25" s="785"/>
      <c r="O25" s="785"/>
    </row>
    <row r="26" spans="1:15" ht="39" thickTop="1">
      <c r="A26" s="1625"/>
      <c r="B26" s="696" t="s">
        <v>3132</v>
      </c>
      <c r="C26" s="696"/>
      <c r="D26" s="697"/>
      <c r="E26" s="868"/>
      <c r="F26" s="868"/>
      <c r="G26" s="868"/>
      <c r="H26" s="1626"/>
      <c r="I26" s="868"/>
      <c r="J26" s="868"/>
      <c r="K26" s="1426"/>
      <c r="L26" s="786"/>
      <c r="M26" s="785"/>
      <c r="N26" s="785"/>
      <c r="O26" s="785"/>
    </row>
    <row r="27" spans="1:15">
      <c r="A27" s="1627"/>
      <c r="B27" s="807"/>
      <c r="C27" s="807"/>
      <c r="D27" s="808"/>
      <c r="E27" s="807"/>
      <c r="F27" s="808"/>
      <c r="G27" s="807"/>
      <c r="H27" s="1628"/>
      <c r="I27" s="807"/>
      <c r="J27" s="808"/>
      <c r="K27" s="809"/>
      <c r="L27" s="786"/>
      <c r="M27" s="785"/>
      <c r="N27" s="785"/>
      <c r="O27" s="785"/>
    </row>
    <row r="28" spans="1:15">
      <c r="A28" s="1629"/>
      <c r="B28" s="812"/>
      <c r="C28" s="812"/>
      <c r="D28" s="867"/>
      <c r="E28" s="812"/>
      <c r="F28" s="876"/>
      <c r="G28" s="812"/>
      <c r="H28" s="1624"/>
      <c r="I28" s="812"/>
      <c r="J28" s="876"/>
      <c r="K28" s="1425"/>
      <c r="L28" s="786"/>
      <c r="M28" s="785"/>
      <c r="N28" s="785"/>
      <c r="O28" s="785"/>
    </row>
    <row r="29" spans="1:15" s="1278" customFormat="1">
      <c r="A29" s="1630"/>
      <c r="B29" s="1325"/>
      <c r="C29" s="1325"/>
      <c r="D29" s="789" t="s">
        <v>3484</v>
      </c>
      <c r="E29" s="1325"/>
      <c r="F29" s="789" t="s">
        <v>2651</v>
      </c>
      <c r="G29" s="1325"/>
      <c r="H29" s="1505"/>
      <c r="I29" s="1325"/>
      <c r="J29" s="789" t="s">
        <v>1634</v>
      </c>
      <c r="K29" s="1349"/>
      <c r="L29" s="848"/>
      <c r="M29" s="877"/>
      <c r="N29" s="877"/>
      <c r="O29" s="877"/>
    </row>
    <row r="30" spans="1:15" s="1278" customFormat="1">
      <c r="A30" s="1630"/>
      <c r="B30" s="1325"/>
      <c r="C30" s="1325"/>
      <c r="D30" s="1317" t="s">
        <v>2422</v>
      </c>
      <c r="E30" s="1325"/>
      <c r="F30" s="1317" t="s">
        <v>2422</v>
      </c>
      <c r="G30" s="1325"/>
      <c r="H30" s="1505"/>
      <c r="I30" s="1325"/>
      <c r="J30" s="1317" t="s">
        <v>2422</v>
      </c>
      <c r="K30" s="1349"/>
      <c r="L30" s="848"/>
      <c r="M30" s="877"/>
      <c r="N30" s="877"/>
      <c r="O30" s="877"/>
    </row>
    <row r="31" spans="1:15">
      <c r="A31" s="1630"/>
      <c r="B31" s="786"/>
      <c r="C31" s="786"/>
      <c r="D31" s="787"/>
      <c r="E31" s="786"/>
      <c r="F31" s="787"/>
      <c r="G31" s="786"/>
      <c r="H31" s="1578"/>
      <c r="I31" s="786"/>
      <c r="J31" s="787"/>
      <c r="K31" s="788"/>
    </row>
    <row r="32" spans="1:15" s="796" customFormat="1">
      <c r="A32" s="1631" t="s">
        <v>714</v>
      </c>
      <c r="B32" s="792" t="s">
        <v>2457</v>
      </c>
      <c r="C32" s="792"/>
      <c r="D32" s="793"/>
      <c r="E32" s="794"/>
      <c r="F32" s="794"/>
      <c r="G32" s="794"/>
      <c r="H32" s="1632"/>
      <c r="I32" s="794"/>
      <c r="J32" s="794"/>
      <c r="K32" s="1427"/>
      <c r="L32" s="878"/>
      <c r="M32" s="879"/>
      <c r="N32" s="879"/>
      <c r="O32" s="879"/>
    </row>
    <row r="33" spans="1:15" s="796" customFormat="1">
      <c r="A33" s="1630"/>
      <c r="B33" s="792"/>
      <c r="C33" s="792"/>
      <c r="D33" s="793"/>
      <c r="E33" s="794"/>
      <c r="F33" s="794"/>
      <c r="G33" s="794"/>
      <c r="H33" s="1632"/>
      <c r="I33" s="794"/>
      <c r="J33" s="794"/>
      <c r="K33" s="1427"/>
      <c r="L33" s="878"/>
      <c r="M33" s="879"/>
      <c r="N33" s="879"/>
      <c r="O33" s="879"/>
    </row>
    <row r="34" spans="1:15">
      <c r="A34" s="1630"/>
      <c r="B34" s="792" t="s">
        <v>2497</v>
      </c>
      <c r="C34" s="792"/>
      <c r="D34" s="795">
        <f>SUM(D35:D39)</f>
        <v>0</v>
      </c>
      <c r="E34" s="786"/>
      <c r="F34" s="795">
        <f>SUM(F35:F39)</f>
        <v>0</v>
      </c>
      <c r="G34" s="794"/>
      <c r="H34" s="1632"/>
      <c r="I34" s="794"/>
      <c r="J34" s="795">
        <f>SUM(J35:J39)</f>
        <v>0</v>
      </c>
      <c r="K34" s="788"/>
      <c r="L34" s="695" t="s">
        <v>45</v>
      </c>
    </row>
    <row r="35" spans="1:15">
      <c r="A35" s="1630"/>
      <c r="B35" s="880" t="s">
        <v>2498</v>
      </c>
      <c r="C35" s="880"/>
      <c r="D35" s="881"/>
      <c r="E35" s="786"/>
      <c r="F35" s="800">
        <v>0</v>
      </c>
      <c r="G35" s="786"/>
      <c r="H35" s="1578"/>
      <c r="I35" s="786"/>
      <c r="J35" s="800">
        <v>0</v>
      </c>
      <c r="K35" s="788"/>
      <c r="L35" s="695" t="s">
        <v>45</v>
      </c>
    </row>
    <row r="36" spans="1:15">
      <c r="A36" s="1630"/>
      <c r="B36" s="880" t="s">
        <v>2499</v>
      </c>
      <c r="C36" s="880"/>
      <c r="D36" s="882"/>
      <c r="E36" s="786"/>
      <c r="F36" s="802">
        <v>0</v>
      </c>
      <c r="G36" s="786"/>
      <c r="H36" s="1578"/>
      <c r="I36" s="786"/>
      <c r="J36" s="802">
        <v>0</v>
      </c>
      <c r="K36" s="788"/>
    </row>
    <row r="37" spans="1:15">
      <c r="A37" s="1630"/>
      <c r="B37" s="880" t="s">
        <v>2500</v>
      </c>
      <c r="C37" s="880"/>
      <c r="D37" s="882"/>
      <c r="E37" s="786"/>
      <c r="F37" s="802"/>
      <c r="G37" s="786"/>
      <c r="H37" s="1578"/>
      <c r="I37" s="786"/>
      <c r="J37" s="802">
        <v>0</v>
      </c>
      <c r="K37" s="788"/>
    </row>
    <row r="38" spans="1:15">
      <c r="A38" s="1630"/>
      <c r="B38" s="880" t="s">
        <v>2501</v>
      </c>
      <c r="C38" s="880"/>
      <c r="D38" s="882"/>
      <c r="E38" s="786"/>
      <c r="F38" s="802"/>
      <c r="G38" s="786"/>
      <c r="H38" s="1578"/>
      <c r="I38" s="786"/>
      <c r="J38" s="802"/>
      <c r="K38" s="788"/>
    </row>
    <row r="39" spans="1:15">
      <c r="A39" s="1630"/>
      <c r="B39" s="880"/>
      <c r="C39" s="880"/>
      <c r="D39" s="883"/>
      <c r="E39" s="786"/>
      <c r="F39" s="803">
        <v>0</v>
      </c>
      <c r="G39" s="786"/>
      <c r="H39" s="1578"/>
      <c r="I39" s="786"/>
      <c r="J39" s="803"/>
      <c r="K39" s="788"/>
    </row>
    <row r="40" spans="1:15">
      <c r="A40" s="1630"/>
      <c r="B40" s="798"/>
      <c r="C40" s="798"/>
      <c r="D40" s="884"/>
      <c r="E40" s="786"/>
      <c r="F40" s="787"/>
      <c r="G40" s="786"/>
      <c r="H40" s="1578"/>
      <c r="I40" s="786"/>
      <c r="J40" s="787"/>
      <c r="K40" s="788"/>
    </row>
    <row r="41" spans="1:15" s="796" customFormat="1">
      <c r="A41" s="1630"/>
      <c r="B41" s="792" t="s">
        <v>2502</v>
      </c>
      <c r="C41" s="792"/>
      <c r="D41" s="795">
        <f>D42</f>
        <v>1507828.77</v>
      </c>
      <c r="E41" s="794"/>
      <c r="F41" s="795">
        <f>F42</f>
        <v>0</v>
      </c>
      <c r="G41" s="794"/>
      <c r="H41" s="1632"/>
      <c r="I41" s="794"/>
      <c r="J41" s="795">
        <f>J42</f>
        <v>0</v>
      </c>
      <c r="K41" s="1427"/>
      <c r="L41" s="878"/>
      <c r="M41" s="879"/>
      <c r="N41" s="879"/>
      <c r="O41" s="879"/>
    </row>
    <row r="42" spans="1:15">
      <c r="A42" s="1630"/>
      <c r="B42" s="798" t="s">
        <v>2503</v>
      </c>
      <c r="C42" s="798"/>
      <c r="D42" s="885">
        <v>1507828.77</v>
      </c>
      <c r="E42" s="786"/>
      <c r="F42" s="886"/>
      <c r="G42" s="786"/>
      <c r="H42" s="1578"/>
      <c r="I42" s="786"/>
      <c r="J42" s="886"/>
      <c r="K42" s="788"/>
    </row>
    <row r="43" spans="1:15">
      <c r="A43" s="1630"/>
      <c r="B43" s="798"/>
      <c r="C43" s="798"/>
      <c r="D43" s="884"/>
      <c r="E43" s="786"/>
      <c r="F43" s="787"/>
      <c r="G43" s="786"/>
      <c r="H43" s="1578"/>
      <c r="I43" s="786"/>
      <c r="J43" s="787"/>
      <c r="K43" s="788"/>
    </row>
    <row r="44" spans="1:15" s="796" customFormat="1">
      <c r="A44" s="1630"/>
      <c r="B44" s="792" t="s">
        <v>1876</v>
      </c>
      <c r="C44" s="792"/>
      <c r="D44" s="795">
        <f>SUM(D45:D47)</f>
        <v>503815</v>
      </c>
      <c r="E44" s="794"/>
      <c r="F44" s="795">
        <f>SUM(F46:F47)</f>
        <v>503815</v>
      </c>
      <c r="G44" s="794"/>
      <c r="H44" s="1632"/>
      <c r="I44" s="794"/>
      <c r="J44" s="795">
        <f>SUM(J45:J47)</f>
        <v>4133810</v>
      </c>
      <c r="K44" s="1427"/>
      <c r="L44" s="878"/>
      <c r="M44" s="879"/>
      <c r="N44" s="879"/>
      <c r="O44" s="879"/>
    </row>
    <row r="45" spans="1:15" s="796" customFormat="1">
      <c r="A45" s="1630"/>
      <c r="B45" s="792" t="s">
        <v>2147</v>
      </c>
      <c r="C45" s="792"/>
      <c r="D45" s="887">
        <f>F49</f>
        <v>503815</v>
      </c>
      <c r="E45" s="794"/>
      <c r="F45" s="888">
        <f>J49</f>
        <v>4133810</v>
      </c>
      <c r="G45" s="794"/>
      <c r="H45" s="1632"/>
      <c r="I45" s="794"/>
      <c r="J45" s="888">
        <f>'main TB'!F178</f>
        <v>2101797</v>
      </c>
      <c r="K45" s="1427"/>
      <c r="L45" s="878"/>
      <c r="M45" s="879"/>
      <c r="N45" s="879"/>
      <c r="O45" s="879"/>
    </row>
    <row r="46" spans="1:15" s="796" customFormat="1">
      <c r="A46" s="1630"/>
      <c r="B46" s="798" t="s">
        <v>3328</v>
      </c>
      <c r="C46" s="798"/>
      <c r="D46" s="799"/>
      <c r="E46" s="794"/>
      <c r="F46" s="800">
        <v>100</v>
      </c>
      <c r="G46" s="794"/>
      <c r="H46" s="1632"/>
      <c r="I46" s="794"/>
      <c r="J46" s="889">
        <v>0</v>
      </c>
      <c r="K46" s="1427"/>
      <c r="L46" s="878"/>
      <c r="M46" s="879"/>
      <c r="N46" s="879"/>
      <c r="O46" s="879"/>
    </row>
    <row r="47" spans="1:15" s="796" customFormat="1">
      <c r="A47" s="1630"/>
      <c r="B47" s="798" t="s">
        <v>3329</v>
      </c>
      <c r="C47" s="798"/>
      <c r="D47" s="890"/>
      <c r="E47" s="794"/>
      <c r="F47" s="803">
        <v>503715</v>
      </c>
      <c r="G47" s="794"/>
      <c r="H47" s="1632"/>
      <c r="I47" s="794"/>
      <c r="J47" s="891">
        <f>'main TB'!G180</f>
        <v>2032013</v>
      </c>
      <c r="K47" s="1427"/>
      <c r="L47" s="878"/>
      <c r="M47" s="879"/>
      <c r="N47" s="879"/>
      <c r="O47" s="879"/>
    </row>
    <row r="48" spans="1:15" s="796" customFormat="1">
      <c r="A48" s="1630"/>
      <c r="B48" s="792"/>
      <c r="C48" s="792"/>
      <c r="D48" s="793"/>
      <c r="E48" s="794"/>
      <c r="F48" s="795"/>
      <c r="G48" s="794"/>
      <c r="H48" s="1632"/>
      <c r="I48" s="794"/>
      <c r="J48" s="795"/>
      <c r="K48" s="1427"/>
      <c r="L48" s="878"/>
      <c r="M48" s="879"/>
      <c r="N48" s="879"/>
      <c r="O48" s="879"/>
    </row>
    <row r="49" spans="1:15" s="796" customFormat="1" ht="13.5" thickBot="1">
      <c r="A49" s="1630"/>
      <c r="B49" s="792" t="s">
        <v>2504</v>
      </c>
      <c r="C49" s="792"/>
      <c r="D49" s="895">
        <f>SUM(D34+D41+D44)</f>
        <v>2011643.77</v>
      </c>
      <c r="E49" s="794"/>
      <c r="F49" s="895">
        <f>SUM(F34+F41+F44)</f>
        <v>503815</v>
      </c>
      <c r="G49" s="795">
        <f>SUM(G34+G41+G44)</f>
        <v>0</v>
      </c>
      <c r="H49" s="1633">
        <f>SUM(H34+H41+H44)</f>
        <v>0</v>
      </c>
      <c r="I49" s="795">
        <f>SUM(I34+I41+I44)</f>
        <v>0</v>
      </c>
      <c r="J49" s="795">
        <f>SUM(J34+J41+J44)</f>
        <v>4133810</v>
      </c>
      <c r="K49" s="1427"/>
      <c r="L49" s="878">
        <f>D49-F49</f>
        <v>1507828.77</v>
      </c>
      <c r="M49" s="879"/>
      <c r="N49" s="879"/>
      <c r="O49" s="879"/>
    </row>
    <row r="50" spans="1:15" s="796" customFormat="1" ht="13.5" thickTop="1">
      <c r="A50" s="1630"/>
      <c r="B50" s="792"/>
      <c r="C50" s="792"/>
      <c r="D50" s="793"/>
      <c r="E50" s="794"/>
      <c r="F50" s="795"/>
      <c r="G50" s="794"/>
      <c r="H50" s="1632"/>
      <c r="I50" s="794"/>
      <c r="J50" s="795"/>
      <c r="K50" s="1427"/>
      <c r="L50" s="878"/>
      <c r="M50" s="879"/>
      <c r="N50" s="879"/>
      <c r="O50" s="879"/>
    </row>
    <row r="51" spans="1:15">
      <c r="A51" s="1630"/>
      <c r="B51" s="798"/>
      <c r="C51" s="798"/>
      <c r="D51" s="884"/>
      <c r="E51" s="786"/>
      <c r="F51" s="787"/>
      <c r="G51" s="786"/>
      <c r="H51" s="1578"/>
      <c r="I51" s="786"/>
      <c r="J51" s="787"/>
      <c r="K51" s="788"/>
    </row>
    <row r="52" spans="1:15">
      <c r="A52" s="1630"/>
      <c r="B52" s="880"/>
      <c r="C52" s="880"/>
      <c r="D52" s="892"/>
      <c r="E52" s="786"/>
      <c r="F52" s="893"/>
      <c r="G52" s="786"/>
      <c r="H52" s="1578"/>
      <c r="I52" s="786"/>
      <c r="J52" s="893"/>
      <c r="K52" s="788"/>
    </row>
    <row r="53" spans="1:15">
      <c r="A53" s="1630"/>
      <c r="B53" s="880"/>
      <c r="C53" s="880"/>
      <c r="D53" s="892"/>
      <c r="E53" s="786"/>
      <c r="F53" s="787"/>
      <c r="G53" s="786"/>
      <c r="H53" s="1578"/>
      <c r="I53" s="786"/>
      <c r="J53" s="787"/>
      <c r="K53" s="788"/>
    </row>
    <row r="54" spans="1:15">
      <c r="A54" s="1630"/>
      <c r="B54" s="786"/>
      <c r="C54" s="786"/>
      <c r="D54" s="787"/>
      <c r="E54" s="786"/>
      <c r="F54" s="787"/>
      <c r="G54" s="786"/>
      <c r="H54" s="1578"/>
      <c r="I54" s="786"/>
      <c r="J54" s="787"/>
      <c r="K54" s="788"/>
    </row>
    <row r="55" spans="1:15">
      <c r="A55" s="1634"/>
      <c r="B55" s="807"/>
      <c r="C55" s="807"/>
      <c r="D55" s="808"/>
      <c r="E55" s="807"/>
      <c r="F55" s="808"/>
      <c r="G55" s="807"/>
      <c r="H55" s="1628"/>
      <c r="I55" s="807"/>
      <c r="J55" s="808"/>
      <c r="K55" s="809"/>
    </row>
    <row r="56" spans="1:15">
      <c r="A56" s="1635"/>
      <c r="B56" s="812"/>
      <c r="C56" s="812"/>
      <c r="D56" s="867"/>
      <c r="E56" s="812"/>
      <c r="F56" s="867"/>
      <c r="G56" s="812"/>
      <c r="H56" s="1624"/>
      <c r="I56" s="812"/>
      <c r="J56" s="867"/>
      <c r="K56" s="1425"/>
    </row>
    <row r="57" spans="1:15">
      <c r="A57" s="1630"/>
      <c r="B57" s="786"/>
      <c r="C57" s="786"/>
      <c r="D57" s="789" t="s">
        <v>3484</v>
      </c>
      <c r="E57" s="786"/>
      <c r="F57" s="789" t="s">
        <v>2651</v>
      </c>
      <c r="G57" s="1325"/>
      <c r="H57" s="1505"/>
      <c r="I57" s="1325"/>
      <c r="J57" s="789" t="s">
        <v>1634</v>
      </c>
      <c r="K57" s="788"/>
    </row>
    <row r="58" spans="1:15">
      <c r="A58" s="1631" t="s">
        <v>715</v>
      </c>
      <c r="B58" s="792" t="s">
        <v>2458</v>
      </c>
      <c r="C58" s="792"/>
      <c r="D58" s="793"/>
      <c r="E58" s="786"/>
      <c r="F58" s="1317" t="s">
        <v>2422</v>
      </c>
      <c r="G58" s="1325"/>
      <c r="H58" s="1505"/>
      <c r="I58" s="1325"/>
      <c r="J58" s="1317" t="s">
        <v>2422</v>
      </c>
      <c r="K58" s="788"/>
    </row>
    <row r="59" spans="1:15">
      <c r="A59" s="1630"/>
      <c r="B59" s="792"/>
      <c r="C59" s="792"/>
      <c r="D59" s="793"/>
      <c r="E59" s="786"/>
      <c r="F59" s="787"/>
      <c r="G59" s="786"/>
      <c r="H59" s="1578"/>
      <c r="I59" s="786"/>
      <c r="J59" s="787"/>
      <c r="K59" s="788"/>
    </row>
    <row r="60" spans="1:15">
      <c r="A60" s="1630"/>
      <c r="B60" s="798"/>
      <c r="C60" s="798"/>
      <c r="D60" s="799"/>
      <c r="E60" s="786"/>
      <c r="F60" s="800"/>
      <c r="G60" s="786"/>
      <c r="H60" s="1578"/>
      <c r="I60" s="786"/>
      <c r="J60" s="800">
        <v>0</v>
      </c>
      <c r="K60" s="788"/>
    </row>
    <row r="61" spans="1:15">
      <c r="A61" s="1630"/>
      <c r="B61" s="670" t="s">
        <v>3701</v>
      </c>
      <c r="C61" s="798"/>
      <c r="D61" s="894">
        <v>642297.35</v>
      </c>
      <c r="E61" s="786"/>
      <c r="F61" s="802"/>
      <c r="G61" s="786"/>
      <c r="H61" s="1578"/>
      <c r="I61" s="786"/>
      <c r="J61" s="802">
        <v>0</v>
      </c>
      <c r="K61" s="788"/>
    </row>
    <row r="62" spans="1:15">
      <c r="A62" s="1630"/>
      <c r="B62" s="798" t="s">
        <v>3926</v>
      </c>
      <c r="C62" s="798"/>
      <c r="D62" s="894">
        <v>92693.37</v>
      </c>
      <c r="E62" s="786"/>
      <c r="F62" s="802"/>
      <c r="G62" s="786"/>
      <c r="H62" s="1578"/>
      <c r="I62" s="786"/>
      <c r="J62" s="802">
        <v>0</v>
      </c>
      <c r="K62" s="788"/>
    </row>
    <row r="63" spans="1:15">
      <c r="A63" s="1630"/>
      <c r="B63" s="798"/>
      <c r="C63" s="798"/>
      <c r="D63" s="890"/>
      <c r="E63" s="786"/>
      <c r="F63" s="803"/>
      <c r="G63" s="786"/>
      <c r="H63" s="1578"/>
      <c r="I63" s="786"/>
      <c r="J63" s="803">
        <v>0</v>
      </c>
      <c r="K63" s="788"/>
    </row>
    <row r="64" spans="1:15">
      <c r="A64" s="1630"/>
      <c r="B64" s="798"/>
      <c r="C64" s="798"/>
      <c r="D64" s="884"/>
      <c r="E64" s="786"/>
      <c r="F64" s="787"/>
      <c r="G64" s="786"/>
      <c r="H64" s="1578"/>
      <c r="I64" s="786"/>
      <c r="J64" s="787"/>
      <c r="K64" s="788"/>
    </row>
    <row r="65" spans="1:15" s="796" customFormat="1">
      <c r="A65" s="1630"/>
      <c r="B65" s="792" t="s">
        <v>2505</v>
      </c>
      <c r="C65" s="792"/>
      <c r="D65" s="795">
        <f>SUM(D60:D63)</f>
        <v>734990.72</v>
      </c>
      <c r="E65" s="794"/>
      <c r="F65" s="795">
        <f>SUM(F60:F63)</f>
        <v>0</v>
      </c>
      <c r="G65" s="794"/>
      <c r="H65" s="1632"/>
      <c r="I65" s="794"/>
      <c r="J65" s="795">
        <f>SUM(J60:J63)</f>
        <v>0</v>
      </c>
      <c r="K65" s="1427"/>
      <c r="L65" s="878"/>
      <c r="M65" s="879"/>
      <c r="N65" s="879"/>
      <c r="O65" s="879"/>
    </row>
    <row r="66" spans="1:15" s="796" customFormat="1">
      <c r="A66" s="1630"/>
      <c r="B66" s="792"/>
      <c r="C66" s="792"/>
      <c r="D66" s="793"/>
      <c r="E66" s="794"/>
      <c r="F66" s="795"/>
      <c r="G66" s="794"/>
      <c r="H66" s="1632"/>
      <c r="I66" s="794"/>
      <c r="J66" s="795"/>
      <c r="K66" s="1427"/>
      <c r="L66" s="878"/>
      <c r="M66" s="879"/>
      <c r="N66" s="879"/>
      <c r="O66" s="879"/>
    </row>
    <row r="67" spans="1:15" ht="25.5">
      <c r="A67" s="1636"/>
      <c r="B67" s="798" t="s">
        <v>2506</v>
      </c>
      <c r="C67" s="798"/>
      <c r="D67" s="787">
        <f>SUM(D68:D71)</f>
        <v>250808</v>
      </c>
      <c r="E67" s="786"/>
      <c r="F67" s="787">
        <f>SUM(F68:F71)</f>
        <v>0</v>
      </c>
      <c r="G67" s="786"/>
      <c r="H67" s="1578"/>
      <c r="I67" s="786"/>
      <c r="J67" s="787">
        <f>SUM(J68:J71)</f>
        <v>0</v>
      </c>
      <c r="K67" s="788"/>
    </row>
    <row r="68" spans="1:15">
      <c r="A68" s="1630"/>
      <c r="B68" s="880"/>
      <c r="C68" s="880"/>
      <c r="D68" s="881"/>
      <c r="E68" s="786"/>
      <c r="F68" s="800"/>
      <c r="G68" s="786"/>
      <c r="H68" s="1578"/>
      <c r="I68" s="786"/>
      <c r="J68" s="800">
        <v>0</v>
      </c>
      <c r="K68" s="788"/>
    </row>
    <row r="69" spans="1:15">
      <c r="A69" s="1630"/>
      <c r="B69" s="880"/>
      <c r="C69" s="880"/>
      <c r="D69" s="882">
        <v>250808</v>
      </c>
      <c r="E69" s="786"/>
      <c r="F69" s="802"/>
      <c r="G69" s="786"/>
      <c r="H69" s="1578"/>
      <c r="I69" s="786"/>
      <c r="J69" s="802">
        <v>0</v>
      </c>
      <c r="K69" s="788"/>
    </row>
    <row r="70" spans="1:15">
      <c r="A70" s="1630"/>
      <c r="B70" s="880"/>
      <c r="C70" s="880"/>
      <c r="D70" s="882"/>
      <c r="E70" s="786"/>
      <c r="F70" s="802"/>
      <c r="G70" s="786"/>
      <c r="H70" s="1578"/>
      <c r="I70" s="786"/>
      <c r="J70" s="802">
        <v>0</v>
      </c>
      <c r="K70" s="788"/>
    </row>
    <row r="71" spans="1:15">
      <c r="A71" s="1630"/>
      <c r="B71" s="880"/>
      <c r="C71" s="880"/>
      <c r="D71" s="883"/>
      <c r="E71" s="786"/>
      <c r="F71" s="803"/>
      <c r="G71" s="786"/>
      <c r="H71" s="1578"/>
      <c r="I71" s="786"/>
      <c r="J71" s="803">
        <v>0</v>
      </c>
      <c r="K71" s="788"/>
    </row>
    <row r="72" spans="1:15">
      <c r="A72" s="1630"/>
      <c r="B72" s="880"/>
      <c r="C72" s="880"/>
      <c r="D72" s="892"/>
      <c r="E72" s="786"/>
      <c r="F72" s="787"/>
      <c r="G72" s="786"/>
      <c r="H72" s="1578"/>
      <c r="I72" s="786"/>
      <c r="J72" s="787"/>
      <c r="K72" s="788"/>
    </row>
    <row r="73" spans="1:15" s="796" customFormat="1" ht="13.5" thickBot="1">
      <c r="A73" s="1630"/>
      <c r="B73" s="792" t="s">
        <v>2507</v>
      </c>
      <c r="C73" s="792"/>
      <c r="D73" s="895">
        <f>D65+D67</f>
        <v>985798.72</v>
      </c>
      <c r="E73" s="794"/>
      <c r="F73" s="895">
        <f>F65-F67</f>
        <v>0</v>
      </c>
      <c r="G73" s="794"/>
      <c r="H73" s="1632"/>
      <c r="I73" s="794"/>
      <c r="J73" s="895">
        <f>J65-J67</f>
        <v>0</v>
      </c>
      <c r="K73" s="1427"/>
      <c r="L73" s="878"/>
      <c r="M73" s="879"/>
      <c r="N73" s="879"/>
      <c r="O73" s="879"/>
    </row>
    <row r="74" spans="1:15" s="796" customFormat="1" ht="13.5" thickTop="1">
      <c r="A74" s="1630"/>
      <c r="B74" s="792"/>
      <c r="C74" s="792"/>
      <c r="D74" s="793"/>
      <c r="E74" s="794"/>
      <c r="F74" s="795"/>
      <c r="G74" s="794"/>
      <c r="H74" s="1632"/>
      <c r="I74" s="794"/>
      <c r="J74" s="795"/>
      <c r="K74" s="1427"/>
      <c r="L74" s="878"/>
      <c r="M74" s="879"/>
      <c r="N74" s="879"/>
      <c r="O74" s="879"/>
    </row>
    <row r="75" spans="1:15" s="796" customFormat="1">
      <c r="A75" s="1630"/>
      <c r="B75" s="798"/>
      <c r="C75" s="798"/>
      <c r="D75" s="884"/>
      <c r="E75" s="794"/>
      <c r="F75" s="795"/>
      <c r="G75" s="794"/>
      <c r="H75" s="1632"/>
      <c r="I75" s="794"/>
      <c r="J75" s="795"/>
      <c r="K75" s="1427"/>
      <c r="L75" s="878"/>
      <c r="M75" s="879"/>
      <c r="N75" s="879"/>
      <c r="O75" s="879"/>
    </row>
    <row r="76" spans="1:15">
      <c r="A76" s="1634"/>
      <c r="B76" s="807"/>
      <c r="C76" s="807"/>
      <c r="D76" s="808"/>
      <c r="E76" s="807"/>
      <c r="F76" s="808"/>
      <c r="G76" s="807"/>
      <c r="H76" s="1628"/>
      <c r="I76" s="807"/>
      <c r="J76" s="808"/>
      <c r="K76" s="809"/>
    </row>
    <row r="77" spans="1:15">
      <c r="A77" s="1635"/>
      <c r="B77" s="812"/>
      <c r="C77" s="812"/>
      <c r="D77" s="867"/>
      <c r="E77" s="812"/>
      <c r="F77" s="867"/>
      <c r="G77" s="812"/>
      <c r="H77" s="1624"/>
      <c r="I77" s="812"/>
      <c r="J77" s="867"/>
      <c r="K77" s="1425"/>
    </row>
    <row r="78" spans="1:15">
      <c r="A78" s="1630"/>
      <c r="B78" s="786"/>
      <c r="C78" s="786"/>
      <c r="D78" s="789">
        <v>2010</v>
      </c>
      <c r="E78" s="786"/>
      <c r="F78" s="896">
        <v>2009</v>
      </c>
      <c r="G78" s="897"/>
      <c r="H78" s="1637"/>
      <c r="I78" s="897"/>
      <c r="J78" s="896">
        <v>2008</v>
      </c>
      <c r="K78" s="788"/>
    </row>
    <row r="79" spans="1:15">
      <c r="A79" s="1630"/>
      <c r="B79" s="786"/>
      <c r="C79" s="786"/>
      <c r="D79" s="787"/>
      <c r="E79" s="786"/>
      <c r="F79" s="1317" t="s">
        <v>2422</v>
      </c>
      <c r="G79" s="1325"/>
      <c r="H79" s="1505"/>
      <c r="I79" s="1325"/>
      <c r="J79" s="1317" t="s">
        <v>2422</v>
      </c>
      <c r="K79" s="788"/>
    </row>
    <row r="80" spans="1:15">
      <c r="A80" s="1630"/>
      <c r="B80" s="786"/>
      <c r="C80" s="786"/>
      <c r="D80" s="787"/>
      <c r="E80" s="786"/>
      <c r="F80" s="787"/>
      <c r="G80" s="786"/>
      <c r="H80" s="1578"/>
      <c r="I80" s="786"/>
      <c r="J80" s="787"/>
      <c r="K80" s="788"/>
    </row>
    <row r="81" spans="1:16">
      <c r="A81" s="1631" t="s">
        <v>716</v>
      </c>
      <c r="B81" s="792" t="s">
        <v>2508</v>
      </c>
      <c r="C81" s="792"/>
      <c r="D81" s="793"/>
      <c r="E81" s="786"/>
      <c r="F81" s="787"/>
      <c r="G81" s="786"/>
      <c r="H81" s="1578"/>
      <c r="I81" s="786"/>
      <c r="J81" s="787"/>
      <c r="K81" s="788"/>
    </row>
    <row r="82" spans="1:16">
      <c r="A82" s="1630"/>
      <c r="B82" s="798" t="s">
        <v>2509</v>
      </c>
      <c r="C82" s="798"/>
      <c r="D82" s="799">
        <f>'main TB'!O182</f>
        <v>1301921.3400000082</v>
      </c>
      <c r="E82" s="786"/>
      <c r="F82" s="800">
        <f>SUM('main TB'!L182)</f>
        <v>1297917.8000000082</v>
      </c>
      <c r="G82" s="786"/>
      <c r="H82" s="1578"/>
      <c r="I82" s="786"/>
      <c r="J82" s="800">
        <f>SUM('main TB'!I182)-1110048</f>
        <v>1113842.8500000089</v>
      </c>
      <c r="K82" s="788"/>
      <c r="L82" s="735">
        <f>D82-F82</f>
        <v>4003.5400000000373</v>
      </c>
      <c r="N82" s="866">
        <f>F82-J82</f>
        <v>184074.94999999925</v>
      </c>
      <c r="P82" s="801" t="s">
        <v>45</v>
      </c>
    </row>
    <row r="83" spans="1:16">
      <c r="A83" s="1630"/>
      <c r="B83" s="798" t="s">
        <v>3398</v>
      </c>
      <c r="C83" s="798"/>
      <c r="D83" s="890">
        <f>'main TB'!O183</f>
        <v>80113120.099999994</v>
      </c>
      <c r="E83" s="786"/>
      <c r="F83" s="803">
        <v>90276582.099999994</v>
      </c>
      <c r="G83" s="786"/>
      <c r="H83" s="1578"/>
      <c r="I83" s="786"/>
      <c r="J83" s="803">
        <f>2223891-1113842.75</f>
        <v>1110048.25</v>
      </c>
      <c r="K83" s="788"/>
      <c r="L83" s="695">
        <f>D83-F83</f>
        <v>-10163462</v>
      </c>
    </row>
    <row r="84" spans="1:16" s="796" customFormat="1">
      <c r="A84" s="1630"/>
      <c r="B84" s="792" t="s">
        <v>1740</v>
      </c>
      <c r="C84" s="792"/>
      <c r="D84" s="795">
        <f>SUM(D82:D83)</f>
        <v>81415041.439999998</v>
      </c>
      <c r="E84" s="794"/>
      <c r="F84" s="795">
        <f>SUM(F82:F83)</f>
        <v>91574499.900000006</v>
      </c>
      <c r="G84" s="794"/>
      <c r="H84" s="1632"/>
      <c r="I84" s="794"/>
      <c r="J84" s="795">
        <f>SUM(J82:J83)</f>
        <v>2223891.1000000089</v>
      </c>
      <c r="K84" s="1427"/>
      <c r="L84" s="878"/>
      <c r="M84" s="879"/>
      <c r="N84" s="879"/>
      <c r="O84" s="879"/>
    </row>
    <row r="85" spans="1:16">
      <c r="A85" s="1630"/>
      <c r="B85" s="798"/>
      <c r="C85" s="798"/>
      <c r="D85" s="884"/>
      <c r="E85" s="786"/>
      <c r="F85" s="787"/>
      <c r="G85" s="786"/>
      <c r="H85" s="1578"/>
      <c r="I85" s="786"/>
      <c r="J85" s="787"/>
      <c r="K85" s="788"/>
    </row>
    <row r="86" spans="1:16">
      <c r="A86" s="1630"/>
      <c r="B86" s="798"/>
      <c r="C86" s="798"/>
      <c r="D86" s="787">
        <v>0</v>
      </c>
      <c r="E86" s="786"/>
      <c r="F86" s="787">
        <v>0</v>
      </c>
      <c r="G86" s="786"/>
      <c r="H86" s="1578"/>
      <c r="I86" s="786"/>
      <c r="J86" s="787">
        <v>0</v>
      </c>
      <c r="K86" s="788"/>
    </row>
    <row r="87" spans="1:16">
      <c r="A87" s="1630"/>
      <c r="B87" s="786"/>
      <c r="C87" s="786"/>
      <c r="D87" s="787"/>
      <c r="E87" s="786"/>
      <c r="F87" s="787"/>
      <c r="G87" s="786"/>
      <c r="H87" s="1578"/>
      <c r="I87" s="786"/>
      <c r="J87" s="787"/>
      <c r="K87" s="788"/>
    </row>
    <row r="88" spans="1:16" ht="38.25">
      <c r="A88" s="1630"/>
      <c r="B88" s="898" t="s">
        <v>3415</v>
      </c>
      <c r="C88" s="898"/>
      <c r="D88" s="899"/>
      <c r="E88" s="786"/>
      <c r="F88" s="787"/>
      <c r="G88" s="786"/>
      <c r="H88" s="1578"/>
      <c r="I88" s="786"/>
      <c r="J88" s="787"/>
      <c r="K88" s="788"/>
    </row>
    <row r="89" spans="1:16" ht="51">
      <c r="A89" s="1630"/>
      <c r="B89" s="696" t="s">
        <v>3408</v>
      </c>
      <c r="C89" s="696"/>
      <c r="D89" s="697"/>
      <c r="E89" s="786"/>
      <c r="F89" s="787"/>
      <c r="G89" s="786"/>
      <c r="H89" s="1578"/>
      <c r="I89" s="786"/>
      <c r="J89" s="787"/>
      <c r="K89" s="788"/>
    </row>
    <row r="90" spans="1:16" s="905" customFormat="1" ht="102">
      <c r="A90" s="1638"/>
      <c r="B90" s="696" t="s">
        <v>3407</v>
      </c>
      <c r="C90" s="696"/>
      <c r="D90" s="697"/>
      <c r="E90" s="901"/>
      <c r="F90" s="901"/>
      <c r="G90" s="901"/>
      <c r="H90" s="1639"/>
      <c r="I90" s="901"/>
      <c r="J90" s="901"/>
      <c r="K90" s="902"/>
      <c r="L90" s="903"/>
      <c r="M90" s="904"/>
      <c r="N90" s="904"/>
      <c r="O90" s="904"/>
    </row>
    <row r="91" spans="1:16" s="905" customFormat="1" ht="15" thickBot="1">
      <c r="A91" s="1640"/>
      <c r="B91" s="1641"/>
      <c r="C91" s="1641"/>
      <c r="D91" s="1642"/>
      <c r="E91" s="1643"/>
      <c r="F91" s="1643"/>
      <c r="G91" s="1643"/>
      <c r="H91" s="1644"/>
      <c r="I91" s="1428"/>
      <c r="J91" s="1428"/>
      <c r="K91" s="1429"/>
      <c r="L91" s="903"/>
      <c r="M91" s="904"/>
      <c r="N91" s="904"/>
      <c r="O91" s="904"/>
    </row>
    <row r="92" spans="1:16" s="905" customFormat="1" ht="15" thickTop="1">
      <c r="A92" s="900"/>
      <c r="B92" s="696"/>
      <c r="C92" s="696"/>
      <c r="D92" s="697"/>
      <c r="E92" s="901"/>
      <c r="F92" s="901"/>
      <c r="G92" s="901"/>
      <c r="H92" s="901"/>
      <c r="I92" s="901"/>
      <c r="J92" s="901"/>
      <c r="K92" s="902"/>
      <c r="L92" s="903"/>
      <c r="M92" s="904"/>
      <c r="N92" s="904"/>
      <c r="O92" s="904"/>
    </row>
    <row r="93" spans="1:16">
      <c r="A93" s="806"/>
      <c r="B93" s="807"/>
      <c r="C93" s="807"/>
      <c r="D93" s="808"/>
      <c r="E93" s="807"/>
      <c r="F93" s="808"/>
      <c r="G93" s="807"/>
      <c r="H93" s="807"/>
      <c r="I93" s="807"/>
      <c r="J93" s="808"/>
      <c r="K93" s="809"/>
    </row>
    <row r="125" spans="7:7">
      <c r="G125" s="784">
        <v>5253981.1399999997</v>
      </c>
    </row>
  </sheetData>
  <mergeCells count="2">
    <mergeCell ref="A1:H1"/>
    <mergeCell ref="A2:H2"/>
  </mergeCells>
  <phoneticPr fontId="0" type="noConversion"/>
  <printOptions horizontalCentered="1"/>
  <pageMargins left="0.6692913385826772" right="0.39370078740157483" top="0.98425196850393704" bottom="0.98425196850393704" header="0.51181102362204722" footer="0.51181102362204722"/>
  <pageSetup scale="91" fitToHeight="2" orientation="portrait" r:id="rId1"/>
  <headerFooter>
    <oddHeader>&amp;C FINANCIAL STATEMENTS: MUSINA LOCAL MUNICIPALITY</oddHeader>
    <oddFooter>&amp;RPage &amp;P</oddFooter>
  </headerFooter>
  <legacyDrawing r:id="rId2"/>
</worksheet>
</file>

<file path=xl/worksheets/sheet15.xml><?xml version="1.0" encoding="utf-8"?>
<worksheet xmlns="http://schemas.openxmlformats.org/spreadsheetml/2006/main" xmlns:r="http://schemas.openxmlformats.org/officeDocument/2006/relationships">
  <dimension ref="A1:S190"/>
  <sheetViews>
    <sheetView tabSelected="1" view="pageBreakPreview" zoomScaleSheetLayoutView="100" workbookViewId="0">
      <selection activeCell="B43" sqref="B43"/>
    </sheetView>
  </sheetViews>
  <sheetFormatPr defaultRowHeight="12.75"/>
  <cols>
    <col min="1" max="1" width="9.140625" style="1278" customWidth="1"/>
    <col min="2" max="2" width="38.7109375" style="784" customWidth="1"/>
    <col min="3" max="3" width="19.42578125" style="819" bestFit="1" customWidth="1"/>
    <col min="4" max="4" width="19" style="819" bestFit="1" customWidth="1"/>
    <col min="5" max="5" width="18.42578125" style="819" bestFit="1" customWidth="1"/>
    <col min="6" max="6" width="2.85546875" style="837" customWidth="1"/>
    <col min="7" max="7" width="14.5703125" style="838" customWidth="1"/>
    <col min="8" max="8" width="18" style="838" bestFit="1" customWidth="1"/>
    <col min="9" max="9" width="14" style="838" bestFit="1" customWidth="1"/>
    <col min="10" max="10" width="12.85546875" style="838" bestFit="1" customWidth="1"/>
    <col min="11" max="11" width="12.42578125" style="838" bestFit="1" customWidth="1"/>
    <col min="12" max="15" width="9.140625" style="837"/>
    <col min="16" max="16" width="15.28515625" style="837" customWidth="1"/>
    <col min="17" max="17" width="19.5703125" style="837" customWidth="1"/>
    <col min="18" max="18" width="14.140625" style="837" customWidth="1"/>
    <col min="19" max="16384" width="9.140625" style="837"/>
  </cols>
  <sheetData>
    <row r="1" spans="1:11" ht="13.5" thickTop="1">
      <c r="A1" s="1660"/>
      <c r="B1" s="1647"/>
      <c r="C1" s="1647"/>
      <c r="D1" s="1647"/>
      <c r="E1" s="1500"/>
      <c r="F1" s="1648"/>
    </row>
    <row r="2" spans="1:11">
      <c r="A2" s="1806" t="s">
        <v>2486</v>
      </c>
      <c r="B2" s="1807"/>
      <c r="C2" s="1807"/>
      <c r="D2" s="1807"/>
      <c r="E2" s="1807"/>
      <c r="F2" s="1808"/>
    </row>
    <row r="3" spans="1:11">
      <c r="A3" s="1837" t="s">
        <v>3498</v>
      </c>
      <c r="B3" s="1838"/>
      <c r="C3" s="1838"/>
      <c r="D3" s="1838"/>
      <c r="E3" s="1838"/>
      <c r="F3" s="1839"/>
    </row>
    <row r="4" spans="1:11" ht="13.5" thickBot="1">
      <c r="A4" s="1630"/>
      <c r="B4" s="786"/>
      <c r="F4" s="1649"/>
    </row>
    <row r="5" spans="1:11" s="671" customFormat="1" ht="13.5" thickTop="1">
      <c r="A5" s="1645" t="s">
        <v>717</v>
      </c>
      <c r="B5" s="1646" t="s">
        <v>1216</v>
      </c>
      <c r="C5" s="1647"/>
      <c r="D5" s="1647"/>
      <c r="E5" s="1647"/>
      <c r="F5" s="1648"/>
      <c r="G5" s="735"/>
      <c r="H5" s="735"/>
      <c r="I5" s="735"/>
      <c r="J5" s="735"/>
      <c r="K5" s="735"/>
    </row>
    <row r="6" spans="1:11" s="671" customFormat="1">
      <c r="A6" s="1631"/>
      <c r="B6" s="621" t="s">
        <v>45</v>
      </c>
      <c r="C6" s="819"/>
      <c r="D6" s="819"/>
      <c r="E6" s="819"/>
      <c r="F6" s="1649"/>
      <c r="G6" s="735"/>
      <c r="H6" s="735"/>
      <c r="I6" s="735"/>
      <c r="J6" s="735"/>
      <c r="K6" s="735"/>
    </row>
    <row r="7" spans="1:11" s="671" customFormat="1" ht="25.5">
      <c r="A7" s="1590"/>
      <c r="B7" s="709"/>
      <c r="C7" s="841" t="s">
        <v>2511</v>
      </c>
      <c r="D7" s="841" t="s">
        <v>2512</v>
      </c>
      <c r="E7" s="841" t="s">
        <v>2513</v>
      </c>
      <c r="F7" s="1591"/>
      <c r="G7" s="735"/>
      <c r="H7" s="735"/>
      <c r="I7" s="735"/>
      <c r="J7" s="735"/>
      <c r="K7" s="735"/>
    </row>
    <row r="8" spans="1:11">
      <c r="A8" s="1590"/>
      <c r="B8" s="709"/>
      <c r="C8" s="834" t="s">
        <v>2422</v>
      </c>
      <c r="D8" s="834" t="s">
        <v>2422</v>
      </c>
      <c r="E8" s="834" t="s">
        <v>2422</v>
      </c>
      <c r="F8" s="1591"/>
    </row>
    <row r="9" spans="1:11">
      <c r="A9" s="1630"/>
      <c r="B9" s="792"/>
      <c r="F9" s="1649"/>
      <c r="G9" s="735"/>
    </row>
    <row r="10" spans="1:11">
      <c r="A10" s="1630"/>
      <c r="B10" s="842" t="s">
        <v>3523</v>
      </c>
      <c r="F10" s="1649"/>
      <c r="G10" s="735"/>
    </row>
    <row r="11" spans="1:11">
      <c r="A11" s="1630"/>
      <c r="B11" s="798" t="s">
        <v>2514</v>
      </c>
      <c r="C11" s="830">
        <f>SUM(C12:C15)</f>
        <v>14607863.300000001</v>
      </c>
      <c r="D11" s="830">
        <f>SUM(D12:D15)</f>
        <v>5057108.7349999994</v>
      </c>
      <c r="E11" s="830">
        <f>SUM(E12:E15)</f>
        <v>9550754.5649999995</v>
      </c>
      <c r="F11" s="1649"/>
      <c r="G11" s="735"/>
    </row>
    <row r="12" spans="1:11">
      <c r="A12" s="1630"/>
      <c r="B12" s="843" t="s">
        <v>1112</v>
      </c>
      <c r="C12" s="831">
        <f>C82</f>
        <v>6308002.0999999996</v>
      </c>
      <c r="D12" s="831">
        <f>3547726.52/2</f>
        <v>1773863.26</v>
      </c>
      <c r="E12" s="831">
        <f>+C12-D12</f>
        <v>4534138.84</v>
      </c>
      <c r="F12" s="1649"/>
      <c r="G12" s="735"/>
    </row>
    <row r="13" spans="1:11">
      <c r="A13" s="1630"/>
      <c r="B13" s="843" t="s">
        <v>1114</v>
      </c>
      <c r="C13" s="832">
        <f>C91</f>
        <v>1464942.9500000002</v>
      </c>
      <c r="D13" s="832">
        <f>457966.24+324537.31+726.91/2</f>
        <v>782867.005</v>
      </c>
      <c r="E13" s="832">
        <f>+C13-D13</f>
        <v>682075.94500000018</v>
      </c>
      <c r="F13" s="1649"/>
      <c r="G13" s="735"/>
    </row>
    <row r="14" spans="1:11">
      <c r="A14" s="1630"/>
      <c r="B14" s="843" t="s">
        <v>2517</v>
      </c>
      <c r="C14" s="832">
        <f>C100</f>
        <v>4168583.7800000003</v>
      </c>
      <c r="D14" s="832">
        <f>3722987.56/2</f>
        <v>1861493.78</v>
      </c>
      <c r="E14" s="832">
        <f>+C14-D14</f>
        <v>2307090</v>
      </c>
      <c r="F14" s="1649"/>
      <c r="G14" s="735"/>
    </row>
    <row r="15" spans="1:11">
      <c r="A15" s="1630"/>
      <c r="B15" s="843" t="s">
        <v>515</v>
      </c>
      <c r="C15" s="833">
        <f>C109+C119+C129+C141+C151</f>
        <v>2666334.4699999997</v>
      </c>
      <c r="D15" s="833">
        <v>638884.68999999994</v>
      </c>
      <c r="E15" s="833">
        <f>+C15-D15</f>
        <v>2027449.7799999998</v>
      </c>
      <c r="F15" s="1649"/>
      <c r="G15" s="735"/>
    </row>
    <row r="16" spans="1:11">
      <c r="A16" s="1630"/>
      <c r="B16" s="798" t="s">
        <v>1061</v>
      </c>
      <c r="D16" s="819">
        <v>0</v>
      </c>
      <c r="E16" s="819">
        <f>SUM(C16-D16)</f>
        <v>0</v>
      </c>
      <c r="F16" s="1649"/>
      <c r="G16" s="735"/>
    </row>
    <row r="17" spans="1:8">
      <c r="A17" s="1630"/>
      <c r="B17" s="798" t="s">
        <v>3589</v>
      </c>
      <c r="C17" s="819">
        <v>-1246321.2</v>
      </c>
      <c r="D17" s="819">
        <v>0</v>
      </c>
      <c r="E17" s="819">
        <f>SUM(C17-D17)</f>
        <v>-1246321.2</v>
      </c>
      <c r="F17" s="1649"/>
      <c r="G17" s="735"/>
    </row>
    <row r="18" spans="1:8">
      <c r="A18" s="1630"/>
      <c r="B18" s="798" t="s">
        <v>1219</v>
      </c>
      <c r="C18" s="819">
        <v>20</v>
      </c>
      <c r="D18" s="819">
        <v>0</v>
      </c>
      <c r="E18" s="819">
        <f>SUM(C18-D18)</f>
        <v>20</v>
      </c>
      <c r="F18" s="1649"/>
      <c r="G18" s="735"/>
    </row>
    <row r="19" spans="1:8" ht="13.5" thickBot="1">
      <c r="A19" s="1630"/>
      <c r="B19" s="792" t="s">
        <v>1740</v>
      </c>
      <c r="C19" s="844">
        <f>SUM(C11+C16+C17+C18)</f>
        <v>13361562.100000001</v>
      </c>
      <c r="D19" s="844">
        <f>SUM(D11+D16+D17+D18)</f>
        <v>5057108.7349999994</v>
      </c>
      <c r="E19" s="844">
        <f>SUM(E11+E16+E17+E18)</f>
        <v>8304453.3649999993</v>
      </c>
      <c r="F19" s="1649"/>
      <c r="G19" s="735">
        <f>E40-E19</f>
        <v>-894453.35999999847</v>
      </c>
    </row>
    <row r="20" spans="1:8" ht="13.5" thickTop="1">
      <c r="A20" s="1630"/>
      <c r="B20" s="845"/>
      <c r="F20" s="1649"/>
      <c r="G20" s="735"/>
    </row>
    <row r="21" spans="1:8">
      <c r="A21" s="1630"/>
      <c r="B21" s="792" t="s">
        <v>2518</v>
      </c>
      <c r="F21" s="1649"/>
      <c r="G21" s="735"/>
    </row>
    <row r="22" spans="1:8">
      <c r="A22" s="1630"/>
      <c r="B22" s="792" t="s">
        <v>2519</v>
      </c>
      <c r="E22" s="819">
        <f>SUM(E23:E28)</f>
        <v>195338.84</v>
      </c>
      <c r="F22" s="1649"/>
      <c r="G22" s="735"/>
    </row>
    <row r="23" spans="1:8">
      <c r="A23" s="1630"/>
      <c r="B23" s="843" t="s">
        <v>1112</v>
      </c>
      <c r="E23" s="831">
        <v>14245.2</v>
      </c>
      <c r="F23" s="1649"/>
      <c r="G23" s="735"/>
    </row>
    <row r="24" spans="1:8">
      <c r="A24" s="1630"/>
      <c r="B24" s="843" t="s">
        <v>1114</v>
      </c>
      <c r="E24" s="832">
        <v>3081.83</v>
      </c>
      <c r="F24" s="1649"/>
      <c r="G24" s="735"/>
    </row>
    <row r="25" spans="1:8">
      <c r="A25" s="1630"/>
      <c r="B25" s="843" t="s">
        <v>2515</v>
      </c>
      <c r="E25" s="832">
        <v>39960.78</v>
      </c>
      <c r="F25" s="1649"/>
      <c r="G25" s="735"/>
    </row>
    <row r="26" spans="1:8">
      <c r="A26" s="1630"/>
      <c r="B26" s="843" t="s">
        <v>2516</v>
      </c>
      <c r="E26" s="832">
        <v>41493.81</v>
      </c>
      <c r="F26" s="1649"/>
      <c r="G26" s="735"/>
    </row>
    <row r="27" spans="1:8">
      <c r="A27" s="1630"/>
      <c r="B27" s="843" t="s">
        <v>2517</v>
      </c>
      <c r="E27" s="832">
        <v>68845</v>
      </c>
      <c r="F27" s="1649"/>
      <c r="G27" s="735"/>
    </row>
    <row r="28" spans="1:8">
      <c r="A28" s="1630"/>
      <c r="B28" s="843" t="s">
        <v>515</v>
      </c>
      <c r="E28" s="833">
        <f>25054.65+2657.57</f>
        <v>27712.22</v>
      </c>
      <c r="F28" s="1649"/>
      <c r="G28" s="735"/>
    </row>
    <row r="29" spans="1:8">
      <c r="A29" s="1630"/>
      <c r="B29" s="792"/>
      <c r="F29" s="1649"/>
      <c r="G29" s="735"/>
    </row>
    <row r="30" spans="1:8">
      <c r="A30" s="1630"/>
      <c r="B30" s="792"/>
      <c r="F30" s="1649"/>
      <c r="G30" s="735"/>
    </row>
    <row r="31" spans="1:8">
      <c r="A31" s="1630"/>
      <c r="B31" s="842" t="s">
        <v>2670</v>
      </c>
      <c r="F31" s="1649"/>
      <c r="H31" s="571"/>
    </row>
    <row r="32" spans="1:8">
      <c r="A32" s="1630"/>
      <c r="B32" s="798" t="s">
        <v>2514</v>
      </c>
      <c r="C32" s="830">
        <f>SUM(C33:C36)</f>
        <v>12579830.57</v>
      </c>
      <c r="D32" s="830">
        <f>SUM(D33:D36)</f>
        <v>5170558.0950000007</v>
      </c>
      <c r="E32" s="830">
        <f>SUM(E33:E36)</f>
        <v>7409272.4750000006</v>
      </c>
      <c r="F32" s="1649"/>
    </row>
    <row r="33" spans="1:11">
      <c r="A33" s="1630"/>
      <c r="B33" s="843" t="s">
        <v>1112</v>
      </c>
      <c r="C33" s="831">
        <v>4591570.97</v>
      </c>
      <c r="D33" s="831">
        <f>3508835.87/2</f>
        <v>1754417.9350000001</v>
      </c>
      <c r="E33" s="831">
        <f>+C33-D33</f>
        <v>2837153.0349999997</v>
      </c>
      <c r="F33" s="1649"/>
    </row>
    <row r="34" spans="1:11">
      <c r="A34" s="1630"/>
      <c r="B34" s="843" t="s">
        <v>1114</v>
      </c>
      <c r="C34" s="832">
        <v>1052842.79</v>
      </c>
      <c r="D34" s="832">
        <f>345061.61+273612.83+1033.45/2</f>
        <v>619191.16499999992</v>
      </c>
      <c r="E34" s="832">
        <f>+C34-D34</f>
        <v>433651.62500000012</v>
      </c>
      <c r="F34" s="1649"/>
    </row>
    <row r="35" spans="1:11">
      <c r="A35" s="1630"/>
      <c r="B35" s="843" t="s">
        <v>2517</v>
      </c>
      <c r="C35" s="832">
        <v>4074717.38</v>
      </c>
      <c r="D35" s="832">
        <f>3651757.85/2</f>
        <v>1825878.925</v>
      </c>
      <c r="E35" s="832">
        <f>+C35-D35</f>
        <v>2248838.4550000001</v>
      </c>
      <c r="F35" s="1649"/>
      <c r="G35" s="838">
        <f>C40-C19</f>
        <v>-781004.00000000186</v>
      </c>
    </row>
    <row r="36" spans="1:11">
      <c r="A36" s="1630"/>
      <c r="B36" s="843" t="s">
        <v>515</v>
      </c>
      <c r="C36" s="833">
        <v>2860699.43</v>
      </c>
      <c r="D36" s="833">
        <f>971070.07</f>
        <v>971070.07</v>
      </c>
      <c r="E36" s="833">
        <f>+C36-D36</f>
        <v>1889629.3600000003</v>
      </c>
      <c r="F36" s="1649"/>
    </row>
    <row r="37" spans="1:11">
      <c r="A37" s="1630"/>
      <c r="B37" s="798" t="s">
        <v>1061</v>
      </c>
      <c r="D37" s="819">
        <v>0</v>
      </c>
      <c r="E37" s="819">
        <f>SUM(C37-D37)</f>
        <v>0</v>
      </c>
      <c r="F37" s="1649"/>
    </row>
    <row r="38" spans="1:11">
      <c r="A38" s="1630"/>
      <c r="B38" s="798" t="s">
        <v>1046</v>
      </c>
      <c r="C38" s="819">
        <v>727.53</v>
      </c>
      <c r="D38" s="819">
        <v>0</v>
      </c>
      <c r="E38" s="819">
        <f>SUM(C38-D38)</f>
        <v>727.53</v>
      </c>
      <c r="F38" s="1649"/>
    </row>
    <row r="39" spans="1:11" s="575" customFormat="1">
      <c r="A39" s="1630"/>
      <c r="B39" s="798" t="s">
        <v>515</v>
      </c>
      <c r="C39" s="819">
        <v>0</v>
      </c>
      <c r="D39" s="819">
        <v>0</v>
      </c>
      <c r="E39" s="819">
        <f>SUM(C39-D39)</f>
        <v>0</v>
      </c>
      <c r="F39" s="1649"/>
      <c r="G39" s="571"/>
      <c r="H39" s="571"/>
      <c r="I39" s="571"/>
      <c r="J39" s="571"/>
      <c r="K39" s="571"/>
    </row>
    <row r="40" spans="1:11" ht="13.5" thickBot="1">
      <c r="A40" s="1630"/>
      <c r="B40" s="792" t="s">
        <v>1740</v>
      </c>
      <c r="C40" s="844">
        <f>SUM(C32+C37+C38+C39)</f>
        <v>12580558.1</v>
      </c>
      <c r="D40" s="844">
        <f>SUM(D32+D37+D38+D39)</f>
        <v>5170558.0950000007</v>
      </c>
      <c r="E40" s="844">
        <f>SUM(E32+E37+E38+E39)</f>
        <v>7410000.0050000008</v>
      </c>
      <c r="F40" s="1650"/>
      <c r="G40" s="838">
        <f>E61-E40</f>
        <v>-398329.95500000007</v>
      </c>
    </row>
    <row r="41" spans="1:11" ht="13.5" thickTop="1">
      <c r="A41" s="1630"/>
      <c r="B41" s="845"/>
      <c r="F41" s="1649"/>
    </row>
    <row r="42" spans="1:11">
      <c r="A42" s="1630"/>
      <c r="B42" s="792" t="s">
        <v>2518</v>
      </c>
      <c r="F42" s="1649"/>
    </row>
    <row r="43" spans="1:11">
      <c r="A43" s="1630"/>
      <c r="B43" s="792" t="s">
        <v>2519</v>
      </c>
      <c r="E43" s="819">
        <f>SUM(E44:E49)</f>
        <v>1768264.5699999998</v>
      </c>
      <c r="F43" s="1649"/>
    </row>
    <row r="44" spans="1:11">
      <c r="A44" s="1630"/>
      <c r="B44" s="843" t="s">
        <v>1112</v>
      </c>
      <c r="E44" s="831">
        <v>83525.289999999994</v>
      </c>
      <c r="F44" s="1649"/>
    </row>
    <row r="45" spans="1:11">
      <c r="A45" s="1630"/>
      <c r="B45" s="843" t="s">
        <v>1114</v>
      </c>
      <c r="E45" s="832">
        <v>0</v>
      </c>
      <c r="F45" s="1649"/>
    </row>
    <row r="46" spans="1:11">
      <c r="A46" s="1630"/>
      <c r="B46" s="843" t="s">
        <v>2515</v>
      </c>
      <c r="E46" s="832">
        <v>0</v>
      </c>
      <c r="F46" s="1649"/>
    </row>
    <row r="47" spans="1:11">
      <c r="A47" s="1630"/>
      <c r="B47" s="843" t="s">
        <v>2516</v>
      </c>
      <c r="E47" s="832">
        <v>0</v>
      </c>
      <c r="F47" s="1649"/>
    </row>
    <row r="48" spans="1:11">
      <c r="A48" s="1630"/>
      <c r="B48" s="843" t="s">
        <v>2517</v>
      </c>
      <c r="E48" s="832">
        <v>262116.13</v>
      </c>
      <c r="F48" s="1649"/>
    </row>
    <row r="49" spans="1:6">
      <c r="A49" s="1630"/>
      <c r="B49" s="843" t="s">
        <v>515</v>
      </c>
      <c r="E49" s="833">
        <v>1422623.15</v>
      </c>
      <c r="F49" s="1649"/>
    </row>
    <row r="50" spans="1:6">
      <c r="A50" s="1630"/>
      <c r="B50" s="786"/>
      <c r="F50" s="1649"/>
    </row>
    <row r="51" spans="1:6">
      <c r="A51" s="1630"/>
      <c r="B51" s="786"/>
      <c r="F51" s="1649"/>
    </row>
    <row r="52" spans="1:6">
      <c r="A52" s="1630"/>
      <c r="B52" s="842" t="s">
        <v>2189</v>
      </c>
      <c r="F52" s="1649"/>
    </row>
    <row r="53" spans="1:6">
      <c r="A53" s="1630"/>
      <c r="B53" s="798" t="s">
        <v>2514</v>
      </c>
      <c r="C53" s="830">
        <f>SUM(C54:C57)</f>
        <v>12906878.73</v>
      </c>
      <c r="D53" s="830">
        <f>SUM(D54:D57)</f>
        <v>5651075.1699999999</v>
      </c>
      <c r="E53" s="830">
        <f>SUM(E54:E57)</f>
        <v>7255803.5600000005</v>
      </c>
      <c r="F53" s="1649"/>
    </row>
    <row r="54" spans="1:6">
      <c r="A54" s="1630"/>
      <c r="B54" s="843" t="s">
        <v>1112</v>
      </c>
      <c r="C54" s="831">
        <v>3363756.36</v>
      </c>
      <c r="D54" s="831">
        <v>1296026.4099999999</v>
      </c>
      <c r="E54" s="831">
        <f>+C54-D54</f>
        <v>2067729.95</v>
      </c>
      <c r="F54" s="1649"/>
    </row>
    <row r="55" spans="1:6">
      <c r="A55" s="1630"/>
      <c r="B55" s="843" t="s">
        <v>1114</v>
      </c>
      <c r="C55" s="832">
        <v>1080370.05</v>
      </c>
      <c r="D55" s="832">
        <v>241267.23</v>
      </c>
      <c r="E55" s="832">
        <f>+C55-D55</f>
        <v>839102.82000000007</v>
      </c>
      <c r="F55" s="1649"/>
    </row>
    <row r="56" spans="1:6">
      <c r="A56" s="1630"/>
      <c r="B56" s="843" t="s">
        <v>2517</v>
      </c>
      <c r="C56" s="832">
        <v>4268957.41</v>
      </c>
      <c r="D56" s="832">
        <v>1881259.96</v>
      </c>
      <c r="E56" s="832">
        <f>+C56-D56</f>
        <v>2387697.4500000002</v>
      </c>
      <c r="F56" s="1649"/>
    </row>
    <row r="57" spans="1:6">
      <c r="A57" s="1630"/>
      <c r="B57" s="843" t="s">
        <v>515</v>
      </c>
      <c r="C57" s="833">
        <f>4193794.91</f>
        <v>4193794.91</v>
      </c>
      <c r="D57" s="833">
        <v>2232521.5699999998</v>
      </c>
      <c r="E57" s="833">
        <f>+C57-D57</f>
        <v>1961273.3400000003</v>
      </c>
      <c r="F57" s="1649"/>
    </row>
    <row r="58" spans="1:6">
      <c r="A58" s="1630"/>
      <c r="B58" s="798" t="s">
        <v>1044</v>
      </c>
      <c r="C58" s="819">
        <f>-58891.69+1.28</f>
        <v>-58890.41</v>
      </c>
      <c r="D58" s="819">
        <v>0</v>
      </c>
      <c r="E58" s="819">
        <f>SUM(C58-D58)</f>
        <v>-58890.41</v>
      </c>
      <c r="F58" s="1649"/>
    </row>
    <row r="59" spans="1:6">
      <c r="A59" s="1630"/>
      <c r="B59" s="798" t="s">
        <v>1046</v>
      </c>
      <c r="C59" s="819">
        <v>-185243.1</v>
      </c>
      <c r="D59" s="819">
        <v>0</v>
      </c>
      <c r="E59" s="819">
        <f>SUM(C59-D59)</f>
        <v>-185243.1</v>
      </c>
      <c r="F59" s="1649"/>
    </row>
    <row r="60" spans="1:6">
      <c r="A60" s="1630"/>
      <c r="B60" s="798" t="s">
        <v>515</v>
      </c>
      <c r="C60" s="819">
        <v>0</v>
      </c>
      <c r="D60" s="819">
        <v>0</v>
      </c>
      <c r="E60" s="819">
        <f>SUM(C60-D60)</f>
        <v>0</v>
      </c>
      <c r="F60" s="1649"/>
    </row>
    <row r="61" spans="1:6" ht="13.5" thickBot="1">
      <c r="A61" s="1630"/>
      <c r="B61" s="792" t="s">
        <v>1740</v>
      </c>
      <c r="C61" s="844">
        <f>SUM(C53+C58+C59+C60)</f>
        <v>12662745.220000001</v>
      </c>
      <c r="D61" s="844">
        <f>SUM(D53+D58+D59+D60)</f>
        <v>5651075.1699999999</v>
      </c>
      <c r="E61" s="844">
        <f>SUM(E53+E58+E59+E60)</f>
        <v>7011670.0500000007</v>
      </c>
      <c r="F61" s="1649"/>
    </row>
    <row r="62" spans="1:6" ht="13.5" thickTop="1">
      <c r="A62" s="1630"/>
      <c r="B62" s="845"/>
      <c r="F62" s="1649"/>
    </row>
    <row r="63" spans="1:6">
      <c r="A63" s="1630"/>
      <c r="B63" s="792" t="s">
        <v>2518</v>
      </c>
      <c r="F63" s="1649"/>
    </row>
    <row r="64" spans="1:6">
      <c r="A64" s="1630"/>
      <c r="B64" s="792" t="s">
        <v>2519</v>
      </c>
      <c r="E64" s="819">
        <f>SUM(E65:E70)</f>
        <v>351104</v>
      </c>
      <c r="F64" s="1649"/>
    </row>
    <row r="65" spans="1:17">
      <c r="A65" s="1630"/>
      <c r="B65" s="843" t="s">
        <v>1112</v>
      </c>
      <c r="E65" s="831">
        <v>42405</v>
      </c>
      <c r="F65" s="1649"/>
    </row>
    <row r="66" spans="1:17">
      <c r="A66" s="1630"/>
      <c r="B66" s="843" t="s">
        <v>1114</v>
      </c>
      <c r="E66" s="832">
        <v>3142</v>
      </c>
      <c r="F66" s="1649"/>
    </row>
    <row r="67" spans="1:17">
      <c r="A67" s="1630"/>
      <c r="B67" s="843" t="s">
        <v>2515</v>
      </c>
      <c r="E67" s="832">
        <v>101738</v>
      </c>
      <c r="F67" s="1649"/>
    </row>
    <row r="68" spans="1:17">
      <c r="A68" s="1630"/>
      <c r="B68" s="843" t="s">
        <v>2516</v>
      </c>
      <c r="E68" s="832">
        <v>40968</v>
      </c>
      <c r="F68" s="1649"/>
    </row>
    <row r="69" spans="1:17">
      <c r="A69" s="1630"/>
      <c r="B69" s="843" t="s">
        <v>2517</v>
      </c>
      <c r="E69" s="832">
        <v>53454</v>
      </c>
      <c r="F69" s="1649"/>
    </row>
    <row r="70" spans="1:17">
      <c r="A70" s="1630"/>
      <c r="B70" s="843" t="s">
        <v>515</v>
      </c>
      <c r="E70" s="833">
        <v>109397</v>
      </c>
      <c r="F70" s="1649"/>
    </row>
    <row r="71" spans="1:17">
      <c r="A71" s="1634"/>
      <c r="B71" s="807"/>
      <c r="C71" s="824"/>
      <c r="D71" s="824"/>
      <c r="E71" s="824"/>
      <c r="F71" s="1651"/>
    </row>
    <row r="72" spans="1:17">
      <c r="A72" s="1635"/>
      <c r="B72" s="812"/>
      <c r="C72" s="826"/>
      <c r="D72" s="826"/>
      <c r="E72" s="826"/>
      <c r="F72" s="1652"/>
    </row>
    <row r="73" spans="1:17">
      <c r="A73" s="1630"/>
      <c r="B73" s="786"/>
      <c r="C73" s="816" t="s">
        <v>3484</v>
      </c>
      <c r="D73" s="848"/>
      <c r="E73" s="816" t="s">
        <v>2651</v>
      </c>
      <c r="F73" s="1649"/>
    </row>
    <row r="74" spans="1:17">
      <c r="A74" s="1630"/>
      <c r="B74" s="792"/>
      <c r="C74" s="848" t="s">
        <v>2422</v>
      </c>
      <c r="D74" s="848"/>
      <c r="E74" s="848" t="s">
        <v>2422</v>
      </c>
      <c r="F74" s="1649"/>
    </row>
    <row r="75" spans="1:17">
      <c r="A75" s="1630"/>
      <c r="B75" s="798" t="s">
        <v>782</v>
      </c>
      <c r="F75" s="1649"/>
    </row>
    <row r="76" spans="1:17" ht="15">
      <c r="A76" s="1630"/>
      <c r="B76" s="843" t="s">
        <v>783</v>
      </c>
      <c r="C76" s="831">
        <v>135719.5</v>
      </c>
      <c r="E76" s="831">
        <v>94379.87</v>
      </c>
      <c r="F76" s="1649"/>
      <c r="H76" s="522"/>
    </row>
    <row r="77" spans="1:17" ht="15">
      <c r="A77" s="1630"/>
      <c r="B77" s="843" t="s">
        <v>784</v>
      </c>
      <c r="C77" s="832">
        <v>560151.80000000005</v>
      </c>
      <c r="E77" s="832">
        <v>409437.15</v>
      </c>
      <c r="F77" s="1649"/>
      <c r="H77" s="522"/>
    </row>
    <row r="78" spans="1:17" ht="15">
      <c r="A78" s="1630"/>
      <c r="B78" s="843" t="s">
        <v>785</v>
      </c>
      <c r="C78" s="832">
        <v>362610.5</v>
      </c>
      <c r="E78" s="832">
        <v>348459.04</v>
      </c>
      <c r="F78" s="1649"/>
      <c r="H78" s="522"/>
    </row>
    <row r="79" spans="1:17" ht="15">
      <c r="A79" s="1630"/>
      <c r="B79" s="843" t="s">
        <v>786</v>
      </c>
      <c r="C79" s="832">
        <v>224648</v>
      </c>
      <c r="E79" s="832">
        <v>230459.04</v>
      </c>
      <c r="F79" s="1649"/>
      <c r="H79" s="522"/>
    </row>
    <row r="80" spans="1:17" ht="15">
      <c r="A80" s="1630"/>
      <c r="B80" s="843" t="s">
        <v>1057</v>
      </c>
      <c r="C80" s="832">
        <f>220421.3+4804451</f>
        <v>5024872.3</v>
      </c>
      <c r="E80" s="832">
        <f>204573.56+3304262.31</f>
        <v>3508835.87</v>
      </c>
      <c r="F80" s="1649"/>
      <c r="G80" s="819"/>
      <c r="H80" s="849" t="s">
        <v>3581</v>
      </c>
      <c r="I80" s="849" t="s">
        <v>3582</v>
      </c>
      <c r="J80" s="849" t="s">
        <v>2224</v>
      </c>
      <c r="K80" s="849" t="s">
        <v>3583</v>
      </c>
      <c r="L80" s="849" t="s">
        <v>3584</v>
      </c>
      <c r="M80" s="849" t="s">
        <v>3585</v>
      </c>
      <c r="N80" s="849" t="s">
        <v>3586</v>
      </c>
      <c r="O80" s="849" t="s">
        <v>3587</v>
      </c>
      <c r="P80" s="849" t="s">
        <v>3588</v>
      </c>
      <c r="Q80" s="849" t="s">
        <v>1710</v>
      </c>
    </row>
    <row r="81" spans="1:19" s="575" customFormat="1">
      <c r="A81" s="1630"/>
      <c r="B81" s="843" t="s">
        <v>1058</v>
      </c>
      <c r="C81" s="833">
        <v>0</v>
      </c>
      <c r="D81" s="819"/>
      <c r="E81" s="833">
        <v>0</v>
      </c>
      <c r="F81" s="1649"/>
      <c r="G81" s="571"/>
      <c r="H81" s="838"/>
      <c r="I81" s="838"/>
      <c r="J81" s="838"/>
      <c r="K81" s="837"/>
      <c r="L81" s="837"/>
      <c r="M81" s="837"/>
      <c r="N81" s="837"/>
      <c r="O81" s="837"/>
      <c r="P81" s="837"/>
      <c r="Q81" s="837"/>
      <c r="R81" s="837"/>
      <c r="S81" s="837"/>
    </row>
    <row r="82" spans="1:19" ht="15">
      <c r="A82" s="1630"/>
      <c r="B82" s="792" t="s">
        <v>2505</v>
      </c>
      <c r="C82" s="830">
        <f>SUM(C76:C81)</f>
        <v>6308002.0999999996</v>
      </c>
      <c r="D82" s="830"/>
      <c r="E82" s="830">
        <f>SUM(E76:E81)</f>
        <v>4591570.9700000007</v>
      </c>
      <c r="F82" s="1650"/>
      <c r="H82" s="849">
        <v>0</v>
      </c>
      <c r="I82" s="849">
        <v>-964772.56</v>
      </c>
      <c r="J82" s="849">
        <v>271360.59999999998</v>
      </c>
      <c r="K82" s="849">
        <v>4318.34</v>
      </c>
      <c r="L82" s="849">
        <v>3062.44</v>
      </c>
      <c r="M82" s="849">
        <v>2429.0700000000002</v>
      </c>
      <c r="N82" s="849">
        <v>834.59</v>
      </c>
      <c r="O82" s="849">
        <v>1215670.03</v>
      </c>
      <c r="P82" s="850">
        <v>0</v>
      </c>
      <c r="Q82" s="850">
        <v>532902.51</v>
      </c>
    </row>
    <row r="83" spans="1:19" ht="15">
      <c r="A83" s="1630"/>
      <c r="B83" s="786"/>
      <c r="F83" s="1649"/>
      <c r="H83" s="849" t="s">
        <v>3558</v>
      </c>
      <c r="I83" s="849">
        <v>-142024.24</v>
      </c>
      <c r="J83" s="849">
        <v>135719.54</v>
      </c>
      <c r="K83" s="849">
        <v>560151.81999999995</v>
      </c>
      <c r="L83" s="849">
        <v>362610.54</v>
      </c>
      <c r="M83" s="849">
        <v>224648.04</v>
      </c>
      <c r="N83" s="849">
        <v>220421.31</v>
      </c>
      <c r="O83" s="849">
        <v>4804451.0999999996</v>
      </c>
      <c r="P83" s="850">
        <v>0</v>
      </c>
      <c r="Q83" s="850">
        <v>6165978.1100000003</v>
      </c>
    </row>
    <row r="84" spans="1:19" ht="15">
      <c r="A84" s="1630"/>
      <c r="B84" s="798" t="s">
        <v>1059</v>
      </c>
      <c r="F84" s="1649"/>
      <c r="H84" s="849" t="s">
        <v>3559</v>
      </c>
      <c r="I84" s="849">
        <v>-82304.62</v>
      </c>
      <c r="J84" s="849">
        <v>29915.62</v>
      </c>
      <c r="K84" s="849">
        <v>6452.19</v>
      </c>
      <c r="L84" s="849">
        <v>241712.75</v>
      </c>
      <c r="M84" s="849">
        <v>767.64</v>
      </c>
      <c r="N84" s="849">
        <v>780.57</v>
      </c>
      <c r="O84" s="849">
        <v>276096.87</v>
      </c>
      <c r="P84" s="850">
        <v>0</v>
      </c>
      <c r="Q84" s="850">
        <v>473421.02</v>
      </c>
    </row>
    <row r="85" spans="1:19" ht="15">
      <c r="A85" s="1630"/>
      <c r="B85" s="843" t="s">
        <v>783</v>
      </c>
      <c r="C85" s="831">
        <f>65058.93+2185.43</f>
        <v>67244.36</v>
      </c>
      <c r="E85" s="831">
        <f>61669.35+2723.7</f>
        <v>64393.049999999996</v>
      </c>
      <c r="F85" s="1649"/>
      <c r="H85" s="849" t="s">
        <v>3560</v>
      </c>
      <c r="I85" s="849">
        <v>-12865.71</v>
      </c>
      <c r="J85" s="849">
        <v>65058.93</v>
      </c>
      <c r="K85" s="849">
        <v>255988.95</v>
      </c>
      <c r="L85" s="849">
        <v>180055.67999999999</v>
      </c>
      <c r="M85" s="849">
        <v>101728.16</v>
      </c>
      <c r="N85" s="849">
        <v>61764.44</v>
      </c>
      <c r="O85" s="849">
        <v>406454.2</v>
      </c>
      <c r="P85" s="850">
        <v>0</v>
      </c>
      <c r="Q85" s="850">
        <v>1058184.6499999999</v>
      </c>
    </row>
    <row r="86" spans="1:19" ht="15">
      <c r="A86" s="1630"/>
      <c r="B86" s="843" t="s">
        <v>784</v>
      </c>
      <c r="C86" s="832">
        <f>255989+29292.77</f>
        <v>285281.77</v>
      </c>
      <c r="E86" s="832">
        <f>168215.46+28819.03</f>
        <v>197034.49</v>
      </c>
      <c r="F86" s="1649"/>
      <c r="H86" s="849" t="s">
        <v>3561</v>
      </c>
      <c r="I86" s="849">
        <v>-1349.24</v>
      </c>
      <c r="J86" s="849">
        <v>2185.4299999999998</v>
      </c>
      <c r="K86" s="849">
        <v>29292.77</v>
      </c>
      <c r="L86" s="849">
        <v>19948.86</v>
      </c>
      <c r="M86" s="849">
        <v>17105.34</v>
      </c>
      <c r="N86" s="849">
        <v>15176.77</v>
      </c>
      <c r="O86" s="849">
        <v>309456.38</v>
      </c>
      <c r="P86" s="850">
        <v>0</v>
      </c>
      <c r="Q86" s="850">
        <v>391816.31</v>
      </c>
    </row>
    <row r="87" spans="1:19" ht="15">
      <c r="A87" s="1630"/>
      <c r="B87" s="843" t="s">
        <v>785</v>
      </c>
      <c r="C87" s="832">
        <f>180055.7+19948.86</f>
        <v>200004.56</v>
      </c>
      <c r="E87" s="832">
        <f>80827.75+21385.94</f>
        <v>102213.69</v>
      </c>
      <c r="F87" s="1649"/>
      <c r="H87" s="849" t="s">
        <v>3562</v>
      </c>
      <c r="I87" s="849">
        <v>0</v>
      </c>
      <c r="J87" s="849">
        <v>0</v>
      </c>
      <c r="K87" s="849">
        <v>0</v>
      </c>
      <c r="L87" s="849">
        <v>0</v>
      </c>
      <c r="M87" s="849">
        <v>0</v>
      </c>
      <c r="N87" s="849">
        <v>0</v>
      </c>
      <c r="O87" s="849">
        <v>726.91</v>
      </c>
      <c r="P87" s="850">
        <v>0</v>
      </c>
      <c r="Q87" s="850">
        <v>726.91</v>
      </c>
      <c r="R87" s="575"/>
    </row>
    <row r="88" spans="1:19" ht="15">
      <c r="A88" s="1630"/>
      <c r="B88" s="843" t="s">
        <v>786</v>
      </c>
      <c r="C88" s="832">
        <f>101728.2+17105.34</f>
        <v>118833.54</v>
      </c>
      <c r="E88" s="832">
        <f>53215.9+16277.77</f>
        <v>69493.67</v>
      </c>
      <c r="F88" s="1649"/>
      <c r="H88" s="849" t="s">
        <v>3563</v>
      </c>
      <c r="I88" s="849">
        <v>-25054.65</v>
      </c>
      <c r="J88" s="849">
        <v>0</v>
      </c>
      <c r="K88" s="849">
        <v>0</v>
      </c>
      <c r="L88" s="849">
        <v>0</v>
      </c>
      <c r="M88" s="849">
        <v>0</v>
      </c>
      <c r="N88" s="849">
        <v>0</v>
      </c>
      <c r="O88" s="849">
        <v>0</v>
      </c>
      <c r="P88" s="850">
        <v>0</v>
      </c>
      <c r="Q88" s="850">
        <v>-25054.65</v>
      </c>
    </row>
    <row r="89" spans="1:19" ht="15">
      <c r="A89" s="1630"/>
      <c r="B89" s="843" t="s">
        <v>1057</v>
      </c>
      <c r="C89" s="832">
        <f>61764.44+15176.77+406454.2+309456.4+726.91</f>
        <v>793578.72000000009</v>
      </c>
      <c r="E89" s="832">
        <f>47899.93+27677.29+297161.68+245935.54+1033.45</f>
        <v>619707.89</v>
      </c>
      <c r="F89" s="1649"/>
      <c r="H89" s="849" t="s">
        <v>3564</v>
      </c>
      <c r="I89" s="849">
        <v>0</v>
      </c>
      <c r="J89" s="849">
        <v>87.72</v>
      </c>
      <c r="K89" s="849">
        <v>87.72</v>
      </c>
      <c r="L89" s="849">
        <v>87.72</v>
      </c>
      <c r="M89" s="849">
        <v>87.72</v>
      </c>
      <c r="N89" s="849">
        <v>87.72</v>
      </c>
      <c r="O89" s="849">
        <v>126158.86</v>
      </c>
      <c r="P89" s="850">
        <v>0</v>
      </c>
      <c r="Q89" s="850">
        <v>126597.46</v>
      </c>
    </row>
    <row r="90" spans="1:19" ht="15">
      <c r="A90" s="1630"/>
      <c r="B90" s="843" t="s">
        <v>1058</v>
      </c>
      <c r="C90" s="833">
        <v>0</v>
      </c>
      <c r="E90" s="833">
        <v>0</v>
      </c>
      <c r="F90" s="1649"/>
      <c r="H90" s="849" t="s">
        <v>3565</v>
      </c>
      <c r="I90" s="849">
        <v>0</v>
      </c>
      <c r="J90" s="849">
        <v>0</v>
      </c>
      <c r="K90" s="849">
        <v>0</v>
      </c>
      <c r="L90" s="849">
        <v>0</v>
      </c>
      <c r="M90" s="849">
        <v>0</v>
      </c>
      <c r="N90" s="849">
        <v>0</v>
      </c>
      <c r="O90" s="849">
        <v>383.02</v>
      </c>
      <c r="P90" s="850">
        <v>0</v>
      </c>
      <c r="Q90" s="850">
        <v>383.02</v>
      </c>
    </row>
    <row r="91" spans="1:19" ht="15">
      <c r="A91" s="1630"/>
      <c r="B91" s="792" t="s">
        <v>2505</v>
      </c>
      <c r="C91" s="830">
        <f>SUM(C85:C90)</f>
        <v>1464942.9500000002</v>
      </c>
      <c r="D91" s="830"/>
      <c r="E91" s="830">
        <f>SUM(E85:E90)</f>
        <v>1052842.79</v>
      </c>
      <c r="F91" s="1649"/>
      <c r="H91" s="849" t="s">
        <v>3566</v>
      </c>
      <c r="I91" s="849">
        <v>-1368.76</v>
      </c>
      <c r="J91" s="849">
        <v>0</v>
      </c>
      <c r="K91" s="849">
        <v>0</v>
      </c>
      <c r="L91" s="849">
        <v>0</v>
      </c>
      <c r="M91" s="849">
        <v>0</v>
      </c>
      <c r="N91" s="849">
        <v>0</v>
      </c>
      <c r="O91" s="849">
        <v>45026.68</v>
      </c>
      <c r="P91" s="850">
        <v>0</v>
      </c>
      <c r="Q91" s="850">
        <v>43657.919999999998</v>
      </c>
    </row>
    <row r="92" spans="1:19" ht="15">
      <c r="A92" s="1630"/>
      <c r="B92" s="786"/>
      <c r="F92" s="1649"/>
      <c r="H92" s="849" t="s">
        <v>3567</v>
      </c>
      <c r="I92" s="849">
        <v>0</v>
      </c>
      <c r="J92" s="849">
        <v>0</v>
      </c>
      <c r="K92" s="849">
        <v>57.14</v>
      </c>
      <c r="L92" s="849">
        <v>56.25</v>
      </c>
      <c r="M92" s="849">
        <v>56.25</v>
      </c>
      <c r="N92" s="849">
        <v>56.25</v>
      </c>
      <c r="O92" s="849">
        <v>5790.32</v>
      </c>
      <c r="P92" s="850">
        <v>0</v>
      </c>
      <c r="Q92" s="850">
        <v>6016.21</v>
      </c>
    </row>
    <row r="93" spans="1:19" ht="15">
      <c r="A93" s="1630"/>
      <c r="B93" s="798" t="s">
        <v>2517</v>
      </c>
      <c r="F93" s="1649"/>
      <c r="H93" s="849" t="s">
        <v>3568</v>
      </c>
      <c r="I93" s="849">
        <v>0</v>
      </c>
      <c r="J93" s="849">
        <v>0</v>
      </c>
      <c r="K93" s="849">
        <v>0</v>
      </c>
      <c r="L93" s="849">
        <v>0</v>
      </c>
      <c r="M93" s="849">
        <v>0</v>
      </c>
      <c r="N93" s="849">
        <v>0</v>
      </c>
      <c r="O93" s="849">
        <v>342</v>
      </c>
      <c r="P93" s="850">
        <v>0</v>
      </c>
      <c r="Q93" s="850">
        <v>342</v>
      </c>
    </row>
    <row r="94" spans="1:19" ht="15">
      <c r="A94" s="1630"/>
      <c r="B94" s="843" t="s">
        <v>783</v>
      </c>
      <c r="C94" s="851">
        <f>16140.88+0.2</f>
        <v>16141.08</v>
      </c>
      <c r="E94" s="831">
        <f>18758.49+0.11</f>
        <v>18758.600000000002</v>
      </c>
      <c r="F94" s="1649"/>
      <c r="H94" s="849" t="s">
        <v>3569</v>
      </c>
      <c r="I94" s="849">
        <v>0</v>
      </c>
      <c r="J94" s="849">
        <v>113.29</v>
      </c>
      <c r="K94" s="849">
        <v>3261.04</v>
      </c>
      <c r="L94" s="849">
        <v>3257.24</v>
      </c>
      <c r="M94" s="849">
        <v>2846.07</v>
      </c>
      <c r="N94" s="849">
        <v>0</v>
      </c>
      <c r="O94" s="849">
        <v>0</v>
      </c>
      <c r="P94" s="850">
        <v>0</v>
      </c>
      <c r="Q94" s="850">
        <v>9477.64</v>
      </c>
    </row>
    <row r="95" spans="1:19" ht="15">
      <c r="A95" s="1630"/>
      <c r="B95" s="843" t="s">
        <v>784</v>
      </c>
      <c r="C95" s="852">
        <f>158629.2+1.33</f>
        <v>158630.53</v>
      </c>
      <c r="E95" s="832">
        <f>164892.92+1.24</f>
        <v>164894.16</v>
      </c>
      <c r="F95" s="1649"/>
      <c r="H95" s="849" t="s">
        <v>1910</v>
      </c>
      <c r="I95" s="849">
        <v>-12</v>
      </c>
      <c r="J95" s="849">
        <v>5444.92</v>
      </c>
      <c r="K95" s="849">
        <v>3804.15</v>
      </c>
      <c r="L95" s="849">
        <v>3597.36</v>
      </c>
      <c r="M95" s="849">
        <v>3776.25</v>
      </c>
      <c r="N95" s="849">
        <v>3690.39</v>
      </c>
      <c r="O95" s="849">
        <v>139042.95000000001</v>
      </c>
      <c r="P95" s="850">
        <v>0</v>
      </c>
      <c r="Q95" s="850">
        <v>159344.01999999999</v>
      </c>
    </row>
    <row r="96" spans="1:19" ht="15">
      <c r="A96" s="1630"/>
      <c r="B96" s="843" t="s">
        <v>785</v>
      </c>
      <c r="C96" s="852">
        <f>142527.4+1.32</f>
        <v>142528.72</v>
      </c>
      <c r="E96" s="832">
        <f>124791.18+1.22</f>
        <v>124792.4</v>
      </c>
      <c r="F96" s="1649"/>
      <c r="H96" s="849" t="s">
        <v>2422</v>
      </c>
      <c r="I96" s="849">
        <v>-12739.82</v>
      </c>
      <c r="J96" s="849">
        <v>16140.88</v>
      </c>
      <c r="K96" s="849">
        <v>158629.24</v>
      </c>
      <c r="L96" s="849">
        <v>142527.35</v>
      </c>
      <c r="M96" s="849">
        <v>122736.1</v>
      </c>
      <c r="N96" s="849">
        <v>115030.37</v>
      </c>
      <c r="O96" s="849">
        <v>3613494.76</v>
      </c>
      <c r="P96" s="850">
        <v>0</v>
      </c>
      <c r="Q96" s="850">
        <v>4155818.88</v>
      </c>
    </row>
    <row r="97" spans="1:17" ht="15">
      <c r="A97" s="1630"/>
      <c r="B97" s="843" t="s">
        <v>786</v>
      </c>
      <c r="C97" s="852">
        <f>122736.1+1.31</f>
        <v>122737.41</v>
      </c>
      <c r="E97" s="832">
        <f>114507.32+1.21</f>
        <v>114508.53000000001</v>
      </c>
      <c r="F97" s="1649"/>
      <c r="H97" s="849" t="s">
        <v>3570</v>
      </c>
      <c r="I97" s="849">
        <v>0</v>
      </c>
      <c r="J97" s="849">
        <v>0.2</v>
      </c>
      <c r="K97" s="849">
        <v>1.33</v>
      </c>
      <c r="L97" s="849">
        <v>1.32</v>
      </c>
      <c r="M97" s="849">
        <v>1.31</v>
      </c>
      <c r="N97" s="849">
        <v>1.3</v>
      </c>
      <c r="O97" s="849">
        <v>19.579999999999998</v>
      </c>
      <c r="P97" s="850">
        <v>0</v>
      </c>
      <c r="Q97" s="850">
        <v>25.04</v>
      </c>
    </row>
    <row r="98" spans="1:17" ht="15">
      <c r="A98" s="1630"/>
      <c r="B98" s="843" t="s">
        <v>1057</v>
      </c>
      <c r="C98" s="852">
        <f>115030.4+1.3+3613494.76+19.58</f>
        <v>3728546.04</v>
      </c>
      <c r="E98" s="832">
        <f>107698.67+1.2+3544059.18+4.64</f>
        <v>3651763.6900000004</v>
      </c>
      <c r="F98" s="1649"/>
      <c r="H98" s="849" t="s">
        <v>81</v>
      </c>
      <c r="I98" s="849">
        <v>-37125.65</v>
      </c>
      <c r="J98" s="849">
        <v>14142.35</v>
      </c>
      <c r="K98" s="849">
        <v>135623.66</v>
      </c>
      <c r="L98" s="849">
        <v>121472.44</v>
      </c>
      <c r="M98" s="849">
        <v>104428.04</v>
      </c>
      <c r="N98" s="849">
        <v>97424.1</v>
      </c>
      <c r="O98" s="849">
        <v>2905463.71</v>
      </c>
      <c r="P98" s="850">
        <v>0</v>
      </c>
      <c r="Q98" s="850">
        <v>3341428.65</v>
      </c>
    </row>
    <row r="99" spans="1:17" ht="15">
      <c r="A99" s="1630"/>
      <c r="B99" s="843" t="s">
        <v>1058</v>
      </c>
      <c r="C99" s="853">
        <v>0</v>
      </c>
      <c r="E99" s="833">
        <v>0</v>
      </c>
      <c r="F99" s="1649"/>
      <c r="H99" s="849" t="s">
        <v>3571</v>
      </c>
      <c r="I99" s="849">
        <v>0</v>
      </c>
      <c r="J99" s="849">
        <v>716.7</v>
      </c>
      <c r="K99" s="849">
        <v>0</v>
      </c>
      <c r="L99" s="849">
        <v>0</v>
      </c>
      <c r="M99" s="849">
        <v>0</v>
      </c>
      <c r="N99" s="849">
        <v>0</v>
      </c>
      <c r="O99" s="849">
        <v>623.77</v>
      </c>
      <c r="P99" s="850">
        <v>0</v>
      </c>
      <c r="Q99" s="850">
        <v>1340.47</v>
      </c>
    </row>
    <row r="100" spans="1:17" ht="15">
      <c r="A100" s="1630"/>
      <c r="B100" s="792" t="s">
        <v>2505</v>
      </c>
      <c r="C100" s="854">
        <f>SUM(C94:C99)</f>
        <v>4168583.7800000003</v>
      </c>
      <c r="E100" s="830">
        <f>SUM(E94:E99)</f>
        <v>4074717.3800000004</v>
      </c>
      <c r="F100" s="1649"/>
      <c r="H100" s="849" t="s">
        <v>3572</v>
      </c>
      <c r="I100" s="849">
        <v>0</v>
      </c>
      <c r="J100" s="849">
        <v>0</v>
      </c>
      <c r="K100" s="849">
        <v>0</v>
      </c>
      <c r="L100" s="849">
        <v>0</v>
      </c>
      <c r="M100" s="849">
        <v>0</v>
      </c>
      <c r="N100" s="849">
        <v>0</v>
      </c>
      <c r="O100" s="849">
        <v>55230.52</v>
      </c>
      <c r="P100" s="850">
        <v>0</v>
      </c>
      <c r="Q100" s="850">
        <v>55230.52</v>
      </c>
    </row>
    <row r="101" spans="1:17" ht="15">
      <c r="A101" s="1630"/>
      <c r="B101" s="786"/>
      <c r="F101" s="1649"/>
      <c r="H101" s="849" t="s">
        <v>3573</v>
      </c>
      <c r="I101" s="849">
        <v>0</v>
      </c>
      <c r="J101" s="849">
        <v>10</v>
      </c>
      <c r="K101" s="849">
        <v>10</v>
      </c>
      <c r="L101" s="849">
        <v>10</v>
      </c>
      <c r="M101" s="849">
        <v>10</v>
      </c>
      <c r="N101" s="849">
        <v>10</v>
      </c>
      <c r="O101" s="849">
        <v>1514.26</v>
      </c>
      <c r="P101" s="850">
        <v>0</v>
      </c>
      <c r="Q101" s="850">
        <v>1564.26</v>
      </c>
    </row>
    <row r="102" spans="1:17" ht="15">
      <c r="A102" s="1630"/>
      <c r="B102" s="798" t="s">
        <v>2633</v>
      </c>
      <c r="F102" s="1649"/>
      <c r="H102" s="849" t="s">
        <v>3574</v>
      </c>
      <c r="I102" s="849">
        <v>-24979.4</v>
      </c>
      <c r="J102" s="849">
        <v>30341.47</v>
      </c>
      <c r="K102" s="849">
        <v>383036.24</v>
      </c>
      <c r="L102" s="849">
        <v>583832.94999999995</v>
      </c>
      <c r="M102" s="849">
        <v>382472.11</v>
      </c>
      <c r="N102" s="849">
        <v>328751.13</v>
      </c>
      <c r="O102" s="849">
        <v>5540232.1399999997</v>
      </c>
      <c r="P102" s="850">
        <v>0</v>
      </c>
      <c r="Q102" s="850">
        <v>7223686.6399999997</v>
      </c>
    </row>
    <row r="103" spans="1:17" ht="15">
      <c r="A103" s="1630"/>
      <c r="B103" s="843" t="s">
        <v>783</v>
      </c>
      <c r="C103" s="831">
        <f>5444.92+113.29</f>
        <v>5558.21</v>
      </c>
      <c r="E103" s="831">
        <f>1801.15+16.11</f>
        <v>1817.26</v>
      </c>
      <c r="F103" s="1649"/>
      <c r="H103" s="849" t="s">
        <v>3575</v>
      </c>
      <c r="I103" s="849">
        <v>-2212.1999999999998</v>
      </c>
      <c r="J103" s="849">
        <v>1561.49</v>
      </c>
      <c r="K103" s="849">
        <v>12586.99</v>
      </c>
      <c r="L103" s="849">
        <v>11809.57</v>
      </c>
      <c r="M103" s="849">
        <v>11036.58</v>
      </c>
      <c r="N103" s="849">
        <v>10443.07</v>
      </c>
      <c r="O103" s="849">
        <v>236176.31</v>
      </c>
      <c r="P103" s="850">
        <v>0</v>
      </c>
      <c r="Q103" s="850">
        <v>281401.81</v>
      </c>
    </row>
    <row r="104" spans="1:17" ht="15">
      <c r="A104" s="1630"/>
      <c r="B104" s="843" t="s">
        <v>784</v>
      </c>
      <c r="C104" s="832">
        <f>3804.15+3261.04</f>
        <v>7065.1900000000005</v>
      </c>
      <c r="E104" s="832">
        <v>41785.14</v>
      </c>
      <c r="F104" s="1649"/>
      <c r="H104" s="849" t="s">
        <v>3576</v>
      </c>
      <c r="I104" s="849">
        <v>0</v>
      </c>
      <c r="J104" s="849">
        <v>25.72</v>
      </c>
      <c r="K104" s="849">
        <v>25.72</v>
      </c>
      <c r="L104" s="849">
        <v>2932.6</v>
      </c>
      <c r="M104" s="849">
        <v>0</v>
      </c>
      <c r="N104" s="849">
        <v>0</v>
      </c>
      <c r="O104" s="849">
        <v>8680.01</v>
      </c>
      <c r="P104" s="850">
        <v>0</v>
      </c>
      <c r="Q104" s="850">
        <v>11664.05</v>
      </c>
    </row>
    <row r="105" spans="1:17" ht="15">
      <c r="A105" s="1630"/>
      <c r="B105" s="843" t="s">
        <v>785</v>
      </c>
      <c r="C105" s="832">
        <f>3597.36+3257.24</f>
        <v>6854.6</v>
      </c>
      <c r="D105" s="819">
        <v>0</v>
      </c>
      <c r="E105" s="832">
        <v>5275.51</v>
      </c>
      <c r="F105" s="1649"/>
      <c r="H105" s="849" t="s">
        <v>3577</v>
      </c>
      <c r="I105" s="849">
        <v>-3829.6</v>
      </c>
      <c r="J105" s="849">
        <v>132.97999999999999</v>
      </c>
      <c r="K105" s="849">
        <v>1276.8</v>
      </c>
      <c r="L105" s="849">
        <v>1276.22</v>
      </c>
      <c r="M105" s="849">
        <v>1246.43</v>
      </c>
      <c r="N105" s="849">
        <v>1250.25</v>
      </c>
      <c r="O105" s="849">
        <v>197865</v>
      </c>
      <c r="P105" s="850">
        <v>0</v>
      </c>
      <c r="Q105" s="850">
        <v>199218.08</v>
      </c>
    </row>
    <row r="106" spans="1:17" ht="15">
      <c r="A106" s="1630"/>
      <c r="B106" s="843" t="s">
        <v>786</v>
      </c>
      <c r="C106" s="832">
        <f>2846.07+3776.25</f>
        <v>6622.32</v>
      </c>
      <c r="E106" s="832">
        <v>5305.4</v>
      </c>
      <c r="F106" s="1649"/>
      <c r="H106" s="849" t="s">
        <v>3578</v>
      </c>
      <c r="I106" s="849" t="s">
        <v>3579</v>
      </c>
      <c r="J106" s="849" t="s">
        <v>3579</v>
      </c>
      <c r="K106" s="849" t="s">
        <v>3579</v>
      </c>
      <c r="L106" s="849" t="s">
        <v>3579</v>
      </c>
      <c r="M106" s="849" t="s">
        <v>3579</v>
      </c>
      <c r="N106" s="849" t="s">
        <v>3579</v>
      </c>
      <c r="O106" s="849" t="s">
        <v>3579</v>
      </c>
      <c r="P106" s="850" t="s">
        <v>3579</v>
      </c>
      <c r="Q106" s="850" t="s">
        <v>3579</v>
      </c>
    </row>
    <row r="107" spans="1:17" ht="15">
      <c r="A107" s="1630"/>
      <c r="B107" s="843" t="s">
        <v>1057</v>
      </c>
      <c r="C107" s="832">
        <f>3690.39+139042.95+342</f>
        <v>143075.34000000003</v>
      </c>
      <c r="E107" s="832">
        <f>5031.31+119836.14+342</f>
        <v>125209.45</v>
      </c>
      <c r="F107" s="1649"/>
      <c r="H107" s="849" t="s">
        <v>3580</v>
      </c>
      <c r="I107" s="849">
        <v>-1310638.45</v>
      </c>
      <c r="J107" s="849">
        <v>572957.84</v>
      </c>
      <c r="K107" s="849">
        <v>1554604.1</v>
      </c>
      <c r="L107" s="849">
        <v>1678251.29</v>
      </c>
      <c r="M107" s="849">
        <v>975375.11</v>
      </c>
      <c r="N107" s="849">
        <v>855722.26</v>
      </c>
      <c r="O107" s="849">
        <v>19888899.379999999</v>
      </c>
      <c r="P107" s="850">
        <v>0</v>
      </c>
      <c r="Q107" s="850">
        <f>SUM(Q82:Q106)</f>
        <v>24215171.529999997</v>
      </c>
    </row>
    <row r="108" spans="1:17" ht="15">
      <c r="A108" s="1630"/>
      <c r="B108" s="843" t="s">
        <v>1058</v>
      </c>
      <c r="C108" s="833">
        <v>0</v>
      </c>
      <c r="E108" s="833">
        <v>0</v>
      </c>
      <c r="F108" s="1649"/>
      <c r="H108" s="849"/>
      <c r="I108" s="849"/>
      <c r="J108" s="849"/>
      <c r="K108" s="849"/>
      <c r="L108" s="849"/>
      <c r="M108" s="849"/>
      <c r="N108" s="849"/>
      <c r="O108" s="849"/>
      <c r="P108" s="850"/>
      <c r="Q108" s="850">
        <v>1246321.2</v>
      </c>
    </row>
    <row r="109" spans="1:17" ht="15">
      <c r="A109" s="1630"/>
      <c r="B109" s="792" t="s">
        <v>2505</v>
      </c>
      <c r="C109" s="830">
        <f>SUM(C103:C108)</f>
        <v>169175.66000000003</v>
      </c>
      <c r="E109" s="830">
        <f>SUM(E103:E108)</f>
        <v>179392.76</v>
      </c>
      <c r="F109" s="1649"/>
      <c r="H109" s="849"/>
      <c r="I109" s="849"/>
      <c r="J109" s="849"/>
      <c r="K109" s="849"/>
      <c r="L109" s="849"/>
      <c r="M109" s="849"/>
      <c r="N109" s="849"/>
      <c r="O109" s="849"/>
      <c r="P109" s="850"/>
      <c r="Q109" s="850">
        <v>2946.21</v>
      </c>
    </row>
    <row r="110" spans="1:17" ht="15">
      <c r="A110" s="1630"/>
      <c r="B110" s="786"/>
      <c r="F110" s="1649"/>
      <c r="H110" s="522"/>
      <c r="I110" s="850">
        <v>64317.25</v>
      </c>
      <c r="J110" s="850">
        <v>-46787.73</v>
      </c>
      <c r="K110" s="850">
        <v>-531272.61</v>
      </c>
      <c r="L110" s="849">
        <v>-720047.6</v>
      </c>
      <c r="M110" s="849">
        <v>-497936.7</v>
      </c>
      <c r="N110" s="849">
        <v>-436618.3</v>
      </c>
      <c r="O110" s="849">
        <v>-8691176</v>
      </c>
      <c r="P110" s="850"/>
      <c r="Q110" s="850">
        <v>-10923838.869999999</v>
      </c>
    </row>
    <row r="111" spans="1:17">
      <c r="A111" s="1630"/>
      <c r="B111" s="786"/>
      <c r="F111" s="1649"/>
    </row>
    <row r="112" spans="1:17">
      <c r="A112" s="1630"/>
      <c r="B112" s="798" t="s">
        <v>1951</v>
      </c>
      <c r="F112" s="1649"/>
    </row>
    <row r="113" spans="1:11">
      <c r="A113" s="1630"/>
      <c r="B113" s="843" t="s">
        <v>783</v>
      </c>
      <c r="C113" s="831">
        <v>87.72</v>
      </c>
      <c r="E113" s="831">
        <v>120.61</v>
      </c>
      <c r="F113" s="1649"/>
      <c r="I113" s="838">
        <v>128</v>
      </c>
    </row>
    <row r="114" spans="1:11">
      <c r="A114" s="1630"/>
      <c r="B114" s="843" t="s">
        <v>784</v>
      </c>
      <c r="C114" s="832">
        <f>87.72+57.14</f>
        <v>144.86000000000001</v>
      </c>
      <c r="E114" s="832">
        <f>120.61+68.75</f>
        <v>189.36</v>
      </c>
      <c r="F114" s="1649"/>
    </row>
    <row r="115" spans="1:11">
      <c r="A115" s="1630"/>
      <c r="B115" s="843" t="s">
        <v>785</v>
      </c>
      <c r="C115" s="832">
        <f>87.72+56.25</f>
        <v>143.97</v>
      </c>
      <c r="E115" s="832">
        <f>120.61+68.74</f>
        <v>189.35</v>
      </c>
      <c r="F115" s="1649"/>
    </row>
    <row r="116" spans="1:11">
      <c r="A116" s="1630"/>
      <c r="B116" s="843" t="s">
        <v>786</v>
      </c>
      <c r="C116" s="832">
        <f>87.72+56.25</f>
        <v>143.97</v>
      </c>
      <c r="E116" s="832">
        <f>120.61+62.5</f>
        <v>183.11</v>
      </c>
      <c r="F116" s="1649"/>
    </row>
    <row r="117" spans="1:11">
      <c r="A117" s="1630"/>
      <c r="B117" s="843" t="s">
        <v>1057</v>
      </c>
      <c r="C117" s="832">
        <f>87.52+56.25+126158.86+383.02+45026.68+5790.32</f>
        <v>177502.65000000002</v>
      </c>
      <c r="E117" s="832">
        <f>120.61+62.5+133787.5+383.02+49055.77+5647.32</f>
        <v>189056.71999999997</v>
      </c>
      <c r="F117" s="1649"/>
    </row>
    <row r="118" spans="1:11">
      <c r="A118" s="1630"/>
      <c r="B118" s="843" t="s">
        <v>1058</v>
      </c>
      <c r="C118" s="833">
        <v>0</v>
      </c>
      <c r="E118" s="833">
        <v>0</v>
      </c>
      <c r="F118" s="1649"/>
    </row>
    <row r="119" spans="1:11" s="804" customFormat="1">
      <c r="A119" s="1630"/>
      <c r="B119" s="792" t="s">
        <v>2505</v>
      </c>
      <c r="C119" s="830">
        <f>SUM(C113:C118)</f>
        <v>178023.17</v>
      </c>
      <c r="D119" s="819"/>
      <c r="E119" s="830">
        <f>SUM(E113:E118)</f>
        <v>189739.14999999997</v>
      </c>
      <c r="F119" s="1649"/>
      <c r="G119" s="855"/>
      <c r="H119" s="855"/>
      <c r="I119" s="855"/>
      <c r="J119" s="855"/>
      <c r="K119" s="855"/>
    </row>
    <row r="120" spans="1:11">
      <c r="A120" s="1630"/>
      <c r="B120" s="786"/>
      <c r="F120" s="1649"/>
    </row>
    <row r="121" spans="1:11">
      <c r="A121" s="1630"/>
      <c r="B121" s="786"/>
      <c r="F121" s="1649"/>
    </row>
    <row r="122" spans="1:11">
      <c r="A122" s="1630"/>
      <c r="B122" s="798" t="s">
        <v>2970</v>
      </c>
      <c r="F122" s="1649"/>
    </row>
    <row r="123" spans="1:11">
      <c r="A123" s="1630"/>
      <c r="B123" s="843" t="s">
        <v>783</v>
      </c>
      <c r="C123" s="831">
        <v>0</v>
      </c>
      <c r="E123" s="831">
        <v>0</v>
      </c>
      <c r="F123" s="1649"/>
    </row>
    <row r="124" spans="1:11">
      <c r="A124" s="1630"/>
      <c r="B124" s="843" t="s">
        <v>784</v>
      </c>
      <c r="C124" s="832">
        <v>0</v>
      </c>
      <c r="E124" s="832">
        <v>0</v>
      </c>
      <c r="F124" s="1649"/>
    </row>
    <row r="125" spans="1:11">
      <c r="A125" s="1630"/>
      <c r="B125" s="843" t="s">
        <v>785</v>
      </c>
      <c r="C125" s="832">
        <v>0</v>
      </c>
      <c r="E125" s="832">
        <v>0</v>
      </c>
      <c r="F125" s="1649"/>
      <c r="G125" s="838">
        <v>5253981.1399999997</v>
      </c>
    </row>
    <row r="126" spans="1:11">
      <c r="A126" s="1630"/>
      <c r="B126" s="843" t="s">
        <v>786</v>
      </c>
      <c r="C126" s="832">
        <v>0</v>
      </c>
      <c r="E126" s="832">
        <v>0</v>
      </c>
      <c r="F126" s="1649"/>
    </row>
    <row r="127" spans="1:11">
      <c r="A127" s="1630"/>
      <c r="B127" s="843" t="s">
        <v>1057</v>
      </c>
      <c r="C127" s="832">
        <v>55230.52</v>
      </c>
      <c r="E127" s="832">
        <f>71165.49</f>
        <v>71165.490000000005</v>
      </c>
      <c r="F127" s="1649"/>
    </row>
    <row r="128" spans="1:11">
      <c r="A128" s="1630"/>
      <c r="B128" s="843" t="s">
        <v>1058</v>
      </c>
      <c r="C128" s="833">
        <v>0</v>
      </c>
      <c r="E128" s="833">
        <v>0</v>
      </c>
      <c r="F128" s="1649"/>
    </row>
    <row r="129" spans="1:8">
      <c r="A129" s="1630"/>
      <c r="B129" s="792" t="s">
        <v>2505</v>
      </c>
      <c r="C129" s="830">
        <f>SUM(C123:C128)</f>
        <v>55230.52</v>
      </c>
      <c r="E129" s="830">
        <f>SUM(E123:E128)</f>
        <v>71165.490000000005</v>
      </c>
      <c r="F129" s="1649"/>
    </row>
    <row r="130" spans="1:8">
      <c r="A130" s="1630"/>
      <c r="B130" s="786"/>
      <c r="F130" s="1649"/>
    </row>
    <row r="131" spans="1:8">
      <c r="A131" s="1630"/>
      <c r="B131" s="786"/>
      <c r="F131" s="1649"/>
    </row>
    <row r="132" spans="1:8">
      <c r="A132" s="1630"/>
      <c r="B132" s="786"/>
      <c r="C132" s="816" t="s">
        <v>3484</v>
      </c>
      <c r="D132" s="848"/>
      <c r="E132" s="816" t="s">
        <v>2651</v>
      </c>
      <c r="F132" s="1649"/>
    </row>
    <row r="133" spans="1:8">
      <c r="A133" s="1630"/>
      <c r="B133" s="786"/>
      <c r="C133" s="848" t="s">
        <v>2422</v>
      </c>
      <c r="D133" s="848"/>
      <c r="E133" s="848" t="s">
        <v>2422</v>
      </c>
      <c r="F133" s="1649"/>
    </row>
    <row r="134" spans="1:8">
      <c r="A134" s="1630"/>
      <c r="B134" s="798" t="s">
        <v>1061</v>
      </c>
      <c r="F134" s="1649"/>
    </row>
    <row r="135" spans="1:8">
      <c r="A135" s="1630"/>
      <c r="B135" s="843" t="s">
        <v>783</v>
      </c>
      <c r="C135" s="831">
        <v>10</v>
      </c>
      <c r="E135" s="831">
        <v>13.76</v>
      </c>
      <c r="F135" s="1649"/>
    </row>
    <row r="136" spans="1:8">
      <c r="A136" s="1630"/>
      <c r="B136" s="843" t="s">
        <v>784</v>
      </c>
      <c r="C136" s="832">
        <v>10</v>
      </c>
      <c r="E136" s="832">
        <v>13.76</v>
      </c>
      <c r="F136" s="1649"/>
    </row>
    <row r="137" spans="1:8">
      <c r="A137" s="1630"/>
      <c r="B137" s="843" t="s">
        <v>785</v>
      </c>
      <c r="C137" s="832">
        <v>10</v>
      </c>
      <c r="E137" s="832">
        <v>13.76</v>
      </c>
      <c r="F137" s="1649"/>
    </row>
    <row r="138" spans="1:8">
      <c r="A138" s="1630"/>
      <c r="B138" s="843" t="s">
        <v>786</v>
      </c>
      <c r="C138" s="832">
        <v>10</v>
      </c>
      <c r="E138" s="832">
        <v>13.76</v>
      </c>
      <c r="F138" s="1649"/>
    </row>
    <row r="139" spans="1:8">
      <c r="A139" s="1630"/>
      <c r="B139" s="843" t="s">
        <v>1057</v>
      </c>
      <c r="C139" s="832">
        <f>10+1514.26+2946.21</f>
        <v>4470.47</v>
      </c>
      <c r="E139" s="832">
        <f>13.76+1390.46</f>
        <v>1404.22</v>
      </c>
      <c r="F139" s="1649"/>
    </row>
    <row r="140" spans="1:8">
      <c r="A140" s="1630"/>
      <c r="B140" s="843" t="s">
        <v>1058</v>
      </c>
      <c r="C140" s="833">
        <v>0</v>
      </c>
      <c r="E140" s="833">
        <v>0</v>
      </c>
      <c r="F140" s="1649"/>
    </row>
    <row r="141" spans="1:8">
      <c r="A141" s="1630"/>
      <c r="B141" s="792" t="s">
        <v>2505</v>
      </c>
      <c r="C141" s="830">
        <f>SUM(C135:C140)</f>
        <v>4510.47</v>
      </c>
      <c r="E141" s="830">
        <f>SUM(E135:E140)</f>
        <v>1459.26</v>
      </c>
      <c r="F141" s="1649"/>
    </row>
    <row r="142" spans="1:8">
      <c r="A142" s="1630"/>
      <c r="B142" s="786"/>
      <c r="F142" s="1649"/>
    </row>
    <row r="143" spans="1:8">
      <c r="A143" s="1630"/>
      <c r="B143" s="786"/>
      <c r="F143" s="1649"/>
      <c r="H143" s="838">
        <v>-1246321.2</v>
      </c>
    </row>
    <row r="144" spans="1:8">
      <c r="A144" s="1630"/>
      <c r="B144" s="798" t="s">
        <v>515</v>
      </c>
      <c r="F144" s="1649"/>
      <c r="H144" s="838">
        <f>14604917.09-14026611.76</f>
        <v>578305.33000000007</v>
      </c>
    </row>
    <row r="145" spans="1:8">
      <c r="A145" s="1630"/>
      <c r="B145" s="843" t="s">
        <v>783</v>
      </c>
      <c r="C145" s="831">
        <f>271360.6+29915.62+132.98</f>
        <v>301409.19999999995</v>
      </c>
      <c r="E145" s="831">
        <f>11482.69+3536.33+419.53+60231.77</f>
        <v>75670.319999999992</v>
      </c>
      <c r="F145" s="1649"/>
      <c r="H145" s="838">
        <f>SUM(H143:H144)</f>
        <v>-668015.86999999988</v>
      </c>
    </row>
    <row r="146" spans="1:8">
      <c r="A146" s="1630"/>
      <c r="B146" s="843" t="s">
        <v>784</v>
      </c>
      <c r="C146" s="832">
        <f>4318.34+6452.19+1276.8</f>
        <v>12047.329999999998</v>
      </c>
      <c r="E146" s="832">
        <f>1190.37+2644.84+1473.67</f>
        <v>5308.88</v>
      </c>
      <c r="F146" s="1649"/>
      <c r="H146" s="838">
        <v>56460.56</v>
      </c>
    </row>
    <row r="147" spans="1:8">
      <c r="A147" s="1630"/>
      <c r="B147" s="843" t="s">
        <v>785</v>
      </c>
      <c r="C147" s="832">
        <f>3062.44+241712.8+1276.22</f>
        <v>246051.46</v>
      </c>
      <c r="E147" s="832">
        <f>769.32+2346.49+1452.67</f>
        <v>4568.4799999999996</v>
      </c>
      <c r="F147" s="1649"/>
      <c r="H147" s="838">
        <f>SUM(H145:H146)</f>
        <v>-611555.30999999982</v>
      </c>
    </row>
    <row r="148" spans="1:8">
      <c r="A148" s="1630"/>
      <c r="B148" s="843" t="s">
        <v>786</v>
      </c>
      <c r="C148" s="832">
        <f>2429.07+767.64+1246.43</f>
        <v>4443.1400000000003</v>
      </c>
      <c r="E148" s="832">
        <f>22571.91+135391.54+1458.79</f>
        <v>159422.24000000002</v>
      </c>
      <c r="F148" s="1649"/>
      <c r="H148" s="838" t="s">
        <v>45</v>
      </c>
    </row>
    <row r="149" spans="1:8">
      <c r="A149" s="1630"/>
      <c r="B149" s="843" t="s">
        <v>476</v>
      </c>
      <c r="C149" s="832">
        <f>834.59+780.57+1215670.03+276096.87+1250.25+197865+2946.21</f>
        <v>1695443.52</v>
      </c>
      <c r="E149" s="832">
        <f>16319.25+1156.4+1462.15+1609349.06+332783.7+92.89+212809.4</f>
        <v>2173972.85</v>
      </c>
      <c r="F149" s="1649"/>
    </row>
    <row r="150" spans="1:8">
      <c r="A150" s="1630"/>
      <c r="B150" s="843" t="s">
        <v>1058</v>
      </c>
      <c r="C150" s="833">
        <v>0</v>
      </c>
      <c r="E150" s="833">
        <v>0</v>
      </c>
      <c r="F150" s="1649"/>
    </row>
    <row r="151" spans="1:8">
      <c r="A151" s="1630"/>
      <c r="B151" s="792" t="s">
        <v>2505</v>
      </c>
      <c r="C151" s="830">
        <f>SUM(C145:C150)</f>
        <v>2259394.65</v>
      </c>
      <c r="E151" s="830">
        <f>SUM(E145:E150)</f>
        <v>2418942.77</v>
      </c>
      <c r="F151" s="1649"/>
    </row>
    <row r="152" spans="1:8" ht="13.5" thickBot="1">
      <c r="A152" s="1630"/>
      <c r="B152" s="792" t="s">
        <v>477</v>
      </c>
      <c r="C152" s="844">
        <f>C151+C100+C91+C82+C109+C119+C129+C141</f>
        <v>14607863.300000001</v>
      </c>
      <c r="E152" s="844">
        <f>E151+E100+E91+E82+E109+E119+E129+E141</f>
        <v>12579830.57</v>
      </c>
      <c r="F152" s="1649"/>
    </row>
    <row r="153" spans="1:8" ht="13.5" thickTop="1">
      <c r="A153" s="1630"/>
      <c r="B153" s="792"/>
      <c r="F153" s="1649"/>
    </row>
    <row r="154" spans="1:8">
      <c r="A154" s="1630"/>
      <c r="B154" s="798" t="s">
        <v>3960</v>
      </c>
      <c r="F154" s="1649"/>
    </row>
    <row r="155" spans="1:8">
      <c r="A155" s="1630"/>
      <c r="B155" s="843" t="s">
        <v>783</v>
      </c>
      <c r="C155" s="831">
        <f t="shared" ref="C155:E160" si="0">C76+C85+C94+C103+C113+C123+C135+C145</f>
        <v>526170.06999999995</v>
      </c>
      <c r="E155" s="831">
        <f t="shared" si="0"/>
        <v>255153.46999999997</v>
      </c>
      <c r="F155" s="1649"/>
    </row>
    <row r="156" spans="1:8">
      <c r="A156" s="1630"/>
      <c r="B156" s="843" t="s">
        <v>784</v>
      </c>
      <c r="C156" s="832">
        <f t="shared" si="0"/>
        <v>1023331.48</v>
      </c>
      <c r="E156" s="832">
        <f t="shared" si="0"/>
        <v>818662.94000000006</v>
      </c>
      <c r="F156" s="1649"/>
    </row>
    <row r="157" spans="1:8">
      <c r="A157" s="1630"/>
      <c r="B157" s="843" t="s">
        <v>785</v>
      </c>
      <c r="C157" s="832">
        <f t="shared" si="0"/>
        <v>958203.80999999994</v>
      </c>
      <c r="E157" s="832">
        <f t="shared" si="0"/>
        <v>585512.23</v>
      </c>
      <c r="F157" s="1649"/>
      <c r="G157" s="735" t="s">
        <v>45</v>
      </c>
    </row>
    <row r="158" spans="1:8">
      <c r="A158" s="1630"/>
      <c r="B158" s="843" t="s">
        <v>786</v>
      </c>
      <c r="C158" s="832">
        <f t="shared" si="0"/>
        <v>477438.37999999995</v>
      </c>
      <c r="E158" s="832">
        <f t="shared" si="0"/>
        <v>579385.75000000012</v>
      </c>
      <c r="F158" s="1649"/>
    </row>
    <row r="159" spans="1:8">
      <c r="A159" s="1630"/>
      <c r="B159" s="843" t="s">
        <v>476</v>
      </c>
      <c r="C159" s="832">
        <f t="shared" si="0"/>
        <v>11622719.559999999</v>
      </c>
      <c r="E159" s="832">
        <f t="shared" si="0"/>
        <v>10341116.180000002</v>
      </c>
      <c r="F159" s="1649"/>
    </row>
    <row r="160" spans="1:8">
      <c r="A160" s="1630"/>
      <c r="B160" s="843" t="s">
        <v>1058</v>
      </c>
      <c r="C160" s="833">
        <f t="shared" si="0"/>
        <v>0</v>
      </c>
      <c r="E160" s="833">
        <f t="shared" si="0"/>
        <v>0</v>
      </c>
      <c r="F160" s="1649"/>
    </row>
    <row r="161" spans="1:8">
      <c r="A161" s="1630"/>
      <c r="B161" s="792" t="s">
        <v>478</v>
      </c>
      <c r="C161" s="830">
        <f>SUM(C155:C160)</f>
        <v>14607863.299999999</v>
      </c>
      <c r="E161" s="830">
        <f>SUM(E155:E160)</f>
        <v>12579830.570000002</v>
      </c>
      <c r="F161" s="1649"/>
    </row>
    <row r="162" spans="1:8">
      <c r="A162" s="1630"/>
      <c r="B162" s="792"/>
      <c r="C162" s="830"/>
      <c r="E162" s="830"/>
      <c r="F162" s="1649"/>
    </row>
    <row r="163" spans="1:8">
      <c r="A163" s="1630"/>
      <c r="B163" s="798" t="s">
        <v>1044</v>
      </c>
      <c r="C163" s="819">
        <v>-1246321.2</v>
      </c>
      <c r="E163" s="819" t="s">
        <v>45</v>
      </c>
      <c r="F163" s="1649"/>
    </row>
    <row r="164" spans="1:8">
      <c r="A164" s="1630"/>
      <c r="B164" s="798" t="s">
        <v>1046</v>
      </c>
      <c r="C164" s="819">
        <v>0</v>
      </c>
      <c r="E164" s="819">
        <v>757.53</v>
      </c>
      <c r="F164" s="1649"/>
    </row>
    <row r="165" spans="1:8" ht="13.5" thickBot="1">
      <c r="A165" s="1653"/>
      <c r="B165" s="749"/>
      <c r="C165" s="856">
        <f>SUM(C161:C164)</f>
        <v>13361542.1</v>
      </c>
      <c r="D165" s="857"/>
      <c r="E165" s="856">
        <f>SUM(E161:E164)</f>
        <v>12580588.100000001</v>
      </c>
      <c r="F165" s="1654"/>
    </row>
    <row r="166" spans="1:8" ht="13.5" thickTop="1">
      <c r="A166" s="1537"/>
      <c r="B166" s="749"/>
      <c r="E166" s="749"/>
      <c r="F166" s="1649"/>
    </row>
    <row r="167" spans="1:8" ht="25.5">
      <c r="A167" s="1537"/>
      <c r="B167" s="858" t="s">
        <v>3833</v>
      </c>
      <c r="E167" s="749"/>
      <c r="F167" s="1649"/>
    </row>
    <row r="168" spans="1:8">
      <c r="A168" s="1537"/>
      <c r="B168" s="858"/>
      <c r="E168" s="749"/>
      <c r="F168" s="1649"/>
    </row>
    <row r="169" spans="1:8">
      <c r="A169" s="1537"/>
      <c r="B169" s="819"/>
      <c r="E169" s="749"/>
      <c r="F169" s="1649"/>
    </row>
    <row r="170" spans="1:8">
      <c r="A170" s="1840" t="s">
        <v>2636</v>
      </c>
      <c r="B170" s="1841"/>
      <c r="C170" s="1841"/>
      <c r="D170" s="1841"/>
      <c r="E170" s="1841"/>
      <c r="F170" s="1649"/>
    </row>
    <row r="171" spans="1:8">
      <c r="A171" s="1630"/>
      <c r="B171" s="786"/>
      <c r="F171" s="1649"/>
    </row>
    <row r="172" spans="1:8">
      <c r="A172" s="1630"/>
      <c r="B172" s="859" t="s">
        <v>1061</v>
      </c>
      <c r="C172" s="860">
        <f>520514.51+2946.21</f>
        <v>523460.72000000003</v>
      </c>
      <c r="D172" s="859"/>
      <c r="E172" s="860">
        <v>4444442.4400000004</v>
      </c>
      <c r="F172" s="1655"/>
      <c r="G172" s="861"/>
      <c r="H172" s="861"/>
    </row>
    <row r="173" spans="1:8">
      <c r="A173" s="1630"/>
      <c r="B173" s="859" t="s">
        <v>1580</v>
      </c>
      <c r="C173" s="862">
        <v>2991380.34</v>
      </c>
      <c r="D173" s="859"/>
      <c r="E173" s="862">
        <v>1853103.39</v>
      </c>
      <c r="F173" s="1655"/>
      <c r="G173" s="861"/>
      <c r="H173" s="861"/>
    </row>
    <row r="174" spans="1:8">
      <c r="A174" s="1630"/>
      <c r="B174" s="859" t="s">
        <v>2015</v>
      </c>
      <c r="C174" s="862">
        <v>2008345.18</v>
      </c>
      <c r="D174" s="859"/>
      <c r="E174" s="862">
        <v>1068666.02</v>
      </c>
      <c r="F174" s="1655"/>
      <c r="G174" s="861"/>
      <c r="H174" s="861"/>
    </row>
    <row r="175" spans="1:8">
      <c r="A175" s="1630"/>
      <c r="B175" s="859" t="s">
        <v>2018</v>
      </c>
      <c r="C175" s="862">
        <v>180449.56</v>
      </c>
      <c r="D175" s="859"/>
      <c r="E175" s="862">
        <v>0</v>
      </c>
      <c r="F175" s="1655"/>
      <c r="G175" s="861"/>
      <c r="H175" s="861"/>
    </row>
    <row r="176" spans="1:8">
      <c r="A176" s="1630"/>
      <c r="B176" s="859" t="s">
        <v>1581</v>
      </c>
      <c r="C176" s="862">
        <v>438476.79999999999</v>
      </c>
      <c r="D176" s="859"/>
      <c r="E176" s="862">
        <v>281858.48</v>
      </c>
      <c r="F176" s="1655"/>
      <c r="G176" s="861"/>
      <c r="H176" s="861"/>
    </row>
    <row r="177" spans="1:8">
      <c r="A177" s="1630"/>
      <c r="B177" s="859" t="s">
        <v>2085</v>
      </c>
      <c r="C177" s="862">
        <v>0</v>
      </c>
      <c r="D177" s="859"/>
      <c r="E177" s="862">
        <v>306.94</v>
      </c>
      <c r="F177" s="1655"/>
      <c r="G177" s="861"/>
      <c r="H177" s="861"/>
    </row>
    <row r="178" spans="1:8">
      <c r="A178" s="1630"/>
      <c r="B178" s="859" t="s">
        <v>2249</v>
      </c>
      <c r="C178" s="862">
        <f>16366378.51+899083.37</f>
        <v>17265461.879999999</v>
      </c>
      <c r="D178" s="859"/>
      <c r="E178" s="862">
        <v>15129231.720000001</v>
      </c>
      <c r="F178" s="1655"/>
      <c r="G178" s="861"/>
      <c r="H178" s="861"/>
    </row>
    <row r="179" spans="1:8">
      <c r="A179" s="1630"/>
      <c r="B179" s="859" t="s">
        <v>2637</v>
      </c>
      <c r="C179" s="862">
        <v>123338.6</v>
      </c>
      <c r="D179" s="859"/>
      <c r="E179" s="862">
        <f>16912.14+52732.4</f>
        <v>69644.540000000008</v>
      </c>
      <c r="F179" s="1655"/>
      <c r="G179" s="861"/>
      <c r="H179" s="861"/>
    </row>
    <row r="180" spans="1:8">
      <c r="A180" s="1630"/>
      <c r="B180" s="859" t="s">
        <v>2019</v>
      </c>
      <c r="C180" s="862">
        <v>301520.84999999998</v>
      </c>
      <c r="D180" s="859"/>
      <c r="E180" s="862">
        <v>870.9</v>
      </c>
      <c r="F180" s="1655"/>
      <c r="G180" s="861"/>
      <c r="H180" s="861"/>
    </row>
    <row r="181" spans="1:8">
      <c r="A181" s="1630"/>
      <c r="B181" s="859" t="s">
        <v>188</v>
      </c>
      <c r="C181" s="862">
        <v>33611.06</v>
      </c>
      <c r="D181" s="859"/>
      <c r="E181" s="862"/>
      <c r="F181" s="1655"/>
      <c r="G181" s="861"/>
      <c r="H181" s="861"/>
    </row>
    <row r="182" spans="1:8">
      <c r="A182" s="1630"/>
      <c r="B182" s="859" t="s">
        <v>2638</v>
      </c>
      <c r="C182" s="863">
        <f>387899.04-38772.5</f>
        <v>349126.54</v>
      </c>
      <c r="D182" s="859"/>
      <c r="E182" s="863">
        <v>55576.639999999999</v>
      </c>
      <c r="F182" s="1655"/>
      <c r="G182" s="861"/>
      <c r="H182" s="861"/>
    </row>
    <row r="183" spans="1:8" ht="13.5" thickBot="1">
      <c r="A183" s="1630"/>
      <c r="B183" s="864" t="s">
        <v>1740</v>
      </c>
      <c r="C183" s="865">
        <f>SUM(C172:C182)</f>
        <v>24215171.529999997</v>
      </c>
      <c r="D183" s="859"/>
      <c r="E183" s="865">
        <f>SUM(E172:E182)</f>
        <v>22903701.07</v>
      </c>
      <c r="F183" s="1655"/>
      <c r="G183" s="861"/>
      <c r="H183" s="861"/>
    </row>
    <row r="184" spans="1:8" ht="13.5" thickTop="1">
      <c r="A184" s="1630"/>
      <c r="B184" s="786"/>
      <c r="F184" s="1649"/>
    </row>
    <row r="185" spans="1:8">
      <c r="A185" s="1630"/>
      <c r="B185" s="798" t="s">
        <v>3593</v>
      </c>
      <c r="E185" s="819">
        <v>-1579157.51</v>
      </c>
      <c r="F185" s="1649"/>
    </row>
    <row r="186" spans="1:8">
      <c r="A186" s="1630"/>
      <c r="B186" s="798" t="s">
        <v>3590</v>
      </c>
      <c r="C186" s="819">
        <v>87275.07</v>
      </c>
      <c r="F186" s="1649"/>
    </row>
    <row r="187" spans="1:8">
      <c r="A187" s="1630"/>
      <c r="B187" s="798" t="s">
        <v>2980</v>
      </c>
      <c r="C187" s="819">
        <v>-10940904.5</v>
      </c>
      <c r="E187" s="819">
        <v>-8743955.4600000009</v>
      </c>
      <c r="F187" s="1649"/>
    </row>
    <row r="188" spans="1:8" ht="13.5" thickBot="1">
      <c r="A188" s="1653"/>
      <c r="B188" s="749"/>
      <c r="C188" s="856">
        <f>SUM(C183:C187)</f>
        <v>13361542.099999998</v>
      </c>
      <c r="D188" s="857"/>
      <c r="E188" s="856">
        <f>SUM(E183:E187)</f>
        <v>12580588.099999998</v>
      </c>
      <c r="F188" s="1654"/>
    </row>
    <row r="189" spans="1:8" ht="14.25" thickTop="1" thickBot="1">
      <c r="A189" s="1656"/>
      <c r="B189" s="1657"/>
      <c r="C189" s="1658" t="s">
        <v>45</v>
      </c>
      <c r="D189" s="1658"/>
      <c r="E189" s="1658"/>
      <c r="F189" s="1659"/>
    </row>
    <row r="190" spans="1:8" ht="13.5" thickTop="1">
      <c r="C190" s="819" t="s">
        <v>45</v>
      </c>
    </row>
  </sheetData>
  <mergeCells count="3">
    <mergeCell ref="A2:F2"/>
    <mergeCell ref="A3:F3"/>
    <mergeCell ref="A170:E170"/>
  </mergeCells>
  <phoneticPr fontId="0" type="noConversion"/>
  <printOptions horizontalCentered="1"/>
  <pageMargins left="0.6692913385826772" right="0.39370078740157483" top="0.98425196850393704" bottom="0.98425196850393704" header="0.51181102362204722" footer="0.51181102362204722"/>
  <pageSetup scale="72" fitToHeight="3" orientation="portrait" r:id="rId1"/>
  <headerFooter>
    <oddHeader>&amp;C FINANCIAL STATEMENTS: MUSINA LOCAL MUNICIPALITY</oddHeader>
    <oddFooter>&amp;RPage &amp;P</oddFooter>
  </headerFooter>
  <rowBreaks count="2" manualBreakCount="2">
    <brk id="71" max="5" man="1"/>
    <brk id="130" max="5" man="1"/>
  </rowBreaks>
  <colBreaks count="1" manualBreakCount="1">
    <brk id="6" max="188" man="1"/>
  </colBreaks>
</worksheet>
</file>

<file path=xl/worksheets/sheet16.xml><?xml version="1.0" encoding="utf-8"?>
<worksheet xmlns="http://schemas.openxmlformats.org/spreadsheetml/2006/main" xmlns:r="http://schemas.openxmlformats.org/officeDocument/2006/relationships">
  <sheetPr>
    <pageSetUpPr fitToPage="1"/>
  </sheetPr>
  <dimension ref="A1:I125"/>
  <sheetViews>
    <sheetView tabSelected="1" workbookViewId="0">
      <selection activeCell="B43" sqref="B43"/>
    </sheetView>
  </sheetViews>
  <sheetFormatPr defaultRowHeight="15"/>
  <cols>
    <col min="2" max="2" width="38.85546875" bestFit="1" customWidth="1"/>
    <col min="3" max="3" width="2.140625" customWidth="1"/>
    <col min="4" max="4" width="19.140625" customWidth="1"/>
    <col min="5" max="5" width="3" customWidth="1"/>
    <col min="6" max="6" width="19" customWidth="1"/>
    <col min="7" max="7" width="2.85546875" customWidth="1"/>
    <col min="8" max="8" width="19.140625" hidden="1" customWidth="1"/>
  </cols>
  <sheetData>
    <row r="1" spans="1:9" ht="15.75" thickTop="1">
      <c r="A1" s="1842" t="s">
        <v>2486</v>
      </c>
      <c r="B1" s="1843"/>
      <c r="C1" s="1843"/>
      <c r="D1" s="1843"/>
      <c r="E1" s="1843"/>
      <c r="F1" s="1843"/>
      <c r="G1" s="1844"/>
    </row>
    <row r="2" spans="1:9">
      <c r="A2" s="1845" t="s">
        <v>3498</v>
      </c>
      <c r="B2" s="1846"/>
      <c r="C2" s="1846"/>
      <c r="D2" s="1846"/>
      <c r="E2" s="1846"/>
      <c r="F2" s="1846"/>
      <c r="G2" s="1847"/>
    </row>
    <row r="3" spans="1:9">
      <c r="A3" s="1661"/>
      <c r="B3" s="326"/>
      <c r="C3" s="326"/>
      <c r="D3" s="365"/>
      <c r="E3" s="365"/>
      <c r="F3" s="365"/>
      <c r="G3" s="1601"/>
    </row>
    <row r="4" spans="1:9">
      <c r="A4" s="1661"/>
      <c r="B4" s="326"/>
      <c r="C4" s="326"/>
      <c r="D4" s="365"/>
      <c r="E4" s="365"/>
      <c r="F4" s="365"/>
      <c r="G4" s="1601"/>
    </row>
    <row r="5" spans="1:9">
      <c r="A5" s="1662" t="s">
        <v>3823</v>
      </c>
      <c r="B5" s="373" t="s">
        <v>3820</v>
      </c>
      <c r="C5" s="373"/>
      <c r="D5" s="365"/>
      <c r="E5" s="365"/>
      <c r="F5" s="365"/>
      <c r="G5" s="1601"/>
    </row>
    <row r="6" spans="1:9">
      <c r="A6" s="1661"/>
      <c r="B6" s="373" t="s">
        <v>3821</v>
      </c>
      <c r="C6" s="373"/>
      <c r="D6" s="327" t="s">
        <v>3484</v>
      </c>
      <c r="E6" s="326"/>
      <c r="F6" s="327" t="s">
        <v>2651</v>
      </c>
      <c r="G6" s="1605"/>
      <c r="H6" s="1430" t="s">
        <v>1634</v>
      </c>
      <c r="I6" s="606"/>
    </row>
    <row r="7" spans="1:9">
      <c r="A7" s="1661"/>
      <c r="B7" s="373"/>
      <c r="C7" s="373"/>
      <c r="D7" s="365"/>
      <c r="E7" s="365"/>
      <c r="F7" s="365"/>
      <c r="G7" s="1601"/>
    </row>
    <row r="8" spans="1:9">
      <c r="A8" s="1661"/>
      <c r="B8" s="373" t="s">
        <v>3831</v>
      </c>
      <c r="C8" s="373"/>
      <c r="D8" s="830">
        <f>SUM(D10:D15)</f>
        <v>89634729.769999996</v>
      </c>
      <c r="E8" s="365"/>
      <c r="F8" s="368">
        <f>SUM(F10:F15)</f>
        <v>70082853.560000002</v>
      </c>
      <c r="G8" s="1601"/>
      <c r="H8" s="368">
        <f>SUM(H10:H15)</f>
        <v>49522496.240000002</v>
      </c>
    </row>
    <row r="9" spans="1:9">
      <c r="A9" s="1661"/>
      <c r="B9" s="174"/>
      <c r="C9" s="174"/>
      <c r="D9" s="819"/>
      <c r="E9" s="365"/>
      <c r="F9" s="365"/>
      <c r="G9" s="1601"/>
      <c r="H9" s="609"/>
    </row>
    <row r="10" spans="1:9">
      <c r="A10" s="1661"/>
      <c r="B10" s="605" t="s">
        <v>3825</v>
      </c>
      <c r="C10" s="605"/>
      <c r="D10" s="831">
        <f>'Statement of Financial Performa'!F10</f>
        <v>9457596</v>
      </c>
      <c r="E10" s="365"/>
      <c r="F10" s="612">
        <f>'Statement of Financial Performa'!H10</f>
        <v>8713652.1300000008</v>
      </c>
      <c r="G10" s="1601"/>
      <c r="H10" s="1431">
        <f>'Statement of Financial Performa'!J10</f>
        <v>6838330.1700000009</v>
      </c>
    </row>
    <row r="11" spans="1:9">
      <c r="A11" s="1661"/>
      <c r="B11" s="605" t="s">
        <v>1114</v>
      </c>
      <c r="C11" s="605"/>
      <c r="D11" s="832">
        <f>'Statement of Financial Performa'!F12</f>
        <v>40994741.689999998</v>
      </c>
      <c r="E11" s="365"/>
      <c r="F11" s="551">
        <f>'Statement of Financial Performa'!H12</f>
        <v>29200709.390000001</v>
      </c>
      <c r="G11" s="1601"/>
      <c r="H11" s="1432">
        <f>'Statement of Financial Performa'!J12</f>
        <v>20757570.349999998</v>
      </c>
    </row>
    <row r="12" spans="1:9">
      <c r="A12" s="1661"/>
      <c r="B12" s="605" t="s">
        <v>2517</v>
      </c>
      <c r="C12" s="605"/>
      <c r="D12" s="832">
        <f>'Statement of Financial Performa'!F14</f>
        <v>5016917.6399999997</v>
      </c>
      <c r="E12" s="365"/>
      <c r="F12" s="551">
        <f>'Statement of Financial Performa'!H14</f>
        <v>4232136.21</v>
      </c>
      <c r="G12" s="1601"/>
      <c r="H12" s="1432">
        <f>'Statement of Financial Performa'!J14</f>
        <v>3910829.34</v>
      </c>
    </row>
    <row r="13" spans="1:9">
      <c r="A13" s="1661"/>
      <c r="B13" s="605" t="s">
        <v>3826</v>
      </c>
      <c r="C13" s="605"/>
      <c r="D13" s="832">
        <f>'Statement of Financial Performa'!F19</f>
        <v>2343576.65</v>
      </c>
      <c r="E13" s="365"/>
      <c r="F13" s="551">
        <f>'Statement of Financial Performa'!H19</f>
        <v>2281141.0499999998</v>
      </c>
      <c r="G13" s="1601"/>
      <c r="H13" s="1432">
        <f>'Statement of Financial Performa'!J19</f>
        <v>2200014.21</v>
      </c>
    </row>
    <row r="14" spans="1:9">
      <c r="A14" s="1661"/>
      <c r="B14" s="605" t="s">
        <v>1121</v>
      </c>
      <c r="C14" s="605"/>
      <c r="D14" s="832">
        <f>'Statement of Financial Performa'!F18</f>
        <v>444496</v>
      </c>
      <c r="E14" s="365"/>
      <c r="F14" s="551">
        <f>'Statement of Financial Performa'!H18</f>
        <v>445740</v>
      </c>
      <c r="G14" s="1601"/>
      <c r="H14" s="1432">
        <f>'Statement of Financial Performa'!J18</f>
        <v>828950</v>
      </c>
    </row>
    <row r="15" spans="1:9">
      <c r="A15" s="1661"/>
      <c r="B15" s="605" t="s">
        <v>3827</v>
      </c>
      <c r="C15" s="605"/>
      <c r="D15" s="833">
        <f>'Statement of Financial Performa'!F21+'Statement of Financial Performa'!F22+'Statement of Financial Performa'!F23</f>
        <v>31377401.789999999</v>
      </c>
      <c r="E15" s="365"/>
      <c r="F15" s="613">
        <f>'Statement of Financial Performa'!H21+'Statement of Financial Performa'!H22+'Statement of Financial Performa'!H23</f>
        <v>25209474.779999997</v>
      </c>
      <c r="G15" s="1601"/>
      <c r="H15" s="1433">
        <f>'Statement of Financial Performa'!J22+'Statement of Financial Performa'!J23</f>
        <v>14986802.17</v>
      </c>
    </row>
    <row r="16" spans="1:9">
      <c r="A16" s="1661"/>
      <c r="B16" s="326"/>
      <c r="C16" s="326"/>
      <c r="D16" s="819"/>
      <c r="E16" s="365"/>
      <c r="F16" s="365"/>
      <c r="G16" s="1601"/>
      <c r="H16" s="609"/>
    </row>
    <row r="17" spans="1:8">
      <c r="A17" s="1661" t="s">
        <v>3832</v>
      </c>
      <c r="B17" s="373" t="s">
        <v>3820</v>
      </c>
      <c r="C17" s="373"/>
      <c r="D17" s="819"/>
      <c r="E17" s="365"/>
      <c r="F17" s="365"/>
      <c r="G17" s="1601"/>
    </row>
    <row r="18" spans="1:8">
      <c r="A18" s="1662"/>
      <c r="B18" s="373" t="s">
        <v>3824</v>
      </c>
      <c r="C18" s="373"/>
      <c r="D18" s="819"/>
      <c r="E18" s="365"/>
      <c r="F18" s="365"/>
      <c r="G18" s="1601"/>
    </row>
    <row r="19" spans="1:8">
      <c r="A19" s="1604"/>
      <c r="B19" s="174"/>
      <c r="C19" s="174"/>
      <c r="D19" s="834"/>
      <c r="E19" s="366"/>
      <c r="F19" s="366"/>
      <c r="G19" s="1663"/>
    </row>
    <row r="20" spans="1:8">
      <c r="A20" s="1604"/>
      <c r="B20" s="174"/>
      <c r="C20" s="174"/>
      <c r="D20" s="789" t="s">
        <v>3484</v>
      </c>
      <c r="E20" s="326"/>
      <c r="F20" s="327" t="s">
        <v>2651</v>
      </c>
      <c r="G20" s="1605"/>
      <c r="H20" s="1430" t="s">
        <v>1634</v>
      </c>
    </row>
    <row r="21" spans="1:8">
      <c r="A21" s="1661"/>
      <c r="B21" s="210"/>
      <c r="C21" s="210"/>
      <c r="D21" s="819"/>
      <c r="E21" s="365"/>
      <c r="F21" s="365"/>
      <c r="G21" s="1601"/>
    </row>
    <row r="22" spans="1:8">
      <c r="A22" s="1661"/>
      <c r="B22" s="373" t="s">
        <v>3831</v>
      </c>
      <c r="C22" s="367"/>
      <c r="D22" s="830">
        <f>SUM(D24:D38)</f>
        <v>3676143.5100000012</v>
      </c>
      <c r="E22" s="365"/>
      <c r="F22" s="368">
        <f>SUM(F24:F38)</f>
        <v>95953831.719999999</v>
      </c>
      <c r="G22" s="1601"/>
      <c r="H22" s="368">
        <f>SUM(H24:H38)</f>
        <v>23769839.330000002</v>
      </c>
    </row>
    <row r="23" spans="1:8">
      <c r="A23" s="1661"/>
      <c r="B23" s="367"/>
      <c r="C23" s="367"/>
      <c r="D23" s="830"/>
      <c r="E23" s="365"/>
      <c r="F23" s="365"/>
      <c r="G23" s="1601"/>
    </row>
    <row r="24" spans="1:8">
      <c r="A24" s="1661"/>
      <c r="B24" s="481" t="s">
        <v>3346</v>
      </c>
      <c r="C24" s="481"/>
      <c r="D24" s="831">
        <f>'Statement of Financial Performa'!F13</f>
        <v>754842.32000000007</v>
      </c>
      <c r="E24" s="365"/>
      <c r="F24" s="612">
        <f>'Statement of Financial Performa'!H13</f>
        <v>231262.92</v>
      </c>
      <c r="G24" s="1601"/>
      <c r="H24" s="1431">
        <f>'Statement of Financial Performa'!J13</f>
        <v>0</v>
      </c>
    </row>
    <row r="25" spans="1:8">
      <c r="A25" s="1661"/>
      <c r="B25" s="479" t="s">
        <v>3369</v>
      </c>
      <c r="C25" s="610"/>
      <c r="D25" s="832">
        <f>'Statement of Financial Performa'!F25</f>
        <v>783000</v>
      </c>
      <c r="E25" s="365"/>
      <c r="F25" s="551">
        <f>'Statement of Financial Performa'!H25</f>
        <v>92998490</v>
      </c>
      <c r="G25" s="1601"/>
      <c r="H25" s="1432">
        <f>'Statement of Financial Performa'!J25</f>
        <v>0</v>
      </c>
    </row>
    <row r="26" spans="1:8">
      <c r="A26" s="1661"/>
      <c r="B26" s="610" t="s">
        <v>3828</v>
      </c>
      <c r="C26" s="610"/>
      <c r="D26" s="832">
        <f>'Statement of Financial Performa'!F15</f>
        <v>226442.71</v>
      </c>
      <c r="E26" s="365"/>
      <c r="F26" s="551">
        <f>'Statement of Financial Performa'!H15</f>
        <v>203311.54</v>
      </c>
      <c r="G26" s="1601"/>
      <c r="H26" s="1432">
        <f>'Statement of Financial Performa'!J15</f>
        <v>191640.90000000002</v>
      </c>
    </row>
    <row r="27" spans="1:8">
      <c r="A27" s="1661"/>
      <c r="B27" s="481" t="s">
        <v>3829</v>
      </c>
      <c r="C27" s="481"/>
      <c r="D27" s="832">
        <f>'Statement of Financial Performa'!F29</f>
        <v>67228</v>
      </c>
      <c r="E27" s="365"/>
      <c r="F27" s="551">
        <f>'Statement of Financial Performa'!H29</f>
        <v>259851.12</v>
      </c>
      <c r="G27" s="1601"/>
      <c r="H27" s="1432">
        <f>'Statement of Financial Performa'!J29</f>
        <v>549044.5</v>
      </c>
    </row>
    <row r="28" spans="1:8">
      <c r="A28" s="1661"/>
      <c r="B28" s="443" t="s">
        <v>2316</v>
      </c>
      <c r="C28" s="443"/>
      <c r="D28" s="832">
        <f>'Notes 18 - 35'!D146</f>
        <v>112244.03</v>
      </c>
      <c r="E28" s="365"/>
      <c r="F28" s="551">
        <f>'Notes 18 - 35'!F146</f>
        <v>106135.19</v>
      </c>
      <c r="G28" s="1601"/>
      <c r="H28" s="1432">
        <f>'Notes 18 - 35'!J146</f>
        <v>92810.73000000001</v>
      </c>
    </row>
    <row r="29" spans="1:8">
      <c r="A29" s="1661"/>
      <c r="B29" s="443" t="s">
        <v>3830</v>
      </c>
      <c r="C29" s="443"/>
      <c r="D29" s="832">
        <f>'Statement of Financial Performa'!F30</f>
        <v>799677.8</v>
      </c>
      <c r="E29" s="365"/>
      <c r="F29" s="551">
        <f>'Statement of Financial Performa'!H30</f>
        <v>1212566.0699999998</v>
      </c>
      <c r="G29" s="1601"/>
      <c r="H29" s="1432">
        <f>'Statement of Financial Performa'!J30</f>
        <v>1047510.51</v>
      </c>
    </row>
    <row r="30" spans="1:8">
      <c r="A30" s="1661"/>
      <c r="B30" s="443" t="s">
        <v>2317</v>
      </c>
      <c r="C30" s="443"/>
      <c r="D30" s="832"/>
      <c r="E30" s="365"/>
      <c r="F30" s="551"/>
      <c r="G30" s="1601"/>
      <c r="H30" s="1432">
        <f>'Notes 18 - 35'!J147</f>
        <v>56950.080000000002</v>
      </c>
    </row>
    <row r="31" spans="1:8">
      <c r="A31" s="1661"/>
      <c r="B31" s="443" t="s">
        <v>2428</v>
      </c>
      <c r="C31" s="443"/>
      <c r="D31" s="832">
        <f>'Notes 18 - 35'!D148</f>
        <v>792062.21</v>
      </c>
      <c r="E31" s="365"/>
      <c r="F31" s="551">
        <f>'Notes 18 - 35'!F148</f>
        <v>642677.78</v>
      </c>
      <c r="G31" s="1601"/>
      <c r="H31" s="1432">
        <f>'Notes 18 - 35'!J148</f>
        <v>21728153.940000001</v>
      </c>
    </row>
    <row r="32" spans="1:8">
      <c r="A32" s="1661"/>
      <c r="B32" s="443" t="s">
        <v>3510</v>
      </c>
      <c r="C32" s="443"/>
      <c r="D32" s="832">
        <f>'Notes 18 - 35'!D149</f>
        <v>13191.93</v>
      </c>
      <c r="E32" s="365"/>
      <c r="F32" s="551">
        <f>'Notes 18 - 35'!F149</f>
        <v>0</v>
      </c>
      <c r="G32" s="1601"/>
      <c r="H32" s="1432">
        <f>'Notes 18 - 35'!H149</f>
        <v>0</v>
      </c>
    </row>
    <row r="33" spans="1:8">
      <c r="A33" s="1661"/>
      <c r="B33" s="443" t="s">
        <v>3453</v>
      </c>
      <c r="C33" s="443"/>
      <c r="D33" s="832">
        <f>'Notes 18 - 35'!D150</f>
        <v>18127.2</v>
      </c>
      <c r="E33" s="365"/>
      <c r="F33" s="551">
        <f>'Notes 18 - 35'!F150</f>
        <v>0</v>
      </c>
      <c r="G33" s="1601"/>
      <c r="H33" s="1434"/>
    </row>
    <row r="34" spans="1:8">
      <c r="A34" s="1661"/>
      <c r="B34" s="443" t="s">
        <v>3511</v>
      </c>
      <c r="C34" s="443"/>
      <c r="D34" s="832">
        <f>'Notes 18 - 35'!D151</f>
        <v>2399.2199999999998</v>
      </c>
      <c r="E34" s="365"/>
      <c r="F34" s="551">
        <f>'Notes 18 - 35'!F151</f>
        <v>0</v>
      </c>
      <c r="G34" s="1601"/>
      <c r="H34" s="1432">
        <f>'Notes 18 - 35'!H151</f>
        <v>0</v>
      </c>
    </row>
    <row r="35" spans="1:8">
      <c r="A35" s="1661"/>
      <c r="B35" s="443" t="s">
        <v>3512</v>
      </c>
      <c r="C35" s="443"/>
      <c r="D35" s="832">
        <f>'Notes 18 - 35'!D152</f>
        <v>14819.44</v>
      </c>
      <c r="E35" s="365"/>
      <c r="F35" s="551">
        <f>'Notes 18 - 35'!F152</f>
        <v>0</v>
      </c>
      <c r="G35" s="1601"/>
      <c r="H35" s="1432">
        <f>'Notes 18 - 35'!H152</f>
        <v>0</v>
      </c>
    </row>
    <row r="36" spans="1:8">
      <c r="A36" s="1661"/>
      <c r="B36" s="443" t="s">
        <v>2732</v>
      </c>
      <c r="C36" s="443"/>
      <c r="D36" s="832"/>
      <c r="E36" s="365"/>
      <c r="F36" s="551">
        <f>'Notes 18 - 35'!F153</f>
        <v>210885.9</v>
      </c>
      <c r="G36" s="1601"/>
      <c r="H36" s="1432"/>
    </row>
    <row r="37" spans="1:8">
      <c r="A37" s="1661"/>
      <c r="B37" s="443" t="s">
        <v>1038</v>
      </c>
      <c r="C37" s="443"/>
      <c r="D37" s="832">
        <f>'Notes 18 - 35'!D154</f>
        <v>21038.45</v>
      </c>
      <c r="E37" s="365"/>
      <c r="F37" s="551">
        <f>'Notes 18 - 35'!F154</f>
        <v>17415.57</v>
      </c>
      <c r="G37" s="1601"/>
      <c r="H37" s="1432">
        <f>'Notes 18 - 35'!J154</f>
        <v>25302.05</v>
      </c>
    </row>
    <row r="38" spans="1:8">
      <c r="A38" s="1661"/>
      <c r="B38" s="443" t="s">
        <v>1039</v>
      </c>
      <c r="C38" s="443"/>
      <c r="D38" s="833">
        <f>'Notes 18 - 35'!D155</f>
        <v>71070.2</v>
      </c>
      <c r="E38" s="365"/>
      <c r="F38" s="613">
        <f>'Notes 18 - 35'!F155</f>
        <v>71235.63</v>
      </c>
      <c r="G38" s="1601"/>
      <c r="H38" s="1433">
        <f>'Notes 18 - 35'!J155</f>
        <v>78426.62</v>
      </c>
    </row>
    <row r="39" spans="1:8">
      <c r="A39" s="1661"/>
      <c r="B39" s="369"/>
      <c r="C39" s="369"/>
      <c r="D39" s="819"/>
      <c r="E39" s="365"/>
      <c r="F39" s="365"/>
      <c r="G39" s="1601"/>
    </row>
    <row r="40" spans="1:8">
      <c r="A40" s="1664"/>
      <c r="B40" s="609"/>
      <c r="C40" s="609"/>
      <c r="D40" s="835"/>
      <c r="E40" s="609"/>
      <c r="F40" s="609"/>
      <c r="G40" s="1665"/>
    </row>
    <row r="41" spans="1:8" ht="15.75" thickBot="1">
      <c r="A41" s="1664"/>
      <c r="B41" s="174" t="s">
        <v>3708</v>
      </c>
      <c r="C41" s="609"/>
      <c r="D41" s="836">
        <f>D22+D8</f>
        <v>93310873.280000001</v>
      </c>
      <c r="E41" s="609"/>
      <c r="F41" s="611">
        <f>F22+F8</f>
        <v>166036685.28</v>
      </c>
      <c r="G41" s="1665"/>
      <c r="H41" s="611">
        <f>H22+H8</f>
        <v>73292335.570000008</v>
      </c>
    </row>
    <row r="42" spans="1:8" ht="16.5" thickTop="1" thickBot="1">
      <c r="A42" s="1666"/>
      <c r="B42" s="1667"/>
      <c r="C42" s="1667"/>
      <c r="D42" s="1667"/>
      <c r="E42" s="1667"/>
      <c r="F42" s="1667"/>
      <c r="G42" s="1668"/>
    </row>
    <row r="43" spans="1:8" ht="15.75" thickTop="1"/>
    <row r="125" spans="7:7">
      <c r="G125">
        <v>5253981.1399999997</v>
      </c>
    </row>
  </sheetData>
  <mergeCells count="2">
    <mergeCell ref="A1:G1"/>
    <mergeCell ref="A2:G2"/>
  </mergeCells>
  <pageMargins left="0.70866141732283472" right="0.70866141732283472" top="0.74803149606299213" bottom="0.74803149606299213" header="0.31496062992125984" footer="0.31496062992125984"/>
  <pageSetup paperSize="9" scale="92" orientation="portrait" r:id="rId1"/>
  <headerFooter>
    <oddFooter>&amp;R&amp;P</oddFooter>
  </headerFooter>
</worksheet>
</file>

<file path=xl/worksheets/sheet17.xml><?xml version="1.0" encoding="utf-8"?>
<worksheet xmlns="http://schemas.openxmlformats.org/spreadsheetml/2006/main" xmlns:r="http://schemas.openxmlformats.org/officeDocument/2006/relationships">
  <sheetPr>
    <pageSetUpPr fitToPage="1"/>
  </sheetPr>
  <dimension ref="A1:N136"/>
  <sheetViews>
    <sheetView tabSelected="1" view="pageBreakPreview" zoomScaleSheetLayoutView="100" workbookViewId="0">
      <selection activeCell="B43" sqref="B43"/>
    </sheetView>
  </sheetViews>
  <sheetFormatPr defaultRowHeight="12.75"/>
  <cols>
    <col min="1" max="1" width="9.140625" style="1278" customWidth="1"/>
    <col min="2" max="2" width="45.140625" style="784" customWidth="1"/>
    <col min="3" max="3" width="3.140625" style="784" customWidth="1"/>
    <col min="4" max="4" width="18.140625" style="785" customWidth="1"/>
    <col min="5" max="5" width="2.28515625" style="784" customWidth="1"/>
    <col min="6" max="6" width="19.42578125" style="785" bestFit="1" customWidth="1"/>
    <col min="7" max="7" width="2.28515625" style="784" customWidth="1"/>
    <col min="8" max="9" width="2.28515625" style="784" hidden="1" customWidth="1"/>
    <col min="10" max="10" width="19.140625" style="785" hidden="1" customWidth="1"/>
    <col min="11" max="11" width="2.28515625" style="784" hidden="1" customWidth="1"/>
    <col min="12" max="12" width="13.28515625" style="784" hidden="1" customWidth="1"/>
    <col min="13" max="13" width="10.28515625" style="785" hidden="1" customWidth="1"/>
    <col min="14" max="14" width="14.5703125" style="785" hidden="1" customWidth="1"/>
    <col min="15" max="16384" width="9.140625" style="784"/>
  </cols>
  <sheetData>
    <row r="1" spans="1:14" ht="15.75" customHeight="1" thickTop="1">
      <c r="A1" s="1848" t="s">
        <v>2486</v>
      </c>
      <c r="B1" s="1849"/>
      <c r="C1" s="1849"/>
      <c r="D1" s="1849"/>
      <c r="E1" s="1849"/>
      <c r="F1" s="1849"/>
      <c r="G1" s="1850"/>
      <c r="H1" s="1346"/>
      <c r="I1" s="1346"/>
      <c r="J1" s="1346"/>
      <c r="K1" s="1347"/>
    </row>
    <row r="2" spans="1:14">
      <c r="A2" s="1837" t="s">
        <v>3498</v>
      </c>
      <c r="B2" s="1838"/>
      <c r="C2" s="1838"/>
      <c r="D2" s="1838"/>
      <c r="E2" s="1838"/>
      <c r="F2" s="1838"/>
      <c r="G2" s="1839"/>
      <c r="H2" s="1331"/>
      <c r="I2" s="1331"/>
      <c r="J2" s="1331"/>
      <c r="K2" s="1669"/>
    </row>
    <row r="3" spans="1:14">
      <c r="A3" s="1630"/>
      <c r="B3" s="786"/>
      <c r="C3" s="786"/>
      <c r="D3" s="787"/>
      <c r="E3" s="786"/>
      <c r="F3" s="787"/>
      <c r="G3" s="1578"/>
      <c r="H3" s="786"/>
      <c r="I3" s="786"/>
      <c r="J3" s="1325"/>
      <c r="K3" s="788"/>
    </row>
    <row r="4" spans="1:14">
      <c r="A4" s="1630"/>
      <c r="B4" s="786"/>
      <c r="C4" s="786"/>
      <c r="D4" s="787"/>
      <c r="E4" s="786"/>
      <c r="F4" s="787"/>
      <c r="G4" s="1578"/>
      <c r="H4" s="786"/>
      <c r="I4" s="786"/>
      <c r="J4" s="787"/>
      <c r="K4" s="788"/>
    </row>
    <row r="5" spans="1:14" s="1278" customFormat="1">
      <c r="A5" s="1630"/>
      <c r="B5" s="1325"/>
      <c r="C5" s="1325"/>
      <c r="D5" s="789" t="s">
        <v>3484</v>
      </c>
      <c r="E5" s="1325"/>
      <c r="F5" s="789" t="s">
        <v>2651</v>
      </c>
      <c r="G5" s="1505"/>
      <c r="H5" s="1325"/>
      <c r="I5" s="1325"/>
      <c r="J5" s="789" t="s">
        <v>1634</v>
      </c>
      <c r="K5" s="1349"/>
      <c r="M5" s="791"/>
      <c r="N5" s="791"/>
    </row>
    <row r="6" spans="1:14" s="1278" customFormat="1">
      <c r="A6" s="1630"/>
      <c r="B6" s="1325"/>
      <c r="C6" s="1325"/>
      <c r="D6" s="1317"/>
      <c r="E6" s="1325"/>
      <c r="F6" s="1317" t="s">
        <v>2422</v>
      </c>
      <c r="G6" s="1505"/>
      <c r="H6" s="1325"/>
      <c r="I6" s="1325"/>
      <c r="J6" s="1317" t="s">
        <v>2422</v>
      </c>
      <c r="K6" s="1349"/>
      <c r="M6" s="791"/>
      <c r="N6" s="791"/>
    </row>
    <row r="7" spans="1:14">
      <c r="A7" s="1630"/>
      <c r="B7" s="786"/>
      <c r="C7" s="786"/>
      <c r="D7" s="787"/>
      <c r="E7" s="786"/>
      <c r="F7" s="787"/>
      <c r="G7" s="1578"/>
      <c r="H7" s="786"/>
      <c r="I7" s="786"/>
      <c r="J7" s="787"/>
      <c r="K7" s="788"/>
    </row>
    <row r="8" spans="1:14" s="796" customFormat="1">
      <c r="A8" s="1631" t="s">
        <v>718</v>
      </c>
      <c r="B8" s="792" t="s">
        <v>2460</v>
      </c>
      <c r="C8" s="792"/>
      <c r="D8" s="793"/>
      <c r="E8" s="794"/>
      <c r="F8" s="795"/>
      <c r="G8" s="1632"/>
      <c r="H8" s="794"/>
      <c r="I8" s="794"/>
      <c r="J8" s="795"/>
      <c r="K8" s="1427"/>
      <c r="M8" s="797"/>
      <c r="N8" s="797"/>
    </row>
    <row r="9" spans="1:14">
      <c r="A9" s="1630"/>
      <c r="B9" s="798" t="s">
        <v>1103</v>
      </c>
      <c r="C9" s="798"/>
      <c r="D9" s="799">
        <f>'main TB'!O189</f>
        <v>1757.51</v>
      </c>
      <c r="E9" s="786"/>
      <c r="F9" s="800">
        <f>SUM('main TB'!L189)</f>
        <v>1757.51</v>
      </c>
      <c r="G9" s="1578"/>
      <c r="H9" s="786"/>
      <c r="I9" s="786"/>
      <c r="J9" s="800">
        <f>'main TB'!I189</f>
        <v>1757.51</v>
      </c>
      <c r="K9" s="788"/>
      <c r="L9" s="801" t="s">
        <v>3957</v>
      </c>
      <c r="N9" s="785">
        <f>D9-F9</f>
        <v>0</v>
      </c>
    </row>
    <row r="10" spans="1:14">
      <c r="A10" s="1630"/>
      <c r="B10" s="798" t="s">
        <v>3393</v>
      </c>
      <c r="C10" s="798"/>
      <c r="D10" s="802">
        <v>-566614</v>
      </c>
      <c r="E10" s="786"/>
      <c r="F10" s="802">
        <v>-624068</v>
      </c>
      <c r="G10" s="1578"/>
      <c r="H10" s="786"/>
      <c r="I10" s="786"/>
      <c r="J10" s="802"/>
      <c r="K10" s="788"/>
      <c r="L10" s="801"/>
      <c r="N10" s="785">
        <f t="shared" ref="N10:N20" si="0">D10-F10</f>
        <v>57454</v>
      </c>
    </row>
    <row r="11" spans="1:14">
      <c r="A11" s="1630"/>
      <c r="B11" s="798" t="s">
        <v>792</v>
      </c>
      <c r="C11" s="798"/>
      <c r="D11" s="802">
        <f>SUM('main TB'!O188)</f>
        <v>494511.46</v>
      </c>
      <c r="E11" s="786"/>
      <c r="F11" s="802">
        <f>SUM('main TB'!L188)</f>
        <v>551965.79</v>
      </c>
      <c r="G11" s="1578"/>
      <c r="H11" s="786"/>
      <c r="I11" s="786"/>
      <c r="J11" s="802">
        <f>'main TB'!I188</f>
        <v>511399.79000000004</v>
      </c>
      <c r="K11" s="788"/>
      <c r="L11" s="801">
        <v>0</v>
      </c>
      <c r="N11" s="785">
        <f t="shared" si="0"/>
        <v>-57454.330000000016</v>
      </c>
    </row>
    <row r="12" spans="1:14">
      <c r="A12" s="1630"/>
      <c r="B12" s="798" t="s">
        <v>2644</v>
      </c>
      <c r="C12" s="798"/>
      <c r="D12" s="802">
        <f>+'main TB'!O197</f>
        <v>1084447.8999999999</v>
      </c>
      <c r="E12" s="786"/>
      <c r="F12" s="802">
        <f>+'main TB'!L197</f>
        <v>709502.54</v>
      </c>
      <c r="G12" s="1578"/>
      <c r="H12" s="786"/>
      <c r="I12" s="786"/>
      <c r="J12" s="802">
        <f>+'main TB'!I197</f>
        <v>2313593.52</v>
      </c>
      <c r="K12" s="788"/>
      <c r="L12" s="801">
        <f>D12-F12</f>
        <v>374945.35999999987</v>
      </c>
      <c r="N12" s="785">
        <f t="shared" si="0"/>
        <v>374945.35999999987</v>
      </c>
    </row>
    <row r="13" spans="1:14">
      <c r="A13" s="1630"/>
      <c r="B13" s="798" t="s">
        <v>2319</v>
      </c>
      <c r="C13" s="798"/>
      <c r="D13" s="802">
        <f>SUM('main TB'!O194)</f>
        <v>79052.200000000012</v>
      </c>
      <c r="E13" s="786"/>
      <c r="F13" s="802">
        <f>SUM('main TB'!L194)</f>
        <v>77632.88</v>
      </c>
      <c r="G13" s="1578"/>
      <c r="H13" s="786"/>
      <c r="I13" s="786"/>
      <c r="J13" s="802">
        <f>'main TB'!I194</f>
        <v>12612.980000000003</v>
      </c>
      <c r="K13" s="788"/>
      <c r="L13" s="801">
        <f t="shared" ref="L13:L19" si="1">D13-F13</f>
        <v>1419.320000000007</v>
      </c>
      <c r="N13" s="785">
        <f t="shared" si="0"/>
        <v>1419.320000000007</v>
      </c>
    </row>
    <row r="14" spans="1:14" ht="15">
      <c r="A14" s="1630"/>
      <c r="B14" s="798" t="s">
        <v>2647</v>
      </c>
      <c r="C14" s="798"/>
      <c r="D14" s="802">
        <f>'main TB'!O202</f>
        <v>1961656.4499999997</v>
      </c>
      <c r="E14" s="786"/>
      <c r="F14" s="802">
        <f>'main TB'!L202</f>
        <v>1155483.42</v>
      </c>
      <c r="G14" s="1578"/>
      <c r="H14" s="786"/>
      <c r="I14" s="786"/>
      <c r="J14" s="802">
        <f>'main TB'!I202</f>
        <v>834954.6</v>
      </c>
      <c r="K14" s="788"/>
      <c r="L14" s="801">
        <f t="shared" si="1"/>
        <v>806173.0299999998</v>
      </c>
      <c r="M14" s="522"/>
      <c r="N14" s="785">
        <f t="shared" si="0"/>
        <v>806173.0299999998</v>
      </c>
    </row>
    <row r="15" spans="1:14">
      <c r="A15" s="1630"/>
      <c r="B15" s="798" t="s">
        <v>2320</v>
      </c>
      <c r="C15" s="798"/>
      <c r="D15" s="802">
        <f>SUM('main TB'!O198)</f>
        <v>9205542.7000000104</v>
      </c>
      <c r="E15" s="786"/>
      <c r="F15" s="802">
        <f>SUM('main TB'!L198)</f>
        <v>5253981.1399999969</v>
      </c>
      <c r="G15" s="1578"/>
      <c r="H15" s="786"/>
      <c r="I15" s="786"/>
      <c r="J15" s="802">
        <f>'main TB'!I198</f>
        <v>1530387.8199999966</v>
      </c>
      <c r="K15" s="788"/>
      <c r="L15" s="801">
        <v>0</v>
      </c>
      <c r="N15" s="785">
        <f t="shared" si="0"/>
        <v>3951561.5600000136</v>
      </c>
    </row>
    <row r="16" spans="1:14">
      <c r="A16" s="1630"/>
      <c r="B16" s="798" t="s">
        <v>3357</v>
      </c>
      <c r="C16" s="798"/>
      <c r="D16" s="802">
        <f>'main TB'!O205</f>
        <v>754842.32000000007</v>
      </c>
      <c r="E16" s="786"/>
      <c r="F16" s="802">
        <f>'main TB'!L205</f>
        <v>231262.92</v>
      </c>
      <c r="G16" s="1578"/>
      <c r="H16" s="786"/>
      <c r="I16" s="786"/>
      <c r="J16" s="802"/>
      <c r="K16" s="788"/>
      <c r="L16" s="801">
        <f t="shared" si="1"/>
        <v>523579.4</v>
      </c>
      <c r="N16" s="785">
        <f t="shared" si="0"/>
        <v>523579.4</v>
      </c>
    </row>
    <row r="17" spans="1:14">
      <c r="A17" s="1630"/>
      <c r="B17" s="798" t="s">
        <v>3944</v>
      </c>
      <c r="C17" s="798"/>
      <c r="D17" s="802">
        <v>1946801.4</v>
      </c>
      <c r="E17" s="786"/>
      <c r="F17" s="802"/>
      <c r="G17" s="1578"/>
      <c r="H17" s="786"/>
      <c r="I17" s="786"/>
      <c r="J17" s="802"/>
      <c r="K17" s="788"/>
      <c r="L17" s="801">
        <v>0</v>
      </c>
      <c r="N17" s="785">
        <f t="shared" si="0"/>
        <v>1946801.4</v>
      </c>
    </row>
    <row r="18" spans="1:14">
      <c r="A18" s="1630"/>
      <c r="B18" s="798" t="s">
        <v>3934</v>
      </c>
      <c r="C18" s="798"/>
      <c r="D18" s="802">
        <f>'main TB'!O209</f>
        <v>33074.370000000003</v>
      </c>
      <c r="E18" s="786"/>
      <c r="F18" s="802"/>
      <c r="G18" s="1578"/>
      <c r="H18" s="786"/>
      <c r="I18" s="786"/>
      <c r="J18" s="802"/>
      <c r="K18" s="788"/>
      <c r="L18" s="801">
        <f t="shared" si="1"/>
        <v>33074.370000000003</v>
      </c>
      <c r="N18" s="785">
        <f t="shared" si="0"/>
        <v>33074.370000000003</v>
      </c>
    </row>
    <row r="19" spans="1:14">
      <c r="A19" s="1630"/>
      <c r="B19" s="798" t="s">
        <v>3556</v>
      </c>
      <c r="C19" s="798"/>
      <c r="D19" s="802">
        <v>0</v>
      </c>
      <c r="E19" s="786"/>
      <c r="F19" s="802"/>
      <c r="G19" s="1578"/>
      <c r="H19" s="786"/>
      <c r="I19" s="786"/>
      <c r="J19" s="802"/>
      <c r="K19" s="788"/>
      <c r="L19" s="801">
        <f t="shared" si="1"/>
        <v>0</v>
      </c>
      <c r="N19" s="785">
        <f t="shared" si="0"/>
        <v>0</v>
      </c>
    </row>
    <row r="20" spans="1:14">
      <c r="A20" s="1630"/>
      <c r="B20" s="798" t="s">
        <v>515</v>
      </c>
      <c r="C20" s="798"/>
      <c r="D20" s="803">
        <f>SUM('main TB'!O195+'main TB'!O196+'main TB'!O199+'main TB'!O200+'main TB'!O201)+'main TB'!O204+'main TB'!O206+'main TB'!O207</f>
        <v>153277.01999999999</v>
      </c>
      <c r="E20" s="786"/>
      <c r="F20" s="803">
        <f>SUM('main TB'!L195+'main TB'!L196+'main TB'!L199+'main TB'!L200+'main TB'!L201)+'main TB'!L204</f>
        <v>141981.4</v>
      </c>
      <c r="G20" s="1578"/>
      <c r="H20" s="786"/>
      <c r="I20" s="786"/>
      <c r="J20" s="803">
        <f>'main TB'!I195+'main TB'!I196+'main TB'!I199+'main TB'!I200+'main TB'!I201</f>
        <v>135286.39999999999</v>
      </c>
      <c r="K20" s="788"/>
      <c r="L20" s="801">
        <v>46658.68</v>
      </c>
      <c r="N20" s="785">
        <f t="shared" si="0"/>
        <v>11295.619999999995</v>
      </c>
    </row>
    <row r="21" spans="1:14">
      <c r="A21" s="1630"/>
      <c r="B21" s="792" t="s">
        <v>479</v>
      </c>
      <c r="C21" s="792"/>
      <c r="D21" s="793">
        <f>SUM(D9:D20)</f>
        <v>15148349.330000009</v>
      </c>
      <c r="E21" s="786"/>
      <c r="F21" s="795">
        <f>SUM(F9:F20)</f>
        <v>7499499.5999999978</v>
      </c>
      <c r="G21" s="1578"/>
      <c r="H21" s="786"/>
      <c r="I21" s="786"/>
      <c r="J21" s="795">
        <f>SUM(J9:J20)</f>
        <v>5339992.6199999973</v>
      </c>
      <c r="K21" s="788"/>
      <c r="L21" s="801">
        <f>SUM(L11:L20)</f>
        <v>1785850.16</v>
      </c>
      <c r="N21" s="785">
        <f>SUM(N9:N20)</f>
        <v>7648849.7300000135</v>
      </c>
    </row>
    <row r="22" spans="1:14">
      <c r="A22" s="1630"/>
      <c r="B22" s="792" t="s">
        <v>2519</v>
      </c>
      <c r="C22" s="792"/>
      <c r="D22" s="793"/>
      <c r="E22" s="786"/>
      <c r="F22" s="795"/>
      <c r="G22" s="1578"/>
      <c r="H22" s="786"/>
      <c r="I22" s="786"/>
      <c r="J22" s="795"/>
      <c r="K22" s="788"/>
      <c r="N22" s="784"/>
    </row>
    <row r="23" spans="1:14">
      <c r="A23" s="1630"/>
      <c r="B23" s="786"/>
      <c r="C23" s="786"/>
      <c r="D23" s="787"/>
      <c r="E23" s="786"/>
      <c r="F23" s="787"/>
      <c r="G23" s="1578"/>
      <c r="H23" s="786"/>
      <c r="I23" s="786"/>
      <c r="J23" s="787"/>
      <c r="K23" s="788"/>
      <c r="N23" s="801"/>
    </row>
    <row r="24" spans="1:14" s="804" customFormat="1" ht="27.75" customHeight="1">
      <c r="A24" s="1653"/>
      <c r="B24" s="696" t="s">
        <v>3557</v>
      </c>
      <c r="C24" s="696"/>
      <c r="D24" s="697"/>
      <c r="E24" s="696"/>
      <c r="F24" s="696"/>
      <c r="G24" s="1670"/>
      <c r="H24" s="696"/>
      <c r="I24" s="696"/>
      <c r="J24" s="697"/>
      <c r="K24" s="1435"/>
      <c r="M24" s="805"/>
    </row>
    <row r="25" spans="1:14">
      <c r="A25" s="1634"/>
      <c r="B25" s="807"/>
      <c r="C25" s="807"/>
      <c r="D25" s="808"/>
      <c r="E25" s="807"/>
      <c r="F25" s="808"/>
      <c r="G25" s="1628"/>
      <c r="H25" s="807"/>
      <c r="I25" s="807"/>
      <c r="J25" s="808"/>
      <c r="K25" s="809"/>
    </row>
    <row r="26" spans="1:14" ht="15">
      <c r="A26" s="1635"/>
      <c r="B26" s="810"/>
      <c r="C26" s="810"/>
      <c r="D26" s="811"/>
      <c r="E26" s="812"/>
      <c r="F26" s="813"/>
      <c r="G26" s="1624"/>
      <c r="H26" s="812"/>
      <c r="I26" s="812"/>
      <c r="J26" s="814"/>
      <c r="K26" s="1425"/>
    </row>
    <row r="27" spans="1:14" ht="15">
      <c r="A27" s="1537"/>
      <c r="B27" s="815"/>
      <c r="C27" s="815"/>
      <c r="D27" s="789" t="s">
        <v>3484</v>
      </c>
      <c r="E27" s="786"/>
      <c r="F27" s="816" t="s">
        <v>2651</v>
      </c>
      <c r="G27" s="1578"/>
      <c r="H27" s="786"/>
      <c r="I27" s="786"/>
      <c r="J27" s="789" t="s">
        <v>1634</v>
      </c>
      <c r="K27" s="788"/>
    </row>
    <row r="28" spans="1:14" ht="15">
      <c r="A28" s="1631" t="s">
        <v>1745</v>
      </c>
      <c r="B28" s="815" t="s">
        <v>3925</v>
      </c>
      <c r="C28" s="815"/>
      <c r="D28" s="817"/>
      <c r="E28" s="786"/>
      <c r="F28" s="456"/>
      <c r="G28" s="1578"/>
      <c r="H28" s="786"/>
      <c r="I28" s="786"/>
      <c r="J28" s="818"/>
      <c r="K28" s="788"/>
    </row>
    <row r="29" spans="1:14" ht="15">
      <c r="A29" s="1630"/>
      <c r="B29" s="815"/>
      <c r="C29" s="815"/>
      <c r="D29" s="579"/>
      <c r="E29" s="786"/>
      <c r="F29" s="819"/>
      <c r="G29" s="1578"/>
      <c r="H29" s="786"/>
      <c r="I29" s="786"/>
      <c r="J29" s="579"/>
      <c r="K29" s="788"/>
    </row>
    <row r="30" spans="1:14" ht="15">
      <c r="A30" s="1537"/>
      <c r="B30" s="815" t="s">
        <v>480</v>
      </c>
      <c r="C30" s="815"/>
      <c r="D30" s="579"/>
      <c r="E30" s="786"/>
      <c r="F30" s="819"/>
      <c r="G30" s="1578"/>
      <c r="H30" s="786"/>
      <c r="I30" s="786"/>
      <c r="J30" s="579"/>
      <c r="K30" s="788"/>
    </row>
    <row r="31" spans="1:14" ht="15">
      <c r="A31" s="1630"/>
      <c r="B31" s="815" t="s">
        <v>462</v>
      </c>
      <c r="C31" s="815"/>
      <c r="D31" s="579"/>
      <c r="E31" s="786"/>
      <c r="F31" s="819"/>
      <c r="G31" s="1578"/>
      <c r="H31" s="786"/>
      <c r="I31" s="786"/>
      <c r="J31" s="579"/>
      <c r="K31" s="788"/>
    </row>
    <row r="32" spans="1:14" ht="15">
      <c r="A32" s="1630"/>
      <c r="B32" s="815" t="s">
        <v>463</v>
      </c>
      <c r="C32" s="815"/>
      <c r="D32" s="579"/>
      <c r="E32" s="786"/>
      <c r="F32" s="819"/>
      <c r="G32" s="1578"/>
      <c r="H32" s="786"/>
      <c r="I32" s="786"/>
      <c r="J32" s="579"/>
      <c r="K32" s="788"/>
    </row>
    <row r="33" spans="1:14" ht="15">
      <c r="A33" s="1630"/>
      <c r="B33" s="815" t="s">
        <v>464</v>
      </c>
      <c r="C33" s="815"/>
      <c r="D33" s="579"/>
      <c r="E33" s="786"/>
      <c r="F33" s="819"/>
      <c r="G33" s="1578"/>
      <c r="H33" s="786"/>
      <c r="I33" s="786"/>
      <c r="J33" s="579"/>
      <c r="K33" s="788"/>
    </row>
    <row r="34" spans="1:14" ht="15">
      <c r="A34" s="1630"/>
      <c r="B34" s="815" t="s">
        <v>2241</v>
      </c>
      <c r="C34" s="815"/>
      <c r="D34" s="579"/>
      <c r="E34" s="786"/>
      <c r="F34" s="819"/>
      <c r="G34" s="1578"/>
      <c r="H34" s="786"/>
      <c r="I34" s="786"/>
      <c r="J34" s="579"/>
      <c r="K34" s="788"/>
    </row>
    <row r="35" spans="1:14" ht="15">
      <c r="A35" s="1630"/>
      <c r="B35" s="815" t="s">
        <v>2242</v>
      </c>
      <c r="C35" s="815"/>
      <c r="D35" s="579">
        <f>F40</f>
        <v>1011400.9299999999</v>
      </c>
      <c r="E35" s="786"/>
      <c r="F35" s="819">
        <f>+J40</f>
        <v>716133.37</v>
      </c>
      <c r="G35" s="1578"/>
      <c r="H35" s="786"/>
      <c r="I35" s="786"/>
      <c r="J35" s="579">
        <v>1018505.1</v>
      </c>
      <c r="K35" s="788"/>
    </row>
    <row r="36" spans="1:14" ht="15">
      <c r="A36" s="1630"/>
      <c r="B36" s="815" t="s">
        <v>2243</v>
      </c>
      <c r="C36" s="815"/>
      <c r="D36" s="579">
        <v>1103687.8700000001</v>
      </c>
      <c r="E36" s="786"/>
      <c r="F36" s="819">
        <v>0</v>
      </c>
      <c r="G36" s="1578"/>
      <c r="H36" s="786"/>
      <c r="I36" s="786"/>
      <c r="J36" s="579">
        <v>2477950.92</v>
      </c>
      <c r="K36" s="788"/>
    </row>
    <row r="37" spans="1:14" ht="15">
      <c r="A37" s="1630"/>
      <c r="B37" s="815" t="s">
        <v>3936</v>
      </c>
      <c r="C37" s="815"/>
      <c r="D37" s="579">
        <v>28802.17</v>
      </c>
      <c r="E37" s="786"/>
      <c r="F37" s="819"/>
      <c r="G37" s="1578"/>
      <c r="H37" s="786"/>
      <c r="I37" s="786"/>
      <c r="J37" s="579"/>
      <c r="K37" s="788"/>
    </row>
    <row r="38" spans="1:14" ht="15">
      <c r="A38" s="1630"/>
      <c r="B38" s="815" t="s">
        <v>2244</v>
      </c>
      <c r="C38" s="815"/>
      <c r="D38" s="579">
        <v>1011401</v>
      </c>
      <c r="E38" s="786"/>
      <c r="F38" s="819">
        <v>716065.73</v>
      </c>
      <c r="G38" s="1578"/>
      <c r="H38" s="786"/>
      <c r="I38" s="786"/>
      <c r="J38" s="579">
        <v>1018505.1</v>
      </c>
      <c r="K38" s="788"/>
      <c r="L38" s="695" t="s">
        <v>45</v>
      </c>
    </row>
    <row r="39" spans="1:14" ht="15.75" thickBot="1">
      <c r="A39" s="1630"/>
      <c r="B39" s="815" t="s">
        <v>2245</v>
      </c>
      <c r="C39" s="815"/>
      <c r="D39" s="579">
        <v>49135.41</v>
      </c>
      <c r="E39" s="786"/>
      <c r="F39" s="819">
        <v>295335.2</v>
      </c>
      <c r="G39" s="1578"/>
      <c r="H39" s="786"/>
      <c r="I39" s="786"/>
      <c r="J39" s="579">
        <v>-302371.73</v>
      </c>
      <c r="K39" s="788"/>
    </row>
    <row r="40" spans="1:14" ht="16.5" thickTop="1" thickBot="1">
      <c r="A40" s="1630"/>
      <c r="B40" s="815" t="s">
        <v>2246</v>
      </c>
      <c r="C40" s="815"/>
      <c r="D40" s="820">
        <f>SUM(D37:D39)</f>
        <v>1089338.58</v>
      </c>
      <c r="E40" s="786"/>
      <c r="F40" s="821">
        <f>SUM(F38:F39)</f>
        <v>1011400.9299999999</v>
      </c>
      <c r="G40" s="1578"/>
      <c r="H40" s="786"/>
      <c r="I40" s="786"/>
      <c r="J40" s="820">
        <f>SUM(J38:J39)</f>
        <v>716133.37</v>
      </c>
      <c r="K40" s="788"/>
    </row>
    <row r="41" spans="1:14" s="796" customFormat="1" ht="15.75" thickTop="1">
      <c r="A41" s="1630"/>
      <c r="B41" s="815"/>
      <c r="C41" s="815"/>
      <c r="D41" s="579"/>
      <c r="E41" s="786"/>
      <c r="F41" s="819"/>
      <c r="G41" s="1578"/>
      <c r="H41" s="786"/>
      <c r="I41" s="786"/>
      <c r="J41" s="579" t="s">
        <v>45</v>
      </c>
      <c r="K41" s="788"/>
      <c r="M41" s="797"/>
      <c r="N41" s="797"/>
    </row>
    <row r="42" spans="1:14" ht="15">
      <c r="A42" s="1630"/>
      <c r="B42" s="815"/>
      <c r="C42" s="815"/>
      <c r="D42" s="579"/>
      <c r="E42" s="786"/>
      <c r="F42" s="819"/>
      <c r="G42" s="1578"/>
      <c r="H42" s="786"/>
      <c r="I42" s="786"/>
      <c r="J42" s="579"/>
      <c r="K42" s="788"/>
    </row>
    <row r="43" spans="1:14" ht="15">
      <c r="A43" s="1630"/>
      <c r="B43" s="815" t="s">
        <v>480</v>
      </c>
      <c r="C43" s="815"/>
      <c r="D43" s="579"/>
      <c r="E43" s="786"/>
      <c r="F43" s="819"/>
      <c r="G43" s="1578"/>
      <c r="H43" s="786"/>
      <c r="I43" s="786"/>
      <c r="J43" s="579"/>
      <c r="K43" s="788"/>
    </row>
    <row r="44" spans="1:14" ht="15">
      <c r="A44" s="1630"/>
      <c r="B44" s="815" t="s">
        <v>462</v>
      </c>
      <c r="C44" s="815"/>
      <c r="D44" s="579"/>
      <c r="E44" s="786"/>
      <c r="F44" s="819"/>
      <c r="G44" s="1578"/>
      <c r="H44" s="786"/>
      <c r="I44" s="786"/>
      <c r="J44" s="579"/>
      <c r="K44" s="788"/>
    </row>
    <row r="45" spans="1:14" ht="15">
      <c r="A45" s="1630"/>
      <c r="B45" s="815" t="s">
        <v>465</v>
      </c>
      <c r="C45" s="815"/>
      <c r="D45" s="579"/>
      <c r="E45" s="786"/>
      <c r="F45" s="819"/>
      <c r="G45" s="1578"/>
      <c r="H45" s="786"/>
      <c r="I45" s="786"/>
      <c r="J45" s="579"/>
      <c r="K45" s="788"/>
    </row>
    <row r="46" spans="1:14" ht="15">
      <c r="A46" s="1630"/>
      <c r="B46" s="815" t="s">
        <v>464</v>
      </c>
      <c r="C46" s="815"/>
      <c r="D46" s="579"/>
      <c r="E46" s="786"/>
      <c r="F46" s="819"/>
      <c r="G46" s="1578"/>
      <c r="H46" s="786"/>
      <c r="I46" s="786"/>
      <c r="J46" s="579"/>
      <c r="K46" s="788"/>
    </row>
    <row r="47" spans="1:14" s="796" customFormat="1" ht="15">
      <c r="A47" s="1630"/>
      <c r="B47" s="815" t="s">
        <v>2304</v>
      </c>
      <c r="C47" s="815"/>
      <c r="D47" s="579"/>
      <c r="E47" s="786"/>
      <c r="F47" s="819"/>
      <c r="G47" s="1578"/>
      <c r="H47" s="786"/>
      <c r="I47" s="786"/>
      <c r="J47" s="579"/>
      <c r="K47" s="788"/>
      <c r="M47" s="797"/>
      <c r="N47" s="797"/>
    </row>
    <row r="48" spans="1:14" ht="15">
      <c r="A48" s="1630"/>
      <c r="B48" s="815" t="s">
        <v>2242</v>
      </c>
      <c r="C48" s="815"/>
      <c r="D48" s="579">
        <f>F53</f>
        <v>1874.3899999999994</v>
      </c>
      <c r="E48" s="786"/>
      <c r="F48" s="819">
        <f>+J53</f>
        <v>102380.95</v>
      </c>
      <c r="G48" s="1578"/>
      <c r="H48" s="786"/>
      <c r="I48" s="786"/>
      <c r="J48" s="579">
        <v>96485.68</v>
      </c>
      <c r="K48" s="788"/>
    </row>
    <row r="49" spans="1:14" s="804" customFormat="1" ht="27.75" customHeight="1">
      <c r="A49" s="1653"/>
      <c r="B49" s="815" t="s">
        <v>2243</v>
      </c>
      <c r="C49" s="815"/>
      <c r="D49" s="579">
        <v>1175</v>
      </c>
      <c r="E49" s="786"/>
      <c r="F49" s="819">
        <v>0</v>
      </c>
      <c r="G49" s="1578"/>
      <c r="H49" s="786"/>
      <c r="I49" s="786"/>
      <c r="J49" s="579">
        <v>102399.66</v>
      </c>
      <c r="K49" s="788"/>
      <c r="M49" s="805"/>
      <c r="N49" s="805"/>
    </row>
    <row r="50" spans="1:14" ht="15">
      <c r="A50" s="1630"/>
      <c r="B50" s="815"/>
      <c r="C50" s="815"/>
      <c r="D50" s="579"/>
      <c r="E50" s="786"/>
      <c r="F50" s="819"/>
      <c r="G50" s="1578"/>
      <c r="H50" s="786"/>
      <c r="I50" s="786"/>
      <c r="J50" s="579"/>
      <c r="K50" s="788"/>
    </row>
    <row r="51" spans="1:14" ht="15">
      <c r="A51" s="1671"/>
      <c r="B51" s="815" t="s">
        <v>2244</v>
      </c>
      <c r="C51" s="815"/>
      <c r="D51" s="579">
        <v>1874</v>
      </c>
      <c r="E51" s="786"/>
      <c r="F51" s="819">
        <v>102380.95</v>
      </c>
      <c r="G51" s="1578"/>
      <c r="H51" s="786"/>
      <c r="I51" s="786"/>
      <c r="J51" s="579">
        <v>96485.68</v>
      </c>
      <c r="K51" s="788"/>
    </row>
    <row r="52" spans="1:14" ht="15.75" thickBot="1">
      <c r="A52" s="1671"/>
      <c r="B52" s="815" t="s">
        <v>2245</v>
      </c>
      <c r="C52" s="815"/>
      <c r="D52" s="579">
        <v>-698.51</v>
      </c>
      <c r="E52" s="786"/>
      <c r="F52" s="819">
        <v>-100506.56</v>
      </c>
      <c r="G52" s="1578"/>
      <c r="H52" s="786"/>
      <c r="I52" s="786"/>
      <c r="J52" s="579">
        <v>5895.27</v>
      </c>
      <c r="K52" s="788"/>
    </row>
    <row r="53" spans="1:14" ht="16.5" thickTop="1" thickBot="1">
      <c r="A53" s="1671"/>
      <c r="B53" s="815" t="s">
        <v>2246</v>
      </c>
      <c r="C53" s="815"/>
      <c r="D53" s="820">
        <f>SUM(D51:D52)</f>
        <v>1175.49</v>
      </c>
      <c r="E53" s="786"/>
      <c r="F53" s="821">
        <f>SUM(F51:F52)</f>
        <v>1874.3899999999994</v>
      </c>
      <c r="G53" s="1578"/>
      <c r="H53" s="786"/>
      <c r="I53" s="786"/>
      <c r="J53" s="821">
        <f>SUM(J51:J52)</f>
        <v>102380.95</v>
      </c>
      <c r="K53" s="788"/>
      <c r="L53" s="695" t="s">
        <v>45</v>
      </c>
    </row>
    <row r="54" spans="1:14" ht="15.75" thickTop="1">
      <c r="A54" s="1671"/>
      <c r="B54" s="815"/>
      <c r="C54" s="815"/>
      <c r="D54" s="579"/>
      <c r="E54" s="786"/>
      <c r="F54" s="819"/>
      <c r="G54" s="1578"/>
      <c r="H54" s="786"/>
      <c r="I54" s="786"/>
      <c r="J54" s="579"/>
      <c r="K54" s="788"/>
    </row>
    <row r="55" spans="1:14" ht="15">
      <c r="A55" s="1672"/>
      <c r="B55" s="822"/>
      <c r="C55" s="822"/>
      <c r="D55" s="823"/>
      <c r="E55" s="807"/>
      <c r="F55" s="824" t="s">
        <v>45</v>
      </c>
      <c r="G55" s="1628"/>
      <c r="H55" s="807"/>
      <c r="I55" s="807"/>
      <c r="J55" s="823"/>
      <c r="K55" s="809"/>
    </row>
    <row r="56" spans="1:14" ht="15">
      <c r="A56" s="1673"/>
      <c r="B56" s="810" t="s">
        <v>480</v>
      </c>
      <c r="C56" s="810"/>
      <c r="D56" s="825"/>
      <c r="E56" s="812"/>
      <c r="F56" s="826"/>
      <c r="G56" s="1624"/>
      <c r="H56" s="812"/>
      <c r="I56" s="812"/>
      <c r="J56" s="825"/>
      <c r="K56" s="1425"/>
    </row>
    <row r="57" spans="1:14" ht="15">
      <c r="A57" s="1671"/>
      <c r="B57" s="815" t="s">
        <v>462</v>
      </c>
      <c r="C57" s="815"/>
      <c r="D57" s="579"/>
      <c r="E57" s="786"/>
      <c r="F57" s="819"/>
      <c r="G57" s="1578"/>
      <c r="H57" s="786"/>
      <c r="I57" s="786"/>
      <c r="J57" s="579"/>
      <c r="K57" s="788"/>
    </row>
    <row r="58" spans="1:14" ht="15">
      <c r="A58" s="1671"/>
      <c r="B58" s="815" t="s">
        <v>2305</v>
      </c>
      <c r="C58" s="815"/>
      <c r="D58" s="579"/>
      <c r="E58" s="786"/>
      <c r="F58" s="819"/>
      <c r="G58" s="1578"/>
      <c r="H58" s="786"/>
      <c r="I58" s="786"/>
      <c r="J58" s="579"/>
      <c r="K58" s="788"/>
    </row>
    <row r="59" spans="1:14" ht="15">
      <c r="A59" s="1671"/>
      <c r="B59" s="815" t="s">
        <v>464</v>
      </c>
      <c r="C59" s="815"/>
      <c r="D59" s="579"/>
      <c r="E59" s="786"/>
      <c r="F59" s="819"/>
      <c r="G59" s="1578"/>
      <c r="H59" s="786"/>
      <c r="I59" s="786"/>
      <c r="J59" s="579"/>
      <c r="K59" s="788"/>
    </row>
    <row r="60" spans="1:14" ht="15">
      <c r="A60" s="1671"/>
      <c r="B60" s="815" t="s">
        <v>2306</v>
      </c>
      <c r="C60" s="815"/>
      <c r="D60" s="579"/>
      <c r="E60" s="786"/>
      <c r="F60" s="819"/>
      <c r="G60" s="1578"/>
      <c r="H60" s="786"/>
      <c r="I60" s="786"/>
      <c r="J60" s="579"/>
      <c r="K60" s="788"/>
    </row>
    <row r="61" spans="1:14" ht="15">
      <c r="A61" s="1671"/>
      <c r="B61" s="815" t="s">
        <v>2242</v>
      </c>
      <c r="C61" s="815"/>
      <c r="D61" s="579"/>
      <c r="E61" s="786"/>
      <c r="F61" s="819">
        <f>+J66</f>
        <v>924513.85</v>
      </c>
      <c r="G61" s="1578"/>
      <c r="H61" s="786"/>
      <c r="I61" s="786"/>
      <c r="J61" s="579"/>
      <c r="K61" s="788"/>
    </row>
    <row r="62" spans="1:14" ht="15">
      <c r="A62" s="1671"/>
      <c r="B62" s="815" t="s">
        <v>2243</v>
      </c>
      <c r="C62" s="815"/>
      <c r="D62" s="579">
        <v>170</v>
      </c>
      <c r="E62" s="786"/>
      <c r="F62" s="819">
        <v>0</v>
      </c>
      <c r="G62" s="1578"/>
      <c r="H62" s="786"/>
      <c r="I62" s="786"/>
      <c r="J62" s="579">
        <v>924561.69</v>
      </c>
      <c r="K62" s="788"/>
    </row>
    <row r="63" spans="1:14" ht="15">
      <c r="A63" s="1671"/>
      <c r="B63" s="815"/>
      <c r="C63" s="815"/>
      <c r="D63" s="579"/>
      <c r="E63" s="786"/>
      <c r="F63" s="819"/>
      <c r="G63" s="1578"/>
      <c r="H63" s="786"/>
      <c r="I63" s="786"/>
      <c r="J63" s="579"/>
      <c r="K63" s="788"/>
    </row>
    <row r="64" spans="1:14" ht="15">
      <c r="A64" s="1671"/>
      <c r="B64" s="815" t="s">
        <v>2244</v>
      </c>
      <c r="C64" s="815"/>
      <c r="D64" s="579"/>
      <c r="E64" s="786"/>
      <c r="F64" s="819">
        <v>0</v>
      </c>
      <c r="G64" s="1578"/>
      <c r="H64" s="786"/>
      <c r="I64" s="786"/>
      <c r="J64" s="579">
        <v>848678.57</v>
      </c>
      <c r="K64" s="788"/>
    </row>
    <row r="65" spans="1:12" ht="15.75" thickBot="1">
      <c r="A65" s="1671"/>
      <c r="B65" s="815" t="s">
        <v>2245</v>
      </c>
      <c r="C65" s="815"/>
      <c r="D65" s="579">
        <v>169.59</v>
      </c>
      <c r="E65" s="786"/>
      <c r="F65" s="819">
        <v>0</v>
      </c>
      <c r="G65" s="1578"/>
      <c r="H65" s="786"/>
      <c r="I65" s="786"/>
      <c r="J65" s="579">
        <v>75835.28</v>
      </c>
      <c r="K65" s="788"/>
    </row>
    <row r="66" spans="1:12" ht="16.5" thickTop="1" thickBot="1">
      <c r="A66" s="1671"/>
      <c r="B66" s="815" t="s">
        <v>2246</v>
      </c>
      <c r="C66" s="815"/>
      <c r="D66" s="820">
        <f>SUM(D64:D65)</f>
        <v>169.59</v>
      </c>
      <c r="E66" s="786"/>
      <c r="F66" s="821">
        <f>SUM(F64:F65)</f>
        <v>0</v>
      </c>
      <c r="G66" s="1578"/>
      <c r="H66" s="786"/>
      <c r="I66" s="786"/>
      <c r="J66" s="821">
        <f>SUM(J64:J65)</f>
        <v>924513.85</v>
      </c>
      <c r="K66" s="788"/>
      <c r="L66" s="695" t="s">
        <v>45</v>
      </c>
    </row>
    <row r="67" spans="1:12" ht="15.75" thickTop="1">
      <c r="A67" s="1671"/>
      <c r="B67" s="815"/>
      <c r="C67" s="815"/>
      <c r="D67" s="579"/>
      <c r="E67" s="786"/>
      <c r="F67" s="819"/>
      <c r="G67" s="1578"/>
      <c r="H67" s="786"/>
      <c r="I67" s="786"/>
      <c r="J67" s="579"/>
      <c r="K67" s="788"/>
    </row>
    <row r="68" spans="1:12" ht="15">
      <c r="A68" s="1671"/>
      <c r="B68" s="815"/>
      <c r="C68" s="815"/>
      <c r="D68" s="579"/>
      <c r="E68" s="786"/>
      <c r="F68" s="819"/>
      <c r="G68" s="1578"/>
      <c r="H68" s="786"/>
      <c r="I68" s="786"/>
      <c r="J68" s="579"/>
      <c r="K68" s="788"/>
    </row>
    <row r="69" spans="1:12" ht="15">
      <c r="A69" s="1671"/>
      <c r="B69" s="815" t="s">
        <v>480</v>
      </c>
      <c r="C69" s="815"/>
      <c r="D69" s="579"/>
      <c r="E69" s="786"/>
      <c r="F69" s="819"/>
      <c r="G69" s="1578"/>
      <c r="H69" s="786"/>
      <c r="I69" s="786"/>
      <c r="J69" s="579"/>
      <c r="K69" s="788"/>
    </row>
    <row r="70" spans="1:12" ht="15">
      <c r="A70" s="1671"/>
      <c r="B70" s="815" t="s">
        <v>462</v>
      </c>
      <c r="C70" s="815"/>
      <c r="D70" s="579"/>
      <c r="E70" s="786"/>
      <c r="F70" s="819"/>
      <c r="G70" s="1578"/>
      <c r="H70" s="786"/>
      <c r="I70" s="786"/>
      <c r="J70" s="579"/>
      <c r="K70" s="788"/>
    </row>
    <row r="71" spans="1:12" ht="15">
      <c r="A71" s="1671"/>
      <c r="B71" s="749" t="s">
        <v>2307</v>
      </c>
      <c r="C71" s="749"/>
      <c r="D71" s="579"/>
      <c r="E71" s="786"/>
      <c r="F71" s="819"/>
      <c r="G71" s="1578"/>
      <c r="H71" s="786"/>
      <c r="I71" s="786"/>
      <c r="J71" s="579"/>
      <c r="K71" s="788"/>
    </row>
    <row r="72" spans="1:12" ht="15">
      <c r="A72" s="1671"/>
      <c r="B72" s="815" t="s">
        <v>464</v>
      </c>
      <c r="C72" s="815"/>
      <c r="D72" s="579"/>
      <c r="E72" s="786"/>
      <c r="F72" s="819"/>
      <c r="G72" s="1578"/>
      <c r="H72" s="786"/>
      <c r="I72" s="786"/>
      <c r="J72" s="579"/>
      <c r="K72" s="788"/>
    </row>
    <row r="73" spans="1:12" ht="15">
      <c r="A73" s="1671"/>
      <c r="B73" s="749" t="s">
        <v>2308</v>
      </c>
      <c r="C73" s="749"/>
      <c r="D73" s="579"/>
      <c r="E73" s="786"/>
      <c r="F73" s="819"/>
      <c r="G73" s="1578"/>
      <c r="H73" s="786"/>
      <c r="I73" s="786"/>
      <c r="J73" s="579"/>
      <c r="K73" s="788"/>
    </row>
    <row r="74" spans="1:12" ht="15">
      <c r="A74" s="1671"/>
      <c r="B74" s="815" t="s">
        <v>2242</v>
      </c>
      <c r="C74" s="815"/>
      <c r="D74" s="579">
        <f>F79</f>
        <v>0</v>
      </c>
      <c r="E74" s="786"/>
      <c r="F74" s="819">
        <f>+J79</f>
        <v>4241.2299999999814</v>
      </c>
      <c r="G74" s="1578"/>
      <c r="H74" s="786"/>
      <c r="I74" s="786"/>
      <c r="J74" s="579"/>
      <c r="K74" s="788"/>
    </row>
    <row r="75" spans="1:12" ht="15">
      <c r="A75" s="1671"/>
      <c r="B75" s="815" t="s">
        <v>2243</v>
      </c>
      <c r="C75" s="815"/>
      <c r="D75" s="579">
        <v>3</v>
      </c>
      <c r="E75" s="786"/>
      <c r="F75" s="819">
        <v>0</v>
      </c>
      <c r="G75" s="1578"/>
      <c r="H75" s="786"/>
      <c r="I75" s="786"/>
      <c r="J75" s="579">
        <v>4241.8500000000004</v>
      </c>
      <c r="K75" s="788"/>
    </row>
    <row r="76" spans="1:12" ht="15">
      <c r="A76" s="1671"/>
      <c r="B76" s="815"/>
      <c r="C76" s="815"/>
      <c r="D76" s="579"/>
      <c r="E76" s="786"/>
      <c r="F76" s="819"/>
      <c r="G76" s="1578"/>
      <c r="H76" s="786"/>
      <c r="I76" s="786"/>
      <c r="J76" s="579"/>
      <c r="K76" s="788"/>
    </row>
    <row r="77" spans="1:12" ht="15">
      <c r="A77" s="1671"/>
      <c r="B77" s="815" t="s">
        <v>2244</v>
      </c>
      <c r="C77" s="815"/>
      <c r="D77" s="579"/>
      <c r="E77" s="786"/>
      <c r="F77" s="819">
        <v>0</v>
      </c>
      <c r="G77" s="1578"/>
      <c r="H77" s="786"/>
      <c r="I77" s="786"/>
      <c r="J77" s="579">
        <v>279976.38</v>
      </c>
      <c r="K77" s="788"/>
    </row>
    <row r="78" spans="1:12" ht="15.75" thickBot="1">
      <c r="A78" s="1671"/>
      <c r="B78" s="815" t="s">
        <v>2245</v>
      </c>
      <c r="C78" s="815"/>
      <c r="D78" s="579">
        <v>3.11</v>
      </c>
      <c r="E78" s="786"/>
      <c r="F78" s="819">
        <v>0</v>
      </c>
      <c r="G78" s="1578"/>
      <c r="H78" s="786"/>
      <c r="I78" s="786"/>
      <c r="J78" s="579">
        <v>-275735.15000000002</v>
      </c>
      <c r="K78" s="788"/>
    </row>
    <row r="79" spans="1:12" ht="16.5" thickTop="1" thickBot="1">
      <c r="A79" s="1671"/>
      <c r="B79" s="815" t="s">
        <v>2246</v>
      </c>
      <c r="C79" s="815"/>
      <c r="D79" s="820">
        <f>SUM(D77:D78)</f>
        <v>3.11</v>
      </c>
      <c r="E79" s="786"/>
      <c r="F79" s="821">
        <f>SUM(F77:F78)</f>
        <v>0</v>
      </c>
      <c r="G79" s="1578"/>
      <c r="H79" s="786"/>
      <c r="I79" s="786"/>
      <c r="J79" s="821">
        <f>SUM(J77:J78)</f>
        <v>4241.2299999999814</v>
      </c>
      <c r="K79" s="788"/>
      <c r="L79" s="695" t="s">
        <v>45</v>
      </c>
    </row>
    <row r="80" spans="1:12" ht="15.75" thickTop="1">
      <c r="A80" s="1671"/>
      <c r="B80" s="815"/>
      <c r="C80" s="815"/>
      <c r="D80" s="579"/>
      <c r="E80" s="786"/>
      <c r="F80" s="819"/>
      <c r="G80" s="1578"/>
      <c r="H80" s="786"/>
      <c r="I80" s="786"/>
      <c r="J80" s="579"/>
      <c r="K80" s="788"/>
    </row>
    <row r="81" spans="1:11" ht="15">
      <c r="A81" s="1671"/>
      <c r="B81" s="815" t="s">
        <v>480</v>
      </c>
      <c r="C81" s="815"/>
      <c r="D81" s="579"/>
      <c r="E81" s="786"/>
      <c r="F81" s="749"/>
      <c r="G81" s="1578"/>
      <c r="H81" s="786"/>
      <c r="I81" s="786"/>
      <c r="J81" s="579"/>
      <c r="K81" s="788"/>
    </row>
    <row r="82" spans="1:11" ht="15">
      <c r="A82" s="1671"/>
      <c r="B82" s="815" t="s">
        <v>462</v>
      </c>
      <c r="C82" s="815"/>
      <c r="D82" s="579"/>
      <c r="E82" s="786"/>
      <c r="F82" s="749"/>
      <c r="G82" s="1578"/>
      <c r="H82" s="786"/>
      <c r="I82" s="786"/>
      <c r="J82" s="579"/>
      <c r="K82" s="788"/>
    </row>
    <row r="83" spans="1:11" ht="15">
      <c r="A83" s="1671"/>
      <c r="B83" s="749" t="s">
        <v>2309</v>
      </c>
      <c r="C83" s="749"/>
      <c r="D83" s="579"/>
      <c r="E83" s="786"/>
      <c r="F83" s="749"/>
      <c r="G83" s="1578"/>
      <c r="H83" s="786"/>
      <c r="I83" s="786"/>
      <c r="J83" s="579"/>
      <c r="K83" s="788"/>
    </row>
    <row r="84" spans="1:11" ht="15">
      <c r="A84" s="1671"/>
      <c r="B84" s="815" t="s">
        <v>464</v>
      </c>
      <c r="C84" s="815"/>
      <c r="D84" s="579"/>
      <c r="E84" s="786"/>
      <c r="F84" s="749"/>
      <c r="G84" s="1578"/>
      <c r="H84" s="786"/>
      <c r="I84" s="786"/>
      <c r="J84" s="579"/>
      <c r="K84" s="788"/>
    </row>
    <row r="85" spans="1:11" ht="15">
      <c r="A85" s="1671"/>
      <c r="B85" s="749" t="s">
        <v>2310</v>
      </c>
      <c r="C85" s="749"/>
      <c r="D85" s="579"/>
      <c r="E85" s="786"/>
      <c r="F85" s="749"/>
      <c r="G85" s="1578"/>
      <c r="H85" s="786"/>
      <c r="I85" s="786"/>
      <c r="J85" s="579"/>
      <c r="K85" s="788"/>
    </row>
    <row r="86" spans="1:11" ht="15">
      <c r="A86" s="1671"/>
      <c r="B86" s="815" t="s">
        <v>2242</v>
      </c>
      <c r="C86" s="815"/>
      <c r="D86" s="579">
        <v>0</v>
      </c>
      <c r="E86" s="786"/>
      <c r="F86" s="749"/>
      <c r="G86" s="1578"/>
      <c r="H86" s="786"/>
      <c r="I86" s="786"/>
      <c r="J86" s="579"/>
      <c r="K86" s="788"/>
    </row>
    <row r="87" spans="1:11" ht="15">
      <c r="A87" s="1671"/>
      <c r="B87" s="815" t="s">
        <v>2243</v>
      </c>
      <c r="C87" s="815"/>
      <c r="D87" s="1276">
        <v>8671</v>
      </c>
      <c r="E87" s="786"/>
      <c r="F87" s="830">
        <v>0</v>
      </c>
      <c r="G87" s="1578"/>
      <c r="H87" s="786"/>
      <c r="I87" s="786"/>
      <c r="J87" s="1285">
        <v>2348578.0699999998</v>
      </c>
      <c r="K87" s="788"/>
    </row>
    <row r="88" spans="1:11" ht="15">
      <c r="A88" s="1671"/>
      <c r="B88" s="815"/>
      <c r="C88" s="815"/>
      <c r="D88" s="1276"/>
      <c r="E88" s="786"/>
      <c r="F88" s="830"/>
      <c r="G88" s="1578"/>
      <c r="H88" s="786"/>
      <c r="I88" s="786"/>
      <c r="J88" s="830"/>
      <c r="K88" s="788"/>
    </row>
    <row r="89" spans="1:11" ht="15">
      <c r="A89" s="1671"/>
      <c r="B89" s="815" t="s">
        <v>2244</v>
      </c>
      <c r="C89" s="815"/>
      <c r="D89" s="1276"/>
      <c r="E89" s="786"/>
      <c r="F89" s="830"/>
      <c r="G89" s="1578"/>
      <c r="H89" s="786"/>
      <c r="I89" s="786"/>
      <c r="J89" s="830"/>
      <c r="K89" s="788"/>
    </row>
    <row r="90" spans="1:11" ht="15.75" thickBot="1">
      <c r="A90" s="1671"/>
      <c r="B90" s="815" t="s">
        <v>2245</v>
      </c>
      <c r="C90" s="815"/>
      <c r="D90" s="1276">
        <v>8671</v>
      </c>
      <c r="E90" s="786"/>
      <c r="F90" s="830"/>
      <c r="G90" s="1578"/>
      <c r="H90" s="786"/>
      <c r="I90" s="786"/>
      <c r="J90" s="830"/>
      <c r="K90" s="788"/>
    </row>
    <row r="91" spans="1:11" ht="16.5" thickTop="1" thickBot="1">
      <c r="A91" s="1671"/>
      <c r="B91" s="815" t="s">
        <v>2246</v>
      </c>
      <c r="C91" s="815"/>
      <c r="D91" s="820">
        <v>8671</v>
      </c>
      <c r="E91" s="786"/>
      <c r="F91" s="821"/>
      <c r="G91" s="1578"/>
      <c r="H91" s="786"/>
      <c r="I91" s="786"/>
      <c r="J91" s="821">
        <v>2348578.0699999998</v>
      </c>
      <c r="K91" s="788"/>
    </row>
    <row r="92" spans="1:11" ht="15.75" thickTop="1">
      <c r="A92" s="1671"/>
      <c r="B92" s="815"/>
      <c r="C92" s="815"/>
      <c r="D92" s="579"/>
      <c r="E92" s="786"/>
      <c r="F92" s="819"/>
      <c r="G92" s="1578"/>
      <c r="H92" s="786"/>
      <c r="I92" s="786"/>
      <c r="J92" s="579"/>
      <c r="K92" s="788"/>
    </row>
    <row r="93" spans="1:11" ht="15">
      <c r="A93" s="1671"/>
      <c r="B93" s="815" t="s">
        <v>480</v>
      </c>
      <c r="C93" s="815"/>
      <c r="D93" s="579"/>
      <c r="E93" s="786"/>
      <c r="F93" s="819"/>
      <c r="G93" s="1578"/>
      <c r="H93" s="786"/>
      <c r="I93" s="786"/>
      <c r="J93" s="579"/>
      <c r="K93" s="788"/>
    </row>
    <row r="94" spans="1:11" ht="15">
      <c r="A94" s="1671"/>
      <c r="B94" s="815" t="s">
        <v>462</v>
      </c>
      <c r="C94" s="815"/>
      <c r="D94" s="579"/>
      <c r="E94" s="786"/>
      <c r="F94" s="819"/>
      <c r="G94" s="1578"/>
      <c r="H94" s="786"/>
      <c r="I94" s="786"/>
      <c r="J94" s="579"/>
      <c r="K94" s="788"/>
    </row>
    <row r="95" spans="1:11" ht="15">
      <c r="A95" s="1671"/>
      <c r="B95" s="749" t="s">
        <v>3341</v>
      </c>
      <c r="C95" s="749"/>
      <c r="D95" s="579"/>
      <c r="E95" s="786"/>
      <c r="F95" s="819"/>
      <c r="G95" s="1578"/>
      <c r="H95" s="786"/>
      <c r="I95" s="786"/>
      <c r="J95" s="579"/>
      <c r="K95" s="788"/>
    </row>
    <row r="96" spans="1:11" ht="15">
      <c r="A96" s="1671"/>
      <c r="B96" s="815" t="s">
        <v>3342</v>
      </c>
      <c r="C96" s="815"/>
      <c r="D96" s="579"/>
      <c r="E96" s="786"/>
      <c r="F96" s="819"/>
      <c r="G96" s="1578"/>
      <c r="H96" s="786"/>
      <c r="I96" s="786"/>
      <c r="J96" s="579"/>
      <c r="K96" s="788"/>
    </row>
    <row r="97" spans="1:11" ht="15">
      <c r="A97" s="1671"/>
      <c r="B97" s="749" t="s">
        <v>3343</v>
      </c>
      <c r="C97" s="749"/>
      <c r="D97" s="579"/>
      <c r="E97" s="786"/>
      <c r="F97" s="819"/>
      <c r="G97" s="1578"/>
      <c r="H97" s="786"/>
      <c r="I97" s="786"/>
      <c r="J97" s="579"/>
      <c r="K97" s="788"/>
    </row>
    <row r="98" spans="1:11" ht="15">
      <c r="A98" s="1671"/>
      <c r="B98" s="815" t="s">
        <v>2242</v>
      </c>
      <c r="C98" s="815"/>
      <c r="D98" s="579" t="str">
        <f>F100</f>
        <v xml:space="preserve"> </v>
      </c>
      <c r="E98" s="786"/>
      <c r="F98" s="819">
        <v>0</v>
      </c>
      <c r="G98" s="1578"/>
      <c r="H98" s="786"/>
      <c r="I98" s="786"/>
      <c r="J98" s="579"/>
      <c r="K98" s="788"/>
    </row>
    <row r="99" spans="1:11" ht="15">
      <c r="A99" s="1671"/>
      <c r="B99" s="815" t="s">
        <v>2243</v>
      </c>
      <c r="C99" s="815"/>
      <c r="D99" s="579">
        <v>54.17</v>
      </c>
      <c r="E99" s="786"/>
      <c r="F99" s="819">
        <v>0</v>
      </c>
      <c r="G99" s="1578"/>
      <c r="H99" s="786"/>
      <c r="I99" s="786"/>
      <c r="J99" s="579"/>
      <c r="K99" s="788"/>
    </row>
    <row r="100" spans="1:11" ht="15">
      <c r="A100" s="1671"/>
      <c r="B100" s="815"/>
      <c r="C100" s="815"/>
      <c r="D100" s="1276">
        <v>0</v>
      </c>
      <c r="E100" s="786"/>
      <c r="F100" s="1285" t="s">
        <v>45</v>
      </c>
      <c r="G100" s="1578"/>
      <c r="H100" s="786"/>
      <c r="I100" s="786"/>
      <c r="J100" s="579"/>
      <c r="K100" s="788"/>
    </row>
    <row r="101" spans="1:11" ht="15">
      <c r="A101" s="1671"/>
      <c r="B101" s="815" t="s">
        <v>2244</v>
      </c>
      <c r="C101" s="815"/>
      <c r="D101" s="579"/>
      <c r="E101" s="786"/>
      <c r="F101" s="819"/>
      <c r="G101" s="1578"/>
      <c r="H101" s="786"/>
      <c r="I101" s="786"/>
      <c r="J101" s="579"/>
      <c r="K101" s="788"/>
    </row>
    <row r="102" spans="1:11" ht="15.75" thickBot="1">
      <c r="A102" s="1671"/>
      <c r="B102" s="815" t="s">
        <v>2245</v>
      </c>
      <c r="C102" s="815"/>
      <c r="D102" s="579"/>
      <c r="E102" s="786"/>
      <c r="F102" s="819"/>
      <c r="G102" s="1578"/>
      <c r="H102" s="786"/>
      <c r="I102" s="786"/>
      <c r="J102" s="579"/>
      <c r="K102" s="788"/>
    </row>
    <row r="103" spans="1:11" ht="16.5" thickTop="1" thickBot="1">
      <c r="A103" s="1671"/>
      <c r="B103" s="815" t="s">
        <v>2246</v>
      </c>
      <c r="C103" s="815"/>
      <c r="D103" s="827">
        <f>SUM(D98:D102)</f>
        <v>54.17</v>
      </c>
      <c r="E103" s="786"/>
      <c r="F103" s="828"/>
      <c r="G103" s="1578"/>
      <c r="H103" s="786"/>
      <c r="I103" s="786"/>
      <c r="J103" s="827"/>
      <c r="K103" s="788"/>
    </row>
    <row r="104" spans="1:11" ht="15.75" thickTop="1">
      <c r="A104" s="1671"/>
      <c r="B104" s="815"/>
      <c r="C104" s="815"/>
      <c r="D104" s="579"/>
      <c r="E104" s="786"/>
      <c r="F104" s="819"/>
      <c r="G104" s="1578"/>
      <c r="H104" s="786"/>
      <c r="I104" s="786"/>
      <c r="J104" s="579"/>
      <c r="K104" s="788"/>
    </row>
    <row r="105" spans="1:11" ht="15">
      <c r="A105" s="1671"/>
      <c r="B105" s="815"/>
      <c r="C105" s="815"/>
      <c r="D105" s="579"/>
      <c r="E105" s="786"/>
      <c r="F105" s="819"/>
      <c r="G105" s="1578"/>
      <c r="H105" s="786"/>
      <c r="I105" s="786"/>
      <c r="J105" s="579"/>
      <c r="K105" s="788"/>
    </row>
    <row r="106" spans="1:11" ht="15">
      <c r="A106" s="1671"/>
      <c r="B106" s="815" t="s">
        <v>480</v>
      </c>
      <c r="C106" s="815"/>
      <c r="D106" s="579"/>
      <c r="E106" s="786"/>
      <c r="F106" s="819"/>
      <c r="G106" s="1578"/>
      <c r="H106" s="786"/>
      <c r="I106" s="786"/>
      <c r="J106" s="579"/>
      <c r="K106" s="788"/>
    </row>
    <row r="107" spans="1:11" ht="15">
      <c r="A107" s="1671"/>
      <c r="B107" s="815" t="s">
        <v>462</v>
      </c>
      <c r="C107" s="815"/>
      <c r="D107" s="579"/>
      <c r="E107" s="786"/>
      <c r="F107" s="819"/>
      <c r="G107" s="1578"/>
      <c r="H107" s="786"/>
      <c r="I107" s="786"/>
      <c r="J107" s="579"/>
      <c r="K107" s="788"/>
    </row>
    <row r="108" spans="1:11" ht="15">
      <c r="A108" s="1671"/>
      <c r="B108" s="749" t="s">
        <v>3603</v>
      </c>
      <c r="C108" s="749"/>
      <c r="D108" s="579"/>
      <c r="E108" s="786"/>
      <c r="F108" s="819"/>
      <c r="G108" s="1578"/>
      <c r="H108" s="786"/>
      <c r="I108" s="786"/>
      <c r="J108" s="579"/>
      <c r="K108" s="788"/>
    </row>
    <row r="109" spans="1:11" ht="15">
      <c r="A109" s="1671"/>
      <c r="B109" s="815" t="s">
        <v>3604</v>
      </c>
      <c r="C109" s="815"/>
      <c r="D109" s="579"/>
      <c r="E109" s="786"/>
      <c r="F109" s="819"/>
      <c r="G109" s="1578"/>
      <c r="H109" s="786"/>
      <c r="I109" s="786"/>
      <c r="J109" s="579"/>
      <c r="K109" s="788"/>
    </row>
    <row r="110" spans="1:11" ht="15">
      <c r="A110" s="1671"/>
      <c r="B110" s="749" t="s">
        <v>3343</v>
      </c>
      <c r="C110" s="749"/>
      <c r="D110" s="579"/>
      <c r="E110" s="786"/>
      <c r="F110" s="819"/>
      <c r="G110" s="1578"/>
      <c r="H110" s="786"/>
      <c r="I110" s="786"/>
      <c r="J110" s="579"/>
      <c r="K110" s="788"/>
    </row>
    <row r="111" spans="1:11" ht="15">
      <c r="A111" s="1671"/>
      <c r="B111" s="815" t="s">
        <v>2242</v>
      </c>
      <c r="C111" s="815"/>
      <c r="D111" s="579" t="str">
        <f>F113</f>
        <v xml:space="preserve"> </v>
      </c>
      <c r="E111" s="786"/>
      <c r="F111" s="819">
        <v>0</v>
      </c>
      <c r="G111" s="1578"/>
      <c r="H111" s="786"/>
      <c r="I111" s="786"/>
      <c r="J111" s="579"/>
      <c r="K111" s="788"/>
    </row>
    <row r="112" spans="1:11" ht="15">
      <c r="A112" s="1671"/>
      <c r="B112" s="815" t="s">
        <v>2243</v>
      </c>
      <c r="C112" s="815"/>
      <c r="D112" s="579">
        <v>6561.57</v>
      </c>
      <c r="E112" s="786"/>
      <c r="F112" s="819">
        <v>0</v>
      </c>
      <c r="G112" s="1578"/>
      <c r="H112" s="786"/>
      <c r="I112" s="786"/>
      <c r="J112" s="579"/>
      <c r="K112" s="788"/>
    </row>
    <row r="113" spans="1:12" ht="15">
      <c r="A113" s="1671"/>
      <c r="B113" s="815"/>
      <c r="C113" s="815"/>
      <c r="D113" s="1276">
        <v>0</v>
      </c>
      <c r="E113" s="786"/>
      <c r="F113" s="1285" t="s">
        <v>45</v>
      </c>
      <c r="G113" s="1578"/>
      <c r="H113" s="786"/>
      <c r="I113" s="786"/>
      <c r="J113" s="579"/>
      <c r="K113" s="788"/>
    </row>
    <row r="114" spans="1:12" ht="15">
      <c r="A114" s="1671"/>
      <c r="B114" s="815" t="s">
        <v>2244</v>
      </c>
      <c r="C114" s="815"/>
      <c r="D114" s="579"/>
      <c r="E114" s="786"/>
      <c r="F114" s="819"/>
      <c r="G114" s="1578"/>
      <c r="H114" s="786"/>
      <c r="I114" s="786"/>
      <c r="J114" s="579"/>
      <c r="K114" s="788"/>
    </row>
    <row r="115" spans="1:12" ht="15.75" thickBot="1">
      <c r="A115" s="1671"/>
      <c r="B115" s="815" t="s">
        <v>2245</v>
      </c>
      <c r="C115" s="815"/>
      <c r="D115" s="579"/>
      <c r="E115" s="786"/>
      <c r="F115" s="819"/>
      <c r="G115" s="1578"/>
      <c r="H115" s="786"/>
      <c r="I115" s="786"/>
      <c r="J115" s="579"/>
      <c r="K115" s="788"/>
    </row>
    <row r="116" spans="1:12" ht="16.5" thickTop="1" thickBot="1">
      <c r="A116" s="1671"/>
      <c r="B116" s="815" t="s">
        <v>2246</v>
      </c>
      <c r="C116" s="815"/>
      <c r="D116" s="827">
        <f>SUM(D112:D115)</f>
        <v>6561.57</v>
      </c>
      <c r="E116" s="786"/>
      <c r="F116" s="828"/>
      <c r="G116" s="1578"/>
      <c r="H116" s="786"/>
      <c r="I116" s="786"/>
      <c r="J116" s="827"/>
      <c r="K116" s="788"/>
    </row>
    <row r="117" spans="1:12" ht="15.75" thickTop="1">
      <c r="A117" s="1671"/>
      <c r="B117" s="815"/>
      <c r="C117" s="815"/>
      <c r="D117" s="579"/>
      <c r="E117" s="786"/>
      <c r="F117" s="819"/>
      <c r="G117" s="1578"/>
      <c r="H117" s="786"/>
      <c r="I117" s="786"/>
      <c r="J117" s="579"/>
      <c r="K117" s="788"/>
    </row>
    <row r="118" spans="1:12" ht="15">
      <c r="A118" s="1671"/>
      <c r="B118" s="815"/>
      <c r="C118" s="815"/>
      <c r="D118" s="579"/>
      <c r="E118" s="786"/>
      <c r="F118" s="819"/>
      <c r="G118" s="1578"/>
      <c r="H118" s="786"/>
      <c r="I118" s="786"/>
      <c r="J118" s="579"/>
      <c r="K118" s="788"/>
    </row>
    <row r="119" spans="1:12" ht="15.75" thickBot="1">
      <c r="A119" s="1671"/>
      <c r="B119" s="815" t="s">
        <v>2242</v>
      </c>
      <c r="C119" s="815"/>
      <c r="D119" s="579">
        <f>F120</f>
        <v>1013275.32</v>
      </c>
      <c r="E119" s="786"/>
      <c r="F119" s="579">
        <f>+J120</f>
        <v>4095847.4699999997</v>
      </c>
      <c r="G119" s="1578"/>
      <c r="H119" s="786"/>
      <c r="I119" s="786"/>
      <c r="J119" s="579">
        <v>2243646</v>
      </c>
      <c r="K119" s="788"/>
    </row>
    <row r="120" spans="1:12" ht="16.5" thickTop="1" thickBot="1">
      <c r="A120" s="1671"/>
      <c r="B120" s="815" t="s">
        <v>2243</v>
      </c>
      <c r="C120" s="815"/>
      <c r="D120" s="820">
        <f>+D113+D100+D87+D79+D66+D53+D40+D103+D116</f>
        <v>1105973.51</v>
      </c>
      <c r="E120" s="786"/>
      <c r="F120" s="821">
        <f>+F40+F53+F66+F79+F87</f>
        <v>1013275.32</v>
      </c>
      <c r="G120" s="1578"/>
      <c r="H120" s="786"/>
      <c r="I120" s="786"/>
      <c r="J120" s="821">
        <f>+J40+J53+J66+J79+J87</f>
        <v>4095847.4699999997</v>
      </c>
      <c r="K120" s="788"/>
      <c r="L120" s="829">
        <f>D120-F120</f>
        <v>92698.190000000061</v>
      </c>
    </row>
    <row r="121" spans="1:12" ht="15.75" thickTop="1">
      <c r="A121" s="1671"/>
      <c r="B121" s="815"/>
      <c r="C121" s="815"/>
      <c r="D121" s="579"/>
      <c r="E121" s="749"/>
      <c r="F121" s="749"/>
      <c r="G121" s="1578"/>
      <c r="H121" s="786"/>
      <c r="I121" s="786"/>
      <c r="J121" s="787"/>
      <c r="K121" s="788"/>
    </row>
    <row r="122" spans="1:12" ht="25.5">
      <c r="A122" s="1671"/>
      <c r="B122" s="696" t="s">
        <v>2247</v>
      </c>
      <c r="C122" s="696"/>
      <c r="D122" s="697"/>
      <c r="E122" s="786"/>
      <c r="F122" s="787"/>
      <c r="G122" s="1578"/>
      <c r="H122" s="786"/>
      <c r="I122" s="786"/>
      <c r="J122" s="787"/>
      <c r="K122" s="788"/>
    </row>
    <row r="123" spans="1:12" ht="15.75" thickBot="1">
      <c r="A123" s="1674"/>
      <c r="B123" s="1657"/>
      <c r="C123" s="1657"/>
      <c r="D123" s="1675"/>
      <c r="E123" s="1657"/>
      <c r="F123" s="1675"/>
      <c r="G123" s="1676"/>
      <c r="H123" s="807"/>
      <c r="I123" s="807"/>
      <c r="J123" s="808"/>
      <c r="K123" s="809"/>
    </row>
    <row r="124" spans="1:12" ht="15.75" thickTop="1">
      <c r="A124" s="522"/>
    </row>
    <row r="125" spans="1:12" ht="15">
      <c r="A125" s="522"/>
      <c r="G125" s="784">
        <v>5253981.1399999997</v>
      </c>
    </row>
    <row r="126" spans="1:12" ht="15">
      <c r="A126" s="522"/>
    </row>
    <row r="127" spans="1:12" ht="15">
      <c r="A127" s="522"/>
    </row>
    <row r="128" spans="1:12" ht="15">
      <c r="A128" s="522"/>
    </row>
    <row r="129" spans="1:1" ht="15">
      <c r="A129" s="522"/>
    </row>
    <row r="130" spans="1:1" ht="15">
      <c r="A130" s="522"/>
    </row>
    <row r="131" spans="1:1" ht="15">
      <c r="A131" s="522"/>
    </row>
    <row r="132" spans="1:1" ht="15">
      <c r="A132" s="522"/>
    </row>
    <row r="133" spans="1:1" ht="15">
      <c r="A133" s="522"/>
    </row>
    <row r="134" spans="1:1" ht="15">
      <c r="A134" s="522"/>
    </row>
    <row r="135" spans="1:1" ht="15">
      <c r="A135" s="522"/>
    </row>
    <row r="136" spans="1:1" ht="15">
      <c r="A136" s="522"/>
    </row>
  </sheetData>
  <mergeCells count="2">
    <mergeCell ref="A1:G1"/>
    <mergeCell ref="A2:G2"/>
  </mergeCells>
  <phoneticPr fontId="0" type="noConversion"/>
  <printOptions horizontalCentered="1"/>
  <pageMargins left="0.6692913385826772" right="0.39370078740157483" top="0.98425196850393704" bottom="0.98425196850393704" header="0.51181102362204722" footer="0.51181102362204722"/>
  <pageSetup scale="70" fitToHeight="2" orientation="portrait" r:id="rId1"/>
  <headerFooter>
    <oddHeader>&amp;C FINANCIAL STATEMENTS: MUSINA LOCAL MUNICIPALITY</oddHeader>
    <oddFooter>&amp;RPage &amp;P</oddFooter>
  </headerFooter>
  <rowBreaks count="1" manualBreakCount="1">
    <brk id="54" max="10" man="1"/>
  </rowBreaks>
</worksheet>
</file>

<file path=xl/worksheets/sheet18.xml><?xml version="1.0" encoding="utf-8"?>
<worksheet xmlns="http://schemas.openxmlformats.org/spreadsheetml/2006/main" xmlns:r="http://schemas.openxmlformats.org/officeDocument/2006/relationships">
  <dimension ref="A1:CO490"/>
  <sheetViews>
    <sheetView tabSelected="1" view="pageBreakPreview" topLeftCell="A356" zoomScaleSheetLayoutView="100" workbookViewId="0">
      <selection activeCell="B43" sqref="B43"/>
    </sheetView>
  </sheetViews>
  <sheetFormatPr defaultRowHeight="12.75"/>
  <cols>
    <col min="1" max="1" width="3.5703125" style="1279" bestFit="1" customWidth="1"/>
    <col min="2" max="2" width="57" style="671" bestFit="1" customWidth="1"/>
    <col min="3" max="3" width="4.28515625" style="671" customWidth="1"/>
    <col min="4" max="4" width="20.42578125" style="673" customWidth="1"/>
    <col min="5" max="5" width="2.28515625" style="671" customWidth="1"/>
    <col min="6" max="6" width="20.5703125" style="673" bestFit="1" customWidth="1"/>
    <col min="7" max="7" width="2.28515625" style="671" customWidth="1"/>
    <col min="8" max="9" width="2.28515625" style="671" hidden="1" customWidth="1"/>
    <col min="10" max="10" width="16.85546875" style="673" hidden="1" customWidth="1"/>
    <col min="11" max="11" width="2.28515625" style="671" hidden="1" customWidth="1"/>
    <col min="12" max="12" width="14.42578125" style="673" customWidth="1"/>
    <col min="13" max="13" width="14.5703125" style="673" bestFit="1" customWidth="1"/>
    <col min="14" max="14" width="13.5703125" style="673" bestFit="1" customWidth="1"/>
    <col min="15" max="15" width="17.5703125" style="673" customWidth="1"/>
    <col min="16" max="16" width="52.85546875" style="671" bestFit="1" customWidth="1"/>
    <col min="17" max="17" width="17.140625" style="671" bestFit="1" customWidth="1"/>
    <col min="18" max="18" width="15.85546875" style="673" bestFit="1" customWidth="1"/>
    <col min="19" max="19" width="15.85546875" style="671" bestFit="1" customWidth="1"/>
    <col min="20" max="16384" width="9.140625" style="671"/>
  </cols>
  <sheetData>
    <row r="1" spans="1:93" ht="15.75" customHeight="1" thickTop="1">
      <c r="A1" s="1818" t="s">
        <v>2486</v>
      </c>
      <c r="B1" s="1819"/>
      <c r="C1" s="1819"/>
      <c r="D1" s="1819"/>
      <c r="E1" s="1819"/>
      <c r="F1" s="1819"/>
      <c r="G1" s="1819"/>
      <c r="H1" s="1677"/>
      <c r="I1" s="1677"/>
      <c r="J1" s="1678"/>
      <c r="K1" s="1357"/>
      <c r="L1" s="655"/>
      <c r="M1" s="655"/>
      <c r="N1" s="655"/>
      <c r="O1" s="655"/>
      <c r="P1" s="670"/>
      <c r="Q1" s="670"/>
      <c r="R1" s="655"/>
      <c r="S1" s="670"/>
      <c r="T1" s="670"/>
      <c r="U1" s="670"/>
      <c r="V1" s="670"/>
      <c r="W1" s="670"/>
      <c r="X1" s="670"/>
      <c r="Y1" s="670"/>
      <c r="Z1" s="670"/>
      <c r="AA1" s="670"/>
      <c r="AB1" s="670"/>
      <c r="AC1" s="670"/>
      <c r="AD1" s="670"/>
      <c r="AE1" s="670"/>
      <c r="AF1" s="670"/>
      <c r="AG1" s="670"/>
      <c r="AH1" s="670"/>
      <c r="AI1" s="670"/>
      <c r="AJ1" s="670"/>
      <c r="AK1" s="670"/>
      <c r="AL1" s="670"/>
      <c r="AM1" s="670"/>
      <c r="AN1" s="670"/>
      <c r="AO1" s="670"/>
      <c r="AP1" s="670"/>
      <c r="AQ1" s="670"/>
      <c r="AR1" s="670"/>
      <c r="AS1" s="670"/>
      <c r="AT1" s="670"/>
      <c r="AU1" s="670"/>
      <c r="AV1" s="670"/>
      <c r="AW1" s="670"/>
      <c r="AX1" s="670"/>
      <c r="AY1" s="670"/>
      <c r="AZ1" s="670"/>
      <c r="BA1" s="670"/>
      <c r="BB1" s="670"/>
      <c r="BC1" s="670"/>
      <c r="BD1" s="670"/>
      <c r="BE1" s="670"/>
      <c r="BF1" s="670"/>
      <c r="BG1" s="670"/>
      <c r="BH1" s="670"/>
      <c r="BI1" s="670"/>
      <c r="BJ1" s="670"/>
      <c r="BK1" s="670"/>
      <c r="BL1" s="670"/>
      <c r="BM1" s="670"/>
      <c r="BN1" s="670"/>
      <c r="BO1" s="670"/>
      <c r="BP1" s="670"/>
      <c r="BQ1" s="670"/>
      <c r="BR1" s="670"/>
      <c r="BS1" s="670"/>
      <c r="BT1" s="670"/>
      <c r="BU1" s="670"/>
      <c r="BV1" s="670"/>
      <c r="BW1" s="670"/>
      <c r="BX1" s="670"/>
      <c r="BY1" s="670"/>
      <c r="BZ1" s="670"/>
      <c r="CA1" s="670"/>
      <c r="CB1" s="670"/>
      <c r="CC1" s="670"/>
      <c r="CD1" s="670"/>
      <c r="CE1" s="670"/>
      <c r="CF1" s="670"/>
      <c r="CG1" s="670"/>
      <c r="CH1" s="670"/>
      <c r="CI1" s="670"/>
      <c r="CJ1" s="670"/>
      <c r="CK1" s="670"/>
      <c r="CL1" s="670"/>
      <c r="CM1" s="670"/>
      <c r="CN1" s="670"/>
      <c r="CO1" s="670"/>
    </row>
    <row r="2" spans="1:93">
      <c r="A2" s="1821" t="s">
        <v>3498</v>
      </c>
      <c r="B2" s="1822"/>
      <c r="C2" s="1822"/>
      <c r="D2" s="1822"/>
      <c r="E2" s="1822"/>
      <c r="F2" s="1822"/>
      <c r="G2" s="1822"/>
      <c r="H2" s="1329"/>
      <c r="I2" s="1329"/>
      <c r="J2" s="1680"/>
      <c r="K2" s="1358"/>
      <c r="L2" s="655"/>
      <c r="M2" s="655"/>
      <c r="N2" s="655"/>
      <c r="O2" s="655"/>
      <c r="P2" s="670"/>
      <c r="Q2" s="670"/>
      <c r="R2" s="655"/>
      <c r="S2" s="670"/>
      <c r="T2" s="670"/>
      <c r="U2" s="670"/>
      <c r="V2" s="670"/>
      <c r="W2" s="670"/>
      <c r="X2" s="670"/>
      <c r="Y2" s="670"/>
      <c r="Z2" s="670"/>
      <c r="AA2" s="670"/>
      <c r="AB2" s="670"/>
      <c r="AC2" s="670"/>
      <c r="AD2" s="670"/>
      <c r="AE2" s="670"/>
      <c r="AF2" s="670"/>
      <c r="AG2" s="670"/>
      <c r="AH2" s="670"/>
      <c r="AI2" s="670"/>
      <c r="AJ2" s="670"/>
      <c r="AK2" s="670"/>
      <c r="AL2" s="670"/>
      <c r="AM2" s="670"/>
      <c r="AN2" s="670"/>
      <c r="AO2" s="670"/>
      <c r="AP2" s="670"/>
      <c r="AQ2" s="670"/>
      <c r="AR2" s="670"/>
      <c r="AS2" s="670"/>
      <c r="AT2" s="670"/>
      <c r="AU2" s="670"/>
      <c r="AV2" s="670"/>
      <c r="AW2" s="670"/>
      <c r="AX2" s="670"/>
      <c r="AY2" s="670"/>
      <c r="AZ2" s="670"/>
      <c r="BA2" s="670"/>
      <c r="BB2" s="670"/>
      <c r="BC2" s="670"/>
      <c r="BD2" s="670"/>
      <c r="BE2" s="670"/>
      <c r="BF2" s="670"/>
      <c r="BG2" s="670"/>
      <c r="BH2" s="670"/>
      <c r="BI2" s="670"/>
      <c r="BJ2" s="670"/>
      <c r="BK2" s="670"/>
      <c r="BL2" s="670"/>
      <c r="BM2" s="670"/>
      <c r="BN2" s="670"/>
      <c r="BO2" s="670"/>
      <c r="BP2" s="670"/>
      <c r="BQ2" s="670"/>
      <c r="BR2" s="670"/>
      <c r="BS2" s="670"/>
      <c r="BT2" s="670"/>
      <c r="BU2" s="670"/>
      <c r="BV2" s="670"/>
      <c r="BW2" s="670"/>
      <c r="BX2" s="670"/>
      <c r="BY2" s="670"/>
      <c r="BZ2" s="670"/>
      <c r="CA2" s="670"/>
      <c r="CB2" s="670"/>
      <c r="CC2" s="670"/>
      <c r="CD2" s="670"/>
      <c r="CE2" s="670"/>
      <c r="CF2" s="670"/>
      <c r="CG2" s="670"/>
      <c r="CH2" s="670"/>
      <c r="CI2" s="670"/>
      <c r="CJ2" s="670"/>
      <c r="CK2" s="670"/>
      <c r="CL2" s="670"/>
      <c r="CM2" s="670"/>
      <c r="CN2" s="670"/>
      <c r="CO2" s="670"/>
    </row>
    <row r="3" spans="1:93">
      <c r="A3" s="1590"/>
      <c r="B3" s="670"/>
      <c r="C3" s="670"/>
      <c r="D3" s="655"/>
      <c r="E3" s="670"/>
      <c r="F3" s="655"/>
      <c r="G3" s="670"/>
      <c r="H3" s="670"/>
      <c r="I3" s="670"/>
      <c r="J3" s="1439"/>
      <c r="K3" s="1355"/>
      <c r="L3" s="655"/>
      <c r="M3" s="655"/>
      <c r="N3" s="655"/>
      <c r="O3" s="655"/>
      <c r="P3" s="670"/>
      <c r="Q3" s="670"/>
      <c r="R3" s="655"/>
      <c r="S3" s="670"/>
      <c r="T3" s="670"/>
      <c r="U3" s="670"/>
      <c r="V3" s="670"/>
      <c r="W3" s="670"/>
      <c r="X3" s="670"/>
      <c r="Y3" s="670"/>
      <c r="Z3" s="670"/>
      <c r="AA3" s="670"/>
      <c r="AB3" s="670"/>
      <c r="AC3" s="670"/>
      <c r="AD3" s="670"/>
      <c r="AE3" s="670"/>
      <c r="AF3" s="670"/>
      <c r="AG3" s="670"/>
      <c r="AH3" s="670"/>
      <c r="AI3" s="670"/>
      <c r="AJ3" s="670"/>
      <c r="AK3" s="670"/>
      <c r="AL3" s="670"/>
      <c r="AM3" s="670"/>
      <c r="AN3" s="670"/>
      <c r="AO3" s="670"/>
      <c r="AP3" s="670"/>
      <c r="AQ3" s="670"/>
      <c r="AR3" s="670"/>
      <c r="AS3" s="670"/>
      <c r="AT3" s="670"/>
      <c r="AU3" s="670"/>
      <c r="AV3" s="670"/>
      <c r="AW3" s="670"/>
      <c r="AX3" s="670"/>
      <c r="AY3" s="670"/>
      <c r="AZ3" s="670"/>
      <c r="BA3" s="670"/>
      <c r="BB3" s="670"/>
      <c r="BC3" s="670"/>
      <c r="BD3" s="670"/>
      <c r="BE3" s="670"/>
      <c r="BF3" s="670"/>
      <c r="BG3" s="670"/>
      <c r="BH3" s="670"/>
      <c r="BI3" s="670"/>
      <c r="BJ3" s="670"/>
      <c r="BK3" s="670"/>
      <c r="BL3" s="670"/>
      <c r="BM3" s="670"/>
      <c r="BN3" s="670"/>
      <c r="BO3" s="670"/>
      <c r="BP3" s="670"/>
      <c r="BQ3" s="670"/>
      <c r="BR3" s="670"/>
      <c r="BS3" s="670"/>
      <c r="BT3" s="670"/>
      <c r="BU3" s="670"/>
      <c r="BV3" s="670"/>
      <c r="BW3" s="670"/>
      <c r="BX3" s="670"/>
      <c r="BY3" s="670"/>
      <c r="BZ3" s="670"/>
      <c r="CA3" s="670"/>
      <c r="CB3" s="670"/>
      <c r="CC3" s="670"/>
      <c r="CD3" s="670"/>
      <c r="CE3" s="670"/>
      <c r="CF3" s="670"/>
      <c r="CG3" s="670"/>
      <c r="CH3" s="670"/>
      <c r="CI3" s="670"/>
      <c r="CJ3" s="670"/>
      <c r="CK3" s="670"/>
      <c r="CL3" s="670"/>
      <c r="CM3" s="670"/>
      <c r="CN3" s="670"/>
      <c r="CO3" s="670"/>
    </row>
    <row r="4" spans="1:93">
      <c r="A4" s="1590"/>
      <c r="B4" s="670"/>
      <c r="C4" s="670"/>
      <c r="D4" s="655"/>
      <c r="E4" s="670"/>
      <c r="F4" s="655"/>
      <c r="G4" s="670"/>
      <c r="H4" s="670"/>
      <c r="I4" s="670"/>
      <c r="J4" s="1439"/>
      <c r="K4" s="1355"/>
      <c r="L4" s="655"/>
      <c r="M4" s="655"/>
      <c r="N4" s="655"/>
      <c r="O4" s="655"/>
      <c r="P4" s="670"/>
      <c r="Q4" s="670"/>
      <c r="R4" s="655"/>
      <c r="S4" s="670"/>
      <c r="T4" s="670"/>
      <c r="U4" s="670"/>
      <c r="V4" s="670"/>
      <c r="W4" s="670"/>
      <c r="X4" s="670"/>
      <c r="Y4" s="670"/>
      <c r="Z4" s="670"/>
      <c r="AA4" s="670"/>
      <c r="AB4" s="670"/>
      <c r="AC4" s="670"/>
      <c r="AD4" s="670"/>
      <c r="AE4" s="670"/>
      <c r="AF4" s="670"/>
      <c r="AG4" s="670"/>
      <c r="AH4" s="670"/>
      <c r="AI4" s="670"/>
      <c r="AJ4" s="670"/>
      <c r="AK4" s="670"/>
      <c r="AL4" s="670"/>
      <c r="AM4" s="670"/>
      <c r="AN4" s="670"/>
      <c r="AO4" s="670"/>
      <c r="AP4" s="670"/>
      <c r="AQ4" s="670"/>
      <c r="AR4" s="670"/>
      <c r="AS4" s="670"/>
      <c r="AT4" s="670"/>
      <c r="AU4" s="670"/>
      <c r="AV4" s="670"/>
      <c r="AW4" s="670"/>
      <c r="AX4" s="670"/>
      <c r="AY4" s="670"/>
      <c r="AZ4" s="670"/>
      <c r="BA4" s="670"/>
      <c r="BB4" s="670"/>
      <c r="BC4" s="670"/>
      <c r="BD4" s="670"/>
      <c r="BE4" s="670"/>
      <c r="BF4" s="670"/>
      <c r="BG4" s="670"/>
      <c r="BH4" s="670"/>
      <c r="BI4" s="670"/>
      <c r="BJ4" s="670"/>
      <c r="BK4" s="670"/>
      <c r="BL4" s="670"/>
      <c r="BM4" s="670"/>
      <c r="BN4" s="670"/>
      <c r="BO4" s="670"/>
      <c r="BP4" s="670"/>
      <c r="BQ4" s="670"/>
      <c r="BR4" s="670"/>
      <c r="BS4" s="670"/>
      <c r="BT4" s="670"/>
      <c r="BU4" s="670"/>
      <c r="BV4" s="670"/>
      <c r="BW4" s="670"/>
      <c r="BX4" s="670"/>
      <c r="BY4" s="670"/>
      <c r="BZ4" s="670"/>
      <c r="CA4" s="670"/>
      <c r="CB4" s="670"/>
      <c r="CC4" s="670"/>
      <c r="CD4" s="670"/>
      <c r="CE4" s="670"/>
      <c r="CF4" s="670"/>
      <c r="CG4" s="670"/>
      <c r="CH4" s="670"/>
      <c r="CI4" s="670"/>
      <c r="CJ4" s="670"/>
      <c r="CK4" s="670"/>
      <c r="CL4" s="670"/>
      <c r="CM4" s="670"/>
      <c r="CN4" s="670"/>
      <c r="CO4" s="670"/>
    </row>
    <row r="5" spans="1:93">
      <c r="A5" s="1681" t="s">
        <v>386</v>
      </c>
      <c r="B5" s="674" t="s">
        <v>2248</v>
      </c>
      <c r="C5" s="674"/>
      <c r="D5" s="675"/>
      <c r="E5" s="674"/>
      <c r="F5" s="676"/>
      <c r="G5" s="676"/>
      <c r="H5" s="677"/>
      <c r="I5" s="677"/>
      <c r="J5" s="1572"/>
      <c r="K5" s="1353"/>
      <c r="L5" s="655"/>
      <c r="M5" s="655"/>
      <c r="N5" s="655"/>
      <c r="O5" s="655"/>
      <c r="P5" s="670"/>
      <c r="Q5" s="670"/>
      <c r="R5" s="655"/>
      <c r="S5" s="670"/>
      <c r="T5" s="670"/>
      <c r="U5" s="670"/>
      <c r="V5" s="670"/>
      <c r="W5" s="670"/>
      <c r="X5" s="670"/>
      <c r="Y5" s="670"/>
      <c r="Z5" s="670"/>
      <c r="AA5" s="670"/>
      <c r="AB5" s="670"/>
      <c r="AC5" s="670"/>
      <c r="AD5" s="670"/>
      <c r="AE5" s="670"/>
      <c r="AF5" s="670"/>
      <c r="AG5" s="670"/>
      <c r="AH5" s="670"/>
      <c r="AI5" s="670"/>
      <c r="AJ5" s="670"/>
      <c r="AK5" s="670"/>
      <c r="AL5" s="670"/>
      <c r="AM5" s="670"/>
      <c r="AN5" s="670"/>
      <c r="AO5" s="670"/>
      <c r="AP5" s="670"/>
      <c r="AQ5" s="670"/>
      <c r="AR5" s="670"/>
      <c r="AS5" s="670"/>
      <c r="AT5" s="670"/>
      <c r="AU5" s="670"/>
      <c r="AV5" s="670"/>
      <c r="AW5" s="670"/>
      <c r="AX5" s="670"/>
      <c r="AY5" s="670"/>
      <c r="AZ5" s="670"/>
      <c r="BA5" s="670"/>
      <c r="BB5" s="670"/>
      <c r="BC5" s="670"/>
      <c r="BD5" s="670"/>
      <c r="BE5" s="670"/>
      <c r="BF5" s="670"/>
      <c r="BG5" s="670"/>
      <c r="BH5" s="670"/>
      <c r="BI5" s="670"/>
      <c r="BJ5" s="670"/>
      <c r="BK5" s="670"/>
      <c r="BL5" s="670"/>
      <c r="BM5" s="670"/>
      <c r="BN5" s="670"/>
      <c r="BO5" s="670"/>
      <c r="BP5" s="670"/>
      <c r="BQ5" s="670"/>
      <c r="BR5" s="670"/>
      <c r="BS5" s="670"/>
      <c r="BT5" s="670"/>
      <c r="BU5" s="670"/>
      <c r="BV5" s="670"/>
      <c r="BW5" s="670"/>
      <c r="BX5" s="670"/>
      <c r="BY5" s="670"/>
      <c r="BZ5" s="670"/>
      <c r="CA5" s="670"/>
      <c r="CB5" s="670"/>
      <c r="CC5" s="670"/>
      <c r="CD5" s="670"/>
      <c r="CE5" s="670"/>
      <c r="CF5" s="670"/>
      <c r="CG5" s="670"/>
      <c r="CH5" s="670"/>
      <c r="CI5" s="670"/>
      <c r="CJ5" s="670"/>
      <c r="CK5" s="670"/>
      <c r="CL5" s="670"/>
      <c r="CM5" s="670"/>
      <c r="CN5" s="670"/>
      <c r="CO5" s="670"/>
    </row>
    <row r="6" spans="1:93">
      <c r="A6" s="1590"/>
      <c r="B6" s="670"/>
      <c r="C6" s="670"/>
      <c r="D6" s="655"/>
      <c r="E6" s="670"/>
      <c r="F6" s="655"/>
      <c r="G6" s="655"/>
      <c r="H6" s="670"/>
      <c r="I6" s="670"/>
      <c r="J6" s="1439"/>
      <c r="K6" s="1355"/>
      <c r="L6" s="655"/>
      <c r="M6" s="655"/>
      <c r="N6" s="655"/>
      <c r="O6" s="655"/>
      <c r="P6" s="670"/>
      <c r="Q6" s="670"/>
      <c r="R6" s="655"/>
      <c r="S6" s="670"/>
      <c r="T6" s="670"/>
      <c r="U6" s="670"/>
      <c r="V6" s="670"/>
      <c r="W6" s="670"/>
      <c r="X6" s="670"/>
      <c r="Y6" s="670"/>
      <c r="Z6" s="670"/>
      <c r="AA6" s="670"/>
      <c r="AB6" s="670"/>
      <c r="AC6" s="670"/>
      <c r="AD6" s="670"/>
      <c r="AE6" s="670"/>
      <c r="AF6" s="670"/>
      <c r="AG6" s="670"/>
      <c r="AH6" s="670"/>
      <c r="AI6" s="670"/>
      <c r="AJ6" s="670"/>
      <c r="AK6" s="670"/>
      <c r="AL6" s="670"/>
      <c r="AM6" s="670"/>
      <c r="AN6" s="670"/>
      <c r="AO6" s="670"/>
      <c r="AP6" s="670"/>
      <c r="AQ6" s="670"/>
      <c r="AR6" s="670"/>
      <c r="AS6" s="670"/>
      <c r="AT6" s="670"/>
      <c r="AU6" s="670"/>
      <c r="AV6" s="670"/>
      <c r="AW6" s="670"/>
      <c r="AX6" s="670"/>
      <c r="AY6" s="670"/>
      <c r="AZ6" s="670"/>
      <c r="BA6" s="670"/>
      <c r="BB6" s="670"/>
      <c r="BC6" s="670"/>
      <c r="BD6" s="670"/>
      <c r="BE6" s="670"/>
      <c r="BF6" s="670"/>
      <c r="BG6" s="670"/>
      <c r="BH6" s="670"/>
      <c r="BI6" s="670"/>
      <c r="BJ6" s="670"/>
      <c r="BK6" s="670"/>
      <c r="BL6" s="670"/>
      <c r="BM6" s="670"/>
      <c r="BN6" s="670"/>
      <c r="BO6" s="670"/>
      <c r="BP6" s="670"/>
      <c r="BQ6" s="670"/>
      <c r="BR6" s="670"/>
      <c r="BS6" s="670"/>
      <c r="BT6" s="670"/>
      <c r="BU6" s="670"/>
      <c r="BV6" s="670"/>
      <c r="BW6" s="670"/>
      <c r="BX6" s="670"/>
      <c r="BY6" s="670"/>
      <c r="BZ6" s="670"/>
      <c r="CA6" s="670"/>
      <c r="CB6" s="670"/>
      <c r="CC6" s="670"/>
      <c r="CD6" s="670"/>
      <c r="CE6" s="670"/>
      <c r="CF6" s="670"/>
      <c r="CG6" s="670"/>
      <c r="CH6" s="670"/>
      <c r="CI6" s="670"/>
      <c r="CJ6" s="670"/>
      <c r="CK6" s="670"/>
      <c r="CL6" s="670"/>
      <c r="CM6" s="670"/>
      <c r="CN6" s="670"/>
      <c r="CO6" s="670"/>
    </row>
    <row r="7" spans="1:93">
      <c r="A7" s="1590"/>
      <c r="B7" s="682" t="s">
        <v>1110</v>
      </c>
      <c r="C7" s="682"/>
      <c r="D7" s="683"/>
      <c r="E7" s="682"/>
      <c r="F7" s="655"/>
      <c r="G7" s="655"/>
      <c r="H7" s="655"/>
      <c r="I7" s="670"/>
      <c r="J7" s="1439"/>
      <c r="K7" s="1355"/>
      <c r="L7" s="655"/>
      <c r="M7" s="655"/>
      <c r="N7" s="655"/>
      <c r="O7" s="655"/>
      <c r="P7" s="670"/>
      <c r="Q7" s="670"/>
      <c r="R7" s="655"/>
      <c r="S7" s="670"/>
      <c r="T7" s="670"/>
      <c r="U7" s="670"/>
      <c r="V7" s="670"/>
      <c r="W7" s="670"/>
      <c r="X7" s="670"/>
      <c r="Y7" s="670"/>
      <c r="Z7" s="670"/>
      <c r="AA7" s="670"/>
      <c r="AB7" s="670"/>
      <c r="AC7" s="670"/>
      <c r="AD7" s="670"/>
      <c r="AE7" s="670"/>
      <c r="AF7" s="670"/>
      <c r="AG7" s="670"/>
      <c r="AH7" s="670"/>
      <c r="AI7" s="670"/>
      <c r="AJ7" s="670"/>
      <c r="AK7" s="670"/>
      <c r="AL7" s="670"/>
      <c r="AM7" s="670"/>
      <c r="AN7" s="670"/>
      <c r="AO7" s="670"/>
      <c r="AP7" s="670"/>
      <c r="AQ7" s="670"/>
      <c r="AR7" s="670"/>
      <c r="AS7" s="670"/>
      <c r="AT7" s="670"/>
      <c r="AU7" s="670"/>
      <c r="AV7" s="670"/>
      <c r="AW7" s="670"/>
      <c r="AX7" s="670"/>
      <c r="AY7" s="670"/>
      <c r="AZ7" s="670"/>
      <c r="BA7" s="670"/>
      <c r="BB7" s="670"/>
      <c r="BC7" s="670"/>
      <c r="BD7" s="670"/>
      <c r="BE7" s="670"/>
      <c r="BF7" s="670"/>
      <c r="BG7" s="670"/>
      <c r="BH7" s="670"/>
      <c r="BI7" s="670"/>
      <c r="BJ7" s="670"/>
      <c r="BK7" s="670"/>
      <c r="BL7" s="670"/>
      <c r="BM7" s="670"/>
      <c r="BN7" s="670"/>
      <c r="BO7" s="670"/>
      <c r="BP7" s="670"/>
      <c r="BQ7" s="670"/>
      <c r="BR7" s="670"/>
      <c r="BS7" s="670"/>
      <c r="BT7" s="670"/>
      <c r="BU7" s="670"/>
      <c r="BV7" s="670"/>
      <c r="BW7" s="670"/>
      <c r="BX7" s="670"/>
      <c r="BY7" s="670"/>
      <c r="BZ7" s="670"/>
      <c r="CA7" s="670"/>
      <c r="CB7" s="670"/>
      <c r="CC7" s="670"/>
      <c r="CD7" s="670"/>
      <c r="CE7" s="670"/>
      <c r="CF7" s="670"/>
      <c r="CG7" s="670"/>
      <c r="CH7" s="670"/>
      <c r="CI7" s="670"/>
      <c r="CJ7" s="670"/>
      <c r="CK7" s="670"/>
      <c r="CL7" s="670"/>
      <c r="CM7" s="670"/>
      <c r="CN7" s="670"/>
      <c r="CO7" s="670"/>
    </row>
    <row r="8" spans="1:93">
      <c r="A8" s="1590"/>
      <c r="B8" s="670"/>
      <c r="C8" s="670"/>
      <c r="D8" s="655"/>
      <c r="E8" s="670"/>
      <c r="F8" s="655"/>
      <c r="G8" s="655"/>
      <c r="H8" s="670"/>
      <c r="I8" s="670"/>
      <c r="J8" s="1439"/>
      <c r="K8" s="1355"/>
      <c r="L8" s="655"/>
      <c r="M8" s="655"/>
      <c r="N8" s="655"/>
      <c r="O8" s="655"/>
      <c r="P8" s="670"/>
      <c r="Q8" s="670"/>
      <c r="R8" s="655"/>
      <c r="S8" s="670"/>
      <c r="T8" s="670"/>
      <c r="U8" s="670"/>
      <c r="V8" s="670"/>
      <c r="W8" s="670"/>
      <c r="X8" s="670"/>
      <c r="Y8" s="670"/>
      <c r="Z8" s="670"/>
      <c r="AA8" s="670"/>
      <c r="AB8" s="670"/>
      <c r="AC8" s="670"/>
      <c r="AD8" s="670"/>
      <c r="AE8" s="670"/>
      <c r="AF8" s="670"/>
      <c r="AG8" s="670"/>
      <c r="AH8" s="670"/>
      <c r="AI8" s="670"/>
      <c r="AJ8" s="670"/>
      <c r="AK8" s="670"/>
      <c r="AL8" s="670"/>
      <c r="AM8" s="670"/>
      <c r="AN8" s="670"/>
      <c r="AO8" s="670"/>
      <c r="AP8" s="670"/>
      <c r="AQ8" s="670"/>
      <c r="AR8" s="670"/>
      <c r="AS8" s="670"/>
      <c r="AT8" s="670"/>
      <c r="AU8" s="670"/>
      <c r="AV8" s="670"/>
      <c r="AW8" s="670"/>
      <c r="AX8" s="670"/>
      <c r="AY8" s="670"/>
      <c r="AZ8" s="670"/>
      <c r="BA8" s="670"/>
      <c r="BB8" s="670"/>
      <c r="BC8" s="670"/>
      <c r="BD8" s="670"/>
      <c r="BE8" s="670"/>
      <c r="BF8" s="670"/>
      <c r="BG8" s="670"/>
      <c r="BH8" s="670"/>
      <c r="BI8" s="670"/>
      <c r="BJ8" s="670"/>
      <c r="BK8" s="670"/>
      <c r="BL8" s="670"/>
      <c r="BM8" s="670"/>
      <c r="BN8" s="670"/>
      <c r="BO8" s="670"/>
      <c r="BP8" s="670"/>
      <c r="BQ8" s="670"/>
      <c r="BR8" s="670"/>
      <c r="BS8" s="670"/>
      <c r="BT8" s="670"/>
      <c r="BU8" s="670"/>
      <c r="BV8" s="670"/>
      <c r="BW8" s="670"/>
      <c r="BX8" s="670"/>
      <c r="BY8" s="670"/>
      <c r="BZ8" s="670"/>
      <c r="CA8" s="670"/>
      <c r="CB8" s="670"/>
      <c r="CC8" s="670"/>
      <c r="CD8" s="670"/>
      <c r="CE8" s="670"/>
      <c r="CF8" s="670"/>
      <c r="CG8" s="670"/>
      <c r="CH8" s="670"/>
      <c r="CI8" s="670"/>
      <c r="CJ8" s="670"/>
      <c r="CK8" s="670"/>
      <c r="CL8" s="670"/>
      <c r="CM8" s="670"/>
      <c r="CN8" s="670"/>
      <c r="CO8" s="670"/>
    </row>
    <row r="9" spans="1:93">
      <c r="A9" s="1590"/>
      <c r="B9" s="670"/>
      <c r="C9" s="670"/>
      <c r="D9" s="684" t="s">
        <v>3508</v>
      </c>
      <c r="E9" s="670"/>
      <c r="F9" s="1350" t="s">
        <v>2671</v>
      </c>
      <c r="G9" s="1333"/>
      <c r="H9" s="670"/>
      <c r="I9" s="681"/>
      <c r="J9" s="1682" t="s">
        <v>2190</v>
      </c>
      <c r="K9" s="1355"/>
      <c r="L9" s="655"/>
      <c r="M9" s="655"/>
      <c r="N9" s="655"/>
      <c r="O9" s="655"/>
      <c r="P9" s="670"/>
      <c r="Q9" s="670"/>
      <c r="R9" s="655"/>
      <c r="S9" s="670"/>
      <c r="T9" s="670"/>
      <c r="U9" s="670"/>
      <c r="V9" s="670"/>
      <c r="W9" s="670"/>
      <c r="X9" s="670"/>
      <c r="Y9" s="670"/>
      <c r="Z9" s="670"/>
      <c r="AA9" s="670"/>
      <c r="AB9" s="670"/>
      <c r="AC9" s="670"/>
      <c r="AD9" s="670"/>
      <c r="AE9" s="670"/>
      <c r="AF9" s="670"/>
      <c r="AG9" s="670"/>
      <c r="AH9" s="670"/>
      <c r="AI9" s="670"/>
      <c r="AJ9" s="670"/>
      <c r="AK9" s="670"/>
      <c r="AL9" s="670"/>
      <c r="AM9" s="670"/>
      <c r="AN9" s="670"/>
      <c r="AO9" s="670"/>
      <c r="AP9" s="670"/>
      <c r="AQ9" s="670"/>
      <c r="AR9" s="670"/>
      <c r="AS9" s="670"/>
      <c r="AT9" s="670"/>
      <c r="AU9" s="670"/>
      <c r="AV9" s="670"/>
      <c r="AW9" s="670"/>
      <c r="AX9" s="670"/>
      <c r="AY9" s="670"/>
      <c r="AZ9" s="670"/>
      <c r="BA9" s="670"/>
      <c r="BB9" s="670"/>
      <c r="BC9" s="670"/>
      <c r="BD9" s="670"/>
      <c r="BE9" s="670"/>
      <c r="BF9" s="670"/>
      <c r="BG9" s="670"/>
      <c r="BH9" s="670"/>
      <c r="BI9" s="670"/>
      <c r="BJ9" s="670"/>
      <c r="BK9" s="670"/>
      <c r="BL9" s="670"/>
      <c r="BM9" s="670"/>
      <c r="BN9" s="670"/>
      <c r="BO9" s="670"/>
      <c r="BP9" s="670"/>
      <c r="BQ9" s="670"/>
      <c r="BR9" s="670"/>
      <c r="BS9" s="670"/>
      <c r="BT9" s="670"/>
      <c r="BU9" s="670"/>
      <c r="BV9" s="670"/>
      <c r="BW9" s="670"/>
      <c r="BX9" s="670"/>
      <c r="BY9" s="670"/>
      <c r="BZ9" s="670"/>
      <c r="CA9" s="670"/>
      <c r="CB9" s="670"/>
      <c r="CC9" s="670"/>
      <c r="CD9" s="670"/>
      <c r="CE9" s="670"/>
      <c r="CF9" s="670"/>
      <c r="CG9" s="670"/>
      <c r="CH9" s="670"/>
      <c r="CI9" s="670"/>
      <c r="CJ9" s="670"/>
      <c r="CK9" s="670"/>
      <c r="CL9" s="670"/>
      <c r="CM9" s="670"/>
      <c r="CN9" s="670"/>
      <c r="CO9" s="670"/>
    </row>
    <row r="10" spans="1:93">
      <c r="A10" s="1590"/>
      <c r="B10" s="1332" t="s">
        <v>2249</v>
      </c>
      <c r="C10" s="1332"/>
      <c r="D10" s="658">
        <f>-SUM('TRAIL BALANCE'!S2)</f>
        <v>4533786.2</v>
      </c>
      <c r="E10" s="1332"/>
      <c r="F10" s="658">
        <f>-SUM('TRAIL BALANCE'!G2)</f>
        <v>4413961.93</v>
      </c>
      <c r="G10" s="655"/>
      <c r="H10" s="655"/>
      <c r="I10" s="681"/>
      <c r="J10" s="1448">
        <f>-SUM('TRAIL BALANCE'!E2)</f>
        <v>3895935.53</v>
      </c>
      <c r="K10" s="1355"/>
      <c r="L10" s="655"/>
      <c r="M10" s="655"/>
      <c r="N10" s="655"/>
      <c r="O10" s="655"/>
      <c r="P10" s="670"/>
      <c r="Q10" s="670"/>
      <c r="R10" s="655"/>
      <c r="S10" s="670"/>
      <c r="T10" s="670"/>
      <c r="U10" s="670"/>
      <c r="V10" s="670"/>
      <c r="W10" s="670"/>
      <c r="X10" s="670"/>
      <c r="Y10" s="670"/>
      <c r="Z10" s="670"/>
      <c r="AA10" s="670"/>
      <c r="AB10" s="670"/>
      <c r="AC10" s="670"/>
      <c r="AD10" s="670"/>
      <c r="AE10" s="670"/>
      <c r="AF10" s="670"/>
      <c r="AG10" s="670"/>
      <c r="AH10" s="670"/>
      <c r="AI10" s="670"/>
      <c r="AJ10" s="670"/>
      <c r="AK10" s="670"/>
      <c r="AL10" s="670"/>
      <c r="AM10" s="670"/>
      <c r="AN10" s="670"/>
      <c r="AO10" s="670"/>
      <c r="AP10" s="670"/>
      <c r="AQ10" s="670"/>
      <c r="AR10" s="670"/>
      <c r="AS10" s="670"/>
      <c r="AT10" s="670"/>
      <c r="AU10" s="670"/>
      <c r="AV10" s="670"/>
      <c r="AW10" s="670"/>
      <c r="AX10" s="670"/>
      <c r="AY10" s="670"/>
      <c r="AZ10" s="670"/>
      <c r="BA10" s="670"/>
      <c r="BB10" s="670"/>
      <c r="BC10" s="670"/>
      <c r="BD10" s="670"/>
      <c r="BE10" s="670"/>
      <c r="BF10" s="670"/>
      <c r="BG10" s="670"/>
      <c r="BH10" s="670"/>
      <c r="BI10" s="670"/>
      <c r="BJ10" s="670"/>
      <c r="BK10" s="670"/>
      <c r="BL10" s="670"/>
      <c r="BM10" s="670"/>
      <c r="BN10" s="670"/>
      <c r="BO10" s="670"/>
      <c r="BP10" s="670"/>
      <c r="BQ10" s="670"/>
      <c r="BR10" s="670"/>
      <c r="BS10" s="670"/>
      <c r="BT10" s="670"/>
      <c r="BU10" s="670"/>
      <c r="BV10" s="670"/>
      <c r="BW10" s="670"/>
      <c r="BX10" s="670"/>
      <c r="BY10" s="670"/>
      <c r="BZ10" s="670"/>
      <c r="CA10" s="670"/>
      <c r="CB10" s="670"/>
      <c r="CC10" s="670"/>
      <c r="CD10" s="670"/>
      <c r="CE10" s="670"/>
      <c r="CF10" s="670"/>
      <c r="CG10" s="670"/>
      <c r="CH10" s="670"/>
      <c r="CI10" s="670"/>
      <c r="CJ10" s="670"/>
      <c r="CK10" s="670"/>
      <c r="CL10" s="670"/>
      <c r="CM10" s="670"/>
      <c r="CN10" s="670"/>
      <c r="CO10" s="670"/>
    </row>
    <row r="11" spans="1:93">
      <c r="A11" s="1590"/>
      <c r="B11" s="1332" t="s">
        <v>1580</v>
      </c>
      <c r="C11" s="1332"/>
      <c r="D11" s="659">
        <f>-SUM('TRAIL BALANCE'!S5)</f>
        <v>2752108.07</v>
      </c>
      <c r="E11" s="1332"/>
      <c r="F11" s="659">
        <f>-SUM('TRAIL BALANCE'!G5)</f>
        <v>2564443.09</v>
      </c>
      <c r="G11" s="655"/>
      <c r="H11" s="670"/>
      <c r="I11" s="681"/>
      <c r="J11" s="1444">
        <f>-SUM('TRAIL BALANCE'!E5)</f>
        <v>1192909.3799999999</v>
      </c>
      <c r="K11" s="1355"/>
      <c r="L11" s="685" t="s">
        <v>45</v>
      </c>
      <c r="M11" s="655"/>
      <c r="N11" s="655"/>
      <c r="O11" s="655"/>
      <c r="P11" s="670"/>
      <c r="Q11" s="670"/>
      <c r="R11" s="655"/>
      <c r="S11" s="670"/>
      <c r="T11" s="670"/>
      <c r="U11" s="670"/>
      <c r="V11" s="670"/>
      <c r="W11" s="670"/>
      <c r="X11" s="670"/>
      <c r="Y11" s="670"/>
      <c r="Z11" s="670"/>
      <c r="AA11" s="670"/>
      <c r="AB11" s="670"/>
      <c r="AC11" s="670"/>
      <c r="AD11" s="670"/>
      <c r="AE11" s="670"/>
      <c r="AF11" s="670"/>
      <c r="AG11" s="670"/>
      <c r="AH11" s="670"/>
      <c r="AI11" s="670"/>
      <c r="AJ11" s="670"/>
      <c r="AK11" s="670"/>
      <c r="AL11" s="670"/>
      <c r="AM11" s="670"/>
      <c r="AN11" s="670"/>
      <c r="AO11" s="670"/>
      <c r="AP11" s="670"/>
      <c r="AQ11" s="670"/>
      <c r="AR11" s="670"/>
      <c r="AS11" s="670"/>
      <c r="AT11" s="670"/>
      <c r="AU11" s="670"/>
      <c r="AV11" s="670"/>
      <c r="AW11" s="670"/>
      <c r="AX11" s="670"/>
      <c r="AY11" s="670"/>
      <c r="AZ11" s="670"/>
      <c r="BA11" s="670"/>
      <c r="BB11" s="670"/>
      <c r="BC11" s="670"/>
      <c r="BD11" s="670"/>
      <c r="BE11" s="670"/>
      <c r="BF11" s="670"/>
      <c r="BG11" s="670"/>
      <c r="BH11" s="670"/>
      <c r="BI11" s="670"/>
      <c r="BJ11" s="670"/>
      <c r="BK11" s="670"/>
      <c r="BL11" s="670"/>
      <c r="BM11" s="670"/>
      <c r="BN11" s="670"/>
      <c r="BO11" s="670"/>
      <c r="BP11" s="670"/>
      <c r="BQ11" s="670"/>
      <c r="BR11" s="670"/>
      <c r="BS11" s="670"/>
      <c r="BT11" s="670"/>
      <c r="BU11" s="670"/>
      <c r="BV11" s="670"/>
      <c r="BW11" s="670"/>
      <c r="BX11" s="670"/>
      <c r="BY11" s="670"/>
      <c r="BZ11" s="670"/>
      <c r="CA11" s="670"/>
      <c r="CB11" s="670"/>
      <c r="CC11" s="670"/>
      <c r="CD11" s="670"/>
      <c r="CE11" s="670"/>
      <c r="CF11" s="670"/>
      <c r="CG11" s="670"/>
      <c r="CH11" s="670"/>
      <c r="CI11" s="670"/>
      <c r="CJ11" s="670"/>
      <c r="CK11" s="670"/>
      <c r="CL11" s="670"/>
      <c r="CM11" s="670"/>
      <c r="CN11" s="670"/>
      <c r="CO11" s="670"/>
    </row>
    <row r="12" spans="1:93">
      <c r="A12" s="1590"/>
      <c r="B12" s="1332" t="s">
        <v>2250</v>
      </c>
      <c r="C12" s="1332"/>
      <c r="D12" s="659">
        <f>-SUM('TRAIL BALANCE'!S4)</f>
        <v>1783100.34</v>
      </c>
      <c r="E12" s="1332"/>
      <c r="F12" s="659">
        <f>-SUM('TRAIL BALANCE'!G4)</f>
        <v>1368166.81</v>
      </c>
      <c r="G12" s="655"/>
      <c r="H12" s="655"/>
      <c r="I12" s="681"/>
      <c r="J12" s="1444">
        <f>-SUM('TRAIL BALANCE'!E4)</f>
        <v>1432991.23</v>
      </c>
      <c r="K12" s="1355"/>
      <c r="L12" s="655"/>
      <c r="M12" s="655"/>
      <c r="N12" s="655"/>
      <c r="O12" s="655"/>
      <c r="P12" s="670"/>
      <c r="Q12" s="670"/>
      <c r="R12" s="655"/>
      <c r="S12" s="670"/>
      <c r="T12" s="670"/>
      <c r="U12" s="670"/>
      <c r="V12" s="670"/>
      <c r="W12" s="670"/>
      <c r="X12" s="670"/>
      <c r="Y12" s="670"/>
      <c r="Z12" s="670"/>
      <c r="AA12" s="670"/>
      <c r="AB12" s="670"/>
      <c r="AC12" s="670"/>
      <c r="AD12" s="670"/>
      <c r="AE12" s="670"/>
      <c r="AF12" s="670"/>
      <c r="AG12" s="670"/>
      <c r="AH12" s="670"/>
      <c r="AI12" s="670"/>
      <c r="AJ12" s="670"/>
      <c r="AK12" s="670"/>
      <c r="AL12" s="670"/>
      <c r="AM12" s="670"/>
      <c r="AN12" s="670"/>
      <c r="AO12" s="670"/>
      <c r="AP12" s="670"/>
      <c r="AQ12" s="670"/>
      <c r="AR12" s="670"/>
      <c r="AS12" s="670"/>
      <c r="AT12" s="670"/>
      <c r="AU12" s="670"/>
      <c r="AV12" s="670"/>
      <c r="AW12" s="670"/>
      <c r="AX12" s="670"/>
      <c r="AY12" s="670"/>
      <c r="AZ12" s="670"/>
      <c r="BA12" s="670"/>
      <c r="BB12" s="670"/>
      <c r="BC12" s="670"/>
      <c r="BD12" s="670"/>
      <c r="BE12" s="670"/>
      <c r="BF12" s="670"/>
      <c r="BG12" s="670"/>
      <c r="BH12" s="670"/>
      <c r="BI12" s="670"/>
      <c r="BJ12" s="670"/>
      <c r="BK12" s="670"/>
      <c r="BL12" s="670"/>
      <c r="BM12" s="670"/>
      <c r="BN12" s="670"/>
      <c r="BO12" s="670"/>
      <c r="BP12" s="670"/>
      <c r="BQ12" s="670"/>
      <c r="BR12" s="670"/>
      <c r="BS12" s="670"/>
      <c r="BT12" s="670"/>
      <c r="BU12" s="670"/>
      <c r="BV12" s="670"/>
      <c r="BW12" s="670"/>
      <c r="BX12" s="670"/>
      <c r="BY12" s="670"/>
      <c r="BZ12" s="670"/>
      <c r="CA12" s="670"/>
      <c r="CB12" s="670"/>
      <c r="CC12" s="670"/>
      <c r="CD12" s="670"/>
      <c r="CE12" s="670"/>
      <c r="CF12" s="670"/>
      <c r="CG12" s="670"/>
      <c r="CH12" s="670"/>
      <c r="CI12" s="670"/>
      <c r="CJ12" s="670"/>
      <c r="CK12" s="670"/>
      <c r="CL12" s="670"/>
      <c r="CM12" s="670"/>
      <c r="CN12" s="670"/>
      <c r="CO12" s="670"/>
    </row>
    <row r="13" spans="1:93">
      <c r="A13" s="1590"/>
      <c r="B13" s="1332" t="s">
        <v>1581</v>
      </c>
      <c r="C13" s="1332"/>
      <c r="D13" s="659">
        <f>-SUM('TRAIL BALANCE'!S3)</f>
        <v>388601.39</v>
      </c>
      <c r="E13" s="1332"/>
      <c r="F13" s="659">
        <f>-SUM('TRAIL BALANCE'!G3)</f>
        <v>367080.3</v>
      </c>
      <c r="G13" s="655"/>
      <c r="H13" s="670"/>
      <c r="I13" s="681"/>
      <c r="J13" s="1444">
        <f>-SUM('TRAIL BALANCE'!E3)</f>
        <v>316494.03000000003</v>
      </c>
      <c r="K13" s="1355"/>
      <c r="L13" s="655"/>
      <c r="M13" s="655"/>
      <c r="N13" s="655"/>
      <c r="O13" s="655"/>
      <c r="P13" s="670"/>
      <c r="Q13" s="670"/>
      <c r="R13" s="655"/>
      <c r="S13" s="670"/>
      <c r="T13" s="670"/>
      <c r="U13" s="670"/>
      <c r="V13" s="670"/>
      <c r="W13" s="670"/>
      <c r="X13" s="670"/>
      <c r="Y13" s="670"/>
      <c r="Z13" s="670"/>
      <c r="AA13" s="670"/>
      <c r="AB13" s="670"/>
      <c r="AC13" s="670"/>
      <c r="AD13" s="670"/>
      <c r="AE13" s="670"/>
      <c r="AF13" s="670"/>
      <c r="AG13" s="670"/>
      <c r="AH13" s="670"/>
      <c r="AI13" s="670"/>
      <c r="AJ13" s="670"/>
      <c r="AK13" s="670"/>
      <c r="AL13" s="670"/>
      <c r="AM13" s="670"/>
      <c r="AN13" s="670"/>
      <c r="AO13" s="670"/>
      <c r="AP13" s="670"/>
      <c r="AQ13" s="670"/>
      <c r="AR13" s="670"/>
      <c r="AS13" s="670"/>
      <c r="AT13" s="670"/>
      <c r="AU13" s="670"/>
      <c r="AV13" s="670"/>
      <c r="AW13" s="670"/>
      <c r="AX13" s="670"/>
      <c r="AY13" s="670"/>
      <c r="AZ13" s="670"/>
      <c r="BA13" s="670"/>
      <c r="BB13" s="670"/>
      <c r="BC13" s="670"/>
      <c r="BD13" s="670"/>
      <c r="BE13" s="670"/>
      <c r="BF13" s="670"/>
      <c r="BG13" s="670"/>
      <c r="BH13" s="670"/>
      <c r="BI13" s="670"/>
      <c r="BJ13" s="670"/>
      <c r="BK13" s="670"/>
      <c r="BL13" s="670"/>
      <c r="BM13" s="670"/>
      <c r="BN13" s="670"/>
      <c r="BO13" s="670"/>
      <c r="BP13" s="670"/>
      <c r="BQ13" s="670"/>
      <c r="BR13" s="670"/>
      <c r="BS13" s="670"/>
      <c r="BT13" s="670"/>
      <c r="BU13" s="670"/>
      <c r="BV13" s="670"/>
      <c r="BW13" s="670"/>
      <c r="BX13" s="670"/>
      <c r="BY13" s="670"/>
      <c r="BZ13" s="670"/>
      <c r="CA13" s="670"/>
      <c r="CB13" s="670"/>
      <c r="CC13" s="670"/>
      <c r="CD13" s="670"/>
      <c r="CE13" s="670"/>
      <c r="CF13" s="670"/>
      <c r="CG13" s="670"/>
      <c r="CH13" s="670"/>
      <c r="CI13" s="670"/>
      <c r="CJ13" s="670"/>
      <c r="CK13" s="670"/>
      <c r="CL13" s="670"/>
      <c r="CM13" s="670"/>
      <c r="CN13" s="670"/>
      <c r="CO13" s="670"/>
    </row>
    <row r="14" spans="1:93">
      <c r="A14" s="1590"/>
      <c r="B14" s="1332" t="s">
        <v>2251</v>
      </c>
      <c r="C14" s="1332"/>
      <c r="D14" s="686"/>
      <c r="E14" s="1332"/>
      <c r="F14" s="659"/>
      <c r="G14" s="655"/>
      <c r="H14" s="655"/>
      <c r="I14" s="681"/>
      <c r="J14" s="1439"/>
      <c r="K14" s="1355"/>
      <c r="L14" s="655"/>
      <c r="M14" s="655"/>
      <c r="N14" s="655"/>
      <c r="O14" s="655"/>
      <c r="P14" s="670"/>
      <c r="Q14" s="670"/>
      <c r="R14" s="655"/>
      <c r="S14" s="670"/>
      <c r="T14" s="670"/>
      <c r="U14" s="670"/>
      <c r="V14" s="670"/>
      <c r="W14" s="670"/>
      <c r="X14" s="670"/>
      <c r="Y14" s="670"/>
      <c r="Z14" s="670"/>
      <c r="AA14" s="670"/>
      <c r="AB14" s="670"/>
      <c r="AC14" s="670"/>
      <c r="AD14" s="670"/>
      <c r="AE14" s="670"/>
      <c r="AF14" s="670"/>
      <c r="AG14" s="670"/>
      <c r="AH14" s="670"/>
      <c r="AI14" s="670"/>
      <c r="AJ14" s="670"/>
      <c r="AK14" s="670"/>
      <c r="AL14" s="670"/>
      <c r="AM14" s="670"/>
      <c r="AN14" s="670"/>
      <c r="AO14" s="670"/>
      <c r="AP14" s="670"/>
      <c r="AQ14" s="670"/>
      <c r="AR14" s="670"/>
      <c r="AS14" s="670"/>
      <c r="AT14" s="670"/>
      <c r="AU14" s="670"/>
      <c r="AV14" s="670"/>
      <c r="AW14" s="670"/>
      <c r="AX14" s="670"/>
      <c r="AY14" s="670"/>
      <c r="AZ14" s="670"/>
      <c r="BA14" s="670"/>
      <c r="BB14" s="670"/>
      <c r="BC14" s="670"/>
      <c r="BD14" s="670"/>
      <c r="BE14" s="670"/>
      <c r="BF14" s="670"/>
      <c r="BG14" s="670"/>
      <c r="BH14" s="670"/>
      <c r="BI14" s="670"/>
      <c r="BJ14" s="670"/>
      <c r="BK14" s="670"/>
      <c r="BL14" s="670"/>
      <c r="BM14" s="670"/>
      <c r="BN14" s="670"/>
      <c r="BO14" s="670"/>
      <c r="BP14" s="670"/>
      <c r="BQ14" s="670"/>
      <c r="BR14" s="670"/>
      <c r="BS14" s="670"/>
      <c r="BT14" s="670"/>
      <c r="BU14" s="670"/>
      <c r="BV14" s="670"/>
      <c r="BW14" s="670"/>
      <c r="BX14" s="670"/>
      <c r="BY14" s="670"/>
      <c r="BZ14" s="670"/>
      <c r="CA14" s="670"/>
      <c r="CB14" s="670"/>
      <c r="CC14" s="670"/>
      <c r="CD14" s="670"/>
      <c r="CE14" s="670"/>
      <c r="CF14" s="670"/>
      <c r="CG14" s="670"/>
      <c r="CH14" s="670"/>
      <c r="CI14" s="670"/>
      <c r="CJ14" s="670"/>
      <c r="CK14" s="670"/>
      <c r="CL14" s="670"/>
      <c r="CM14" s="670"/>
      <c r="CN14" s="670"/>
      <c r="CO14" s="670"/>
    </row>
    <row r="15" spans="1:93">
      <c r="A15" s="1590"/>
      <c r="B15" s="682"/>
      <c r="C15" s="682"/>
      <c r="D15" s="687">
        <f>SUM(D10:D14)</f>
        <v>9457596</v>
      </c>
      <c r="E15" s="682"/>
      <c r="F15" s="687">
        <f>SUM(F10:F14)</f>
        <v>8713652.1300000008</v>
      </c>
      <c r="G15" s="688"/>
      <c r="H15" s="682"/>
      <c r="I15" s="689"/>
      <c r="J15" s="1683">
        <f>SUM(J10:J14)</f>
        <v>6838330.1700000009</v>
      </c>
      <c r="K15" s="1355"/>
      <c r="L15" s="655"/>
      <c r="M15" s="655"/>
      <c r="N15" s="655"/>
      <c r="O15" s="655"/>
      <c r="P15" s="670"/>
      <c r="Q15" s="670"/>
      <c r="R15" s="655"/>
      <c r="S15" s="670"/>
      <c r="T15" s="670"/>
      <c r="U15" s="670"/>
      <c r="V15" s="670"/>
      <c r="W15" s="670"/>
      <c r="X15" s="670"/>
      <c r="Y15" s="670"/>
      <c r="Z15" s="670"/>
      <c r="AA15" s="670"/>
      <c r="AB15" s="670"/>
      <c r="AC15" s="670"/>
      <c r="AD15" s="670"/>
      <c r="AE15" s="670"/>
      <c r="AF15" s="670"/>
      <c r="AG15" s="670"/>
      <c r="AH15" s="670"/>
      <c r="AI15" s="670"/>
      <c r="AJ15" s="670"/>
      <c r="AK15" s="670"/>
      <c r="AL15" s="670"/>
      <c r="AM15" s="670"/>
      <c r="AN15" s="670"/>
      <c r="AO15" s="670"/>
      <c r="AP15" s="670"/>
      <c r="AQ15" s="670"/>
      <c r="AR15" s="670"/>
      <c r="AS15" s="670"/>
      <c r="AT15" s="670"/>
      <c r="AU15" s="670"/>
      <c r="AV15" s="670"/>
      <c r="AW15" s="670"/>
      <c r="AX15" s="670"/>
      <c r="AY15" s="670"/>
      <c r="AZ15" s="670"/>
      <c r="BA15" s="670"/>
      <c r="BB15" s="670"/>
      <c r="BC15" s="670"/>
      <c r="BD15" s="670"/>
      <c r="BE15" s="670"/>
      <c r="BF15" s="670"/>
      <c r="BG15" s="670"/>
      <c r="BH15" s="670"/>
      <c r="BI15" s="670"/>
      <c r="BJ15" s="670"/>
      <c r="BK15" s="670"/>
      <c r="BL15" s="670"/>
      <c r="BM15" s="670"/>
      <c r="BN15" s="670"/>
      <c r="BO15" s="670"/>
      <c r="BP15" s="670"/>
      <c r="BQ15" s="670"/>
      <c r="BR15" s="670"/>
      <c r="BS15" s="670"/>
      <c r="BT15" s="670"/>
      <c r="BU15" s="670"/>
      <c r="BV15" s="670"/>
      <c r="BW15" s="670"/>
      <c r="BX15" s="670"/>
      <c r="BY15" s="670"/>
      <c r="BZ15" s="670"/>
      <c r="CA15" s="670"/>
      <c r="CB15" s="670"/>
      <c r="CC15" s="670"/>
      <c r="CD15" s="670"/>
      <c r="CE15" s="670"/>
      <c r="CF15" s="670"/>
      <c r="CG15" s="670"/>
      <c r="CH15" s="670"/>
      <c r="CI15" s="670"/>
      <c r="CJ15" s="670"/>
      <c r="CK15" s="670"/>
      <c r="CL15" s="670"/>
      <c r="CM15" s="670"/>
      <c r="CN15" s="670"/>
      <c r="CO15" s="670"/>
    </row>
    <row r="16" spans="1:93">
      <c r="A16" s="1590"/>
      <c r="B16" s="682"/>
      <c r="C16" s="682"/>
      <c r="D16" s="683"/>
      <c r="E16" s="682"/>
      <c r="F16" s="683"/>
      <c r="G16" s="683"/>
      <c r="H16" s="682"/>
      <c r="I16" s="682"/>
      <c r="J16" s="1446"/>
      <c r="K16" s="1355"/>
      <c r="L16" s="655"/>
      <c r="M16" s="655"/>
      <c r="N16" s="655"/>
      <c r="O16" s="655"/>
      <c r="P16" s="670"/>
      <c r="Q16" s="670"/>
      <c r="R16" s="655"/>
      <c r="S16" s="670"/>
      <c r="T16" s="670"/>
      <c r="U16" s="670"/>
      <c r="V16" s="670"/>
      <c r="W16" s="670"/>
      <c r="X16" s="670"/>
      <c r="Y16" s="670"/>
      <c r="Z16" s="670"/>
      <c r="AA16" s="670"/>
      <c r="AB16" s="670"/>
      <c r="AC16" s="670"/>
      <c r="AD16" s="670"/>
      <c r="AE16" s="670"/>
      <c r="AF16" s="670"/>
      <c r="AG16" s="670"/>
      <c r="AH16" s="670"/>
      <c r="AI16" s="670"/>
      <c r="AJ16" s="670"/>
      <c r="AK16" s="670"/>
      <c r="AL16" s="670"/>
      <c r="AM16" s="670"/>
      <c r="AN16" s="670"/>
      <c r="AO16" s="670"/>
      <c r="AP16" s="670"/>
      <c r="AQ16" s="670"/>
      <c r="AR16" s="670"/>
      <c r="AS16" s="670"/>
      <c r="AT16" s="670"/>
      <c r="AU16" s="670"/>
      <c r="AV16" s="670"/>
      <c r="AW16" s="670"/>
      <c r="AX16" s="670"/>
      <c r="AY16" s="670"/>
      <c r="AZ16" s="670"/>
      <c r="BA16" s="670"/>
      <c r="BB16" s="670"/>
      <c r="BC16" s="670"/>
      <c r="BD16" s="670"/>
      <c r="BE16" s="670"/>
      <c r="BF16" s="670"/>
      <c r="BG16" s="670"/>
      <c r="BH16" s="670"/>
      <c r="BI16" s="670"/>
      <c r="BJ16" s="670"/>
      <c r="BK16" s="670"/>
      <c r="BL16" s="670"/>
      <c r="BM16" s="670"/>
      <c r="BN16" s="670"/>
      <c r="BO16" s="670"/>
      <c r="BP16" s="670"/>
      <c r="BQ16" s="670"/>
      <c r="BR16" s="670"/>
      <c r="BS16" s="670"/>
      <c r="BT16" s="670"/>
      <c r="BU16" s="670"/>
      <c r="BV16" s="670"/>
      <c r="BW16" s="670"/>
      <c r="BX16" s="670"/>
      <c r="BY16" s="670"/>
      <c r="BZ16" s="670"/>
      <c r="CA16" s="670"/>
      <c r="CB16" s="670"/>
      <c r="CC16" s="670"/>
      <c r="CD16" s="670"/>
      <c r="CE16" s="670"/>
      <c r="CF16" s="670"/>
      <c r="CG16" s="670"/>
      <c r="CH16" s="670"/>
      <c r="CI16" s="670"/>
      <c r="CJ16" s="670"/>
      <c r="CK16" s="670"/>
      <c r="CL16" s="670"/>
      <c r="CM16" s="670"/>
      <c r="CN16" s="670"/>
      <c r="CO16" s="670"/>
    </row>
    <row r="17" spans="1:93">
      <c r="A17" s="1590"/>
      <c r="B17" s="682" t="s">
        <v>2253</v>
      </c>
      <c r="C17" s="682"/>
      <c r="D17" s="683"/>
      <c r="E17" s="682"/>
      <c r="F17" s="655"/>
      <c r="G17" s="655"/>
      <c r="H17" s="670"/>
      <c r="I17" s="670"/>
      <c r="J17" s="1439"/>
      <c r="K17" s="1355"/>
      <c r="L17" s="655"/>
      <c r="M17" s="655"/>
      <c r="N17" s="655"/>
      <c r="O17" s="655"/>
      <c r="P17" s="670"/>
      <c r="Q17" s="670"/>
      <c r="R17" s="655"/>
      <c r="S17" s="670"/>
      <c r="T17" s="670"/>
      <c r="U17" s="670"/>
      <c r="V17" s="670"/>
      <c r="W17" s="670"/>
      <c r="X17" s="670"/>
      <c r="Y17" s="670"/>
      <c r="Z17" s="670"/>
      <c r="AA17" s="670"/>
      <c r="AB17" s="670"/>
      <c r="AC17" s="670"/>
      <c r="AD17" s="670"/>
      <c r="AE17" s="670"/>
      <c r="AF17" s="670"/>
      <c r="AG17" s="670"/>
      <c r="AH17" s="670"/>
      <c r="AI17" s="670"/>
      <c r="AJ17" s="670"/>
      <c r="AK17" s="670"/>
      <c r="AL17" s="670"/>
      <c r="AM17" s="670"/>
      <c r="AN17" s="670"/>
      <c r="AO17" s="670"/>
      <c r="AP17" s="670"/>
      <c r="AQ17" s="670"/>
      <c r="AR17" s="670"/>
      <c r="AS17" s="670"/>
      <c r="AT17" s="670"/>
      <c r="AU17" s="670"/>
      <c r="AV17" s="670"/>
      <c r="AW17" s="670"/>
      <c r="AX17" s="670"/>
      <c r="AY17" s="670"/>
      <c r="AZ17" s="670"/>
      <c r="BA17" s="670"/>
      <c r="BB17" s="670"/>
      <c r="BC17" s="670"/>
      <c r="BD17" s="670"/>
      <c r="BE17" s="670"/>
      <c r="BF17" s="670"/>
      <c r="BG17" s="670"/>
      <c r="BH17" s="670"/>
      <c r="BI17" s="670"/>
      <c r="BJ17" s="670"/>
      <c r="BK17" s="670"/>
      <c r="BL17" s="670"/>
      <c r="BM17" s="670"/>
      <c r="BN17" s="670"/>
      <c r="BO17" s="670"/>
      <c r="BP17" s="670"/>
      <c r="BQ17" s="670"/>
      <c r="BR17" s="670"/>
      <c r="BS17" s="670"/>
      <c r="BT17" s="670"/>
      <c r="BU17" s="670"/>
      <c r="BV17" s="670"/>
      <c r="BW17" s="670"/>
      <c r="BX17" s="670"/>
      <c r="BY17" s="670"/>
      <c r="BZ17" s="670"/>
      <c r="CA17" s="670"/>
      <c r="CB17" s="670"/>
      <c r="CC17" s="670"/>
      <c r="CD17" s="670"/>
      <c r="CE17" s="670"/>
      <c r="CF17" s="670"/>
      <c r="CG17" s="670"/>
      <c r="CH17" s="670"/>
      <c r="CI17" s="670"/>
      <c r="CJ17" s="670"/>
      <c r="CK17" s="670"/>
      <c r="CL17" s="670"/>
      <c r="CM17" s="670"/>
      <c r="CN17" s="670"/>
      <c r="CO17" s="670"/>
    </row>
    <row r="18" spans="1:93">
      <c r="A18" s="1590"/>
      <c r="B18" s="670"/>
      <c r="C18" s="670"/>
      <c r="D18" s="655"/>
      <c r="E18" s="670"/>
      <c r="F18" s="655"/>
      <c r="G18" s="655"/>
      <c r="H18" s="655"/>
      <c r="I18" s="670"/>
      <c r="J18" s="1439"/>
      <c r="K18" s="1355"/>
      <c r="L18" s="655"/>
      <c r="M18" s="655"/>
      <c r="N18" s="655"/>
      <c r="O18" s="655"/>
      <c r="P18" s="670"/>
      <c r="Q18" s="670"/>
      <c r="R18" s="655"/>
      <c r="S18" s="670"/>
      <c r="T18" s="670"/>
      <c r="U18" s="670"/>
      <c r="V18" s="670"/>
      <c r="W18" s="670"/>
      <c r="X18" s="670"/>
      <c r="Y18" s="670"/>
      <c r="Z18" s="670"/>
      <c r="AA18" s="670"/>
      <c r="AB18" s="670"/>
      <c r="AC18" s="670"/>
      <c r="AD18" s="670"/>
      <c r="AE18" s="670"/>
      <c r="AF18" s="670"/>
      <c r="AG18" s="670"/>
      <c r="AH18" s="670"/>
      <c r="AI18" s="670"/>
      <c r="AJ18" s="670"/>
      <c r="AK18" s="670"/>
      <c r="AL18" s="670"/>
      <c r="AM18" s="670"/>
      <c r="AN18" s="670"/>
      <c r="AO18" s="670"/>
      <c r="AP18" s="670"/>
      <c r="AQ18" s="670"/>
      <c r="AR18" s="670"/>
      <c r="AS18" s="670"/>
      <c r="AT18" s="670"/>
      <c r="AU18" s="670"/>
      <c r="AV18" s="670"/>
      <c r="AW18" s="670"/>
      <c r="AX18" s="670"/>
      <c r="AY18" s="670"/>
      <c r="AZ18" s="670"/>
      <c r="BA18" s="670"/>
      <c r="BB18" s="670"/>
      <c r="BC18" s="670"/>
      <c r="BD18" s="670"/>
      <c r="BE18" s="670"/>
      <c r="BF18" s="670"/>
      <c r="BG18" s="670"/>
      <c r="BH18" s="670"/>
      <c r="BI18" s="670"/>
      <c r="BJ18" s="670"/>
      <c r="BK18" s="670"/>
      <c r="BL18" s="670"/>
      <c r="BM18" s="670"/>
      <c r="BN18" s="670"/>
      <c r="BO18" s="670"/>
      <c r="BP18" s="670"/>
      <c r="BQ18" s="670"/>
      <c r="BR18" s="670"/>
      <c r="BS18" s="670"/>
      <c r="BT18" s="670"/>
      <c r="BU18" s="670"/>
      <c r="BV18" s="670"/>
      <c r="BW18" s="670"/>
      <c r="BX18" s="670"/>
      <c r="BY18" s="670"/>
      <c r="BZ18" s="670"/>
      <c r="CA18" s="670"/>
      <c r="CB18" s="670"/>
      <c r="CC18" s="670"/>
      <c r="CD18" s="670"/>
      <c r="CE18" s="670"/>
      <c r="CF18" s="670"/>
      <c r="CG18" s="670"/>
      <c r="CH18" s="670"/>
      <c r="CI18" s="670"/>
      <c r="CJ18" s="670"/>
      <c r="CK18" s="670"/>
      <c r="CL18" s="670"/>
      <c r="CM18" s="670"/>
      <c r="CN18" s="670"/>
      <c r="CO18" s="670"/>
    </row>
    <row r="19" spans="1:93">
      <c r="A19" s="1590"/>
      <c r="B19" s="670"/>
      <c r="C19" s="670"/>
      <c r="D19" s="691" t="s">
        <v>3508</v>
      </c>
      <c r="E19" s="670"/>
      <c r="F19" s="1351" t="s">
        <v>2671</v>
      </c>
      <c r="G19" s="1334"/>
      <c r="H19" s="655"/>
      <c r="I19" s="681"/>
      <c r="J19" s="1682" t="s">
        <v>2190</v>
      </c>
      <c r="K19" s="1355"/>
      <c r="L19" s="655"/>
      <c r="M19" s="655"/>
      <c r="N19" s="655"/>
      <c r="O19" s="655"/>
      <c r="P19" s="670"/>
      <c r="Q19" s="670"/>
      <c r="R19" s="655"/>
      <c r="S19" s="670"/>
      <c r="T19" s="670"/>
      <c r="U19" s="670"/>
      <c r="V19" s="670"/>
      <c r="W19" s="670"/>
      <c r="X19" s="670"/>
      <c r="Y19" s="670"/>
      <c r="Z19" s="670"/>
      <c r="AA19" s="670"/>
      <c r="AB19" s="670"/>
      <c r="AC19" s="670"/>
      <c r="AD19" s="670"/>
      <c r="AE19" s="670"/>
      <c r="AF19" s="670"/>
      <c r="AG19" s="670"/>
      <c r="AH19" s="670"/>
      <c r="AI19" s="670"/>
      <c r="AJ19" s="670"/>
      <c r="AK19" s="670"/>
      <c r="AL19" s="670"/>
      <c r="AM19" s="670"/>
      <c r="AN19" s="670"/>
      <c r="AO19" s="670"/>
      <c r="AP19" s="670"/>
      <c r="AQ19" s="670"/>
      <c r="AR19" s="670"/>
      <c r="AS19" s="670"/>
      <c r="AT19" s="670"/>
      <c r="AU19" s="670"/>
      <c r="AV19" s="670"/>
      <c r="AW19" s="670"/>
      <c r="AX19" s="670"/>
      <c r="AY19" s="670"/>
      <c r="AZ19" s="670"/>
      <c r="BA19" s="670"/>
      <c r="BB19" s="670"/>
      <c r="BC19" s="670"/>
      <c r="BD19" s="670"/>
      <c r="BE19" s="670"/>
      <c r="BF19" s="670"/>
      <c r="BG19" s="670"/>
      <c r="BH19" s="670"/>
      <c r="BI19" s="670"/>
      <c r="BJ19" s="670"/>
      <c r="BK19" s="670"/>
      <c r="BL19" s="670"/>
      <c r="BM19" s="670"/>
      <c r="BN19" s="670"/>
      <c r="BO19" s="670"/>
      <c r="BP19" s="670"/>
      <c r="BQ19" s="670"/>
      <c r="BR19" s="670"/>
      <c r="BS19" s="670"/>
      <c r="BT19" s="670"/>
      <c r="BU19" s="670"/>
      <c r="BV19" s="670"/>
      <c r="BW19" s="670"/>
      <c r="BX19" s="670"/>
      <c r="BY19" s="670"/>
      <c r="BZ19" s="670"/>
      <c r="CA19" s="670"/>
      <c r="CB19" s="670"/>
      <c r="CC19" s="670"/>
      <c r="CD19" s="670"/>
      <c r="CE19" s="670"/>
      <c r="CF19" s="670"/>
      <c r="CG19" s="670"/>
      <c r="CH19" s="670"/>
      <c r="CI19" s="670"/>
      <c r="CJ19" s="670"/>
      <c r="CK19" s="670"/>
      <c r="CL19" s="670"/>
      <c r="CM19" s="670"/>
      <c r="CN19" s="670"/>
      <c r="CO19" s="670"/>
    </row>
    <row r="20" spans="1:93">
      <c r="A20" s="1590"/>
      <c r="B20" s="1332" t="s">
        <v>2249</v>
      </c>
      <c r="C20" s="1332"/>
      <c r="D20" s="692">
        <v>703004700</v>
      </c>
      <c r="E20" s="1332"/>
      <c r="F20" s="693">
        <f>686947610+1916000+3500000+300000</f>
        <v>692663610</v>
      </c>
      <c r="G20" s="655"/>
      <c r="H20" s="670"/>
      <c r="I20" s="681"/>
      <c r="J20" s="1448">
        <v>619954200</v>
      </c>
      <c r="K20" s="1355"/>
      <c r="L20" s="655"/>
      <c r="M20" s="655"/>
      <c r="N20" s="655"/>
      <c r="O20" s="655"/>
      <c r="P20" s="670"/>
      <c r="Q20" s="670"/>
      <c r="R20" s="655"/>
      <c r="S20" s="670"/>
      <c r="T20" s="670"/>
      <c r="U20" s="670"/>
      <c r="V20" s="670"/>
      <c r="W20" s="670"/>
      <c r="X20" s="670"/>
      <c r="Y20" s="670"/>
      <c r="Z20" s="670"/>
      <c r="AA20" s="670"/>
      <c r="AB20" s="670"/>
      <c r="AC20" s="670"/>
      <c r="AD20" s="670"/>
      <c r="AE20" s="670"/>
      <c r="AF20" s="670"/>
      <c r="AG20" s="670"/>
      <c r="AH20" s="670"/>
      <c r="AI20" s="670"/>
      <c r="AJ20" s="670"/>
      <c r="AK20" s="670"/>
      <c r="AL20" s="670"/>
      <c r="AM20" s="670"/>
      <c r="AN20" s="670"/>
      <c r="AO20" s="670"/>
      <c r="AP20" s="670"/>
      <c r="AQ20" s="670"/>
      <c r="AR20" s="670"/>
      <c r="AS20" s="670"/>
      <c r="AT20" s="670"/>
      <c r="AU20" s="670"/>
      <c r="AV20" s="670"/>
      <c r="AW20" s="670"/>
      <c r="AX20" s="670"/>
      <c r="AY20" s="670"/>
      <c r="AZ20" s="670"/>
      <c r="BA20" s="670"/>
      <c r="BB20" s="670"/>
      <c r="BC20" s="670"/>
      <c r="BD20" s="670"/>
      <c r="BE20" s="670"/>
      <c r="BF20" s="670"/>
      <c r="BG20" s="670"/>
      <c r="BH20" s="670"/>
      <c r="BI20" s="670"/>
      <c r="BJ20" s="670"/>
      <c r="BK20" s="670"/>
      <c r="BL20" s="670"/>
      <c r="BM20" s="670"/>
      <c r="BN20" s="670"/>
      <c r="BO20" s="670"/>
      <c r="BP20" s="670"/>
      <c r="BQ20" s="670"/>
      <c r="BR20" s="670"/>
      <c r="BS20" s="670"/>
      <c r="BT20" s="670"/>
      <c r="BU20" s="670"/>
      <c r="BV20" s="670"/>
      <c r="BW20" s="670"/>
      <c r="BX20" s="670"/>
      <c r="BY20" s="670"/>
      <c r="BZ20" s="670"/>
      <c r="CA20" s="670"/>
      <c r="CB20" s="670"/>
      <c r="CC20" s="670"/>
      <c r="CD20" s="670"/>
      <c r="CE20" s="670"/>
      <c r="CF20" s="670"/>
      <c r="CG20" s="670"/>
      <c r="CH20" s="670"/>
      <c r="CI20" s="670"/>
      <c r="CJ20" s="670"/>
      <c r="CK20" s="670"/>
      <c r="CL20" s="670"/>
      <c r="CM20" s="670"/>
      <c r="CN20" s="670"/>
      <c r="CO20" s="670"/>
    </row>
    <row r="21" spans="1:93">
      <c r="A21" s="1590"/>
      <c r="B21" s="1332" t="s">
        <v>2015</v>
      </c>
      <c r="C21" s="1332"/>
      <c r="D21" s="694">
        <v>210860600</v>
      </c>
      <c r="E21" s="1332"/>
      <c r="F21" s="693">
        <f>160695000+10060000+1500000</f>
        <v>172255000</v>
      </c>
      <c r="G21" s="655"/>
      <c r="H21" s="670"/>
      <c r="I21" s="681"/>
      <c r="J21" s="1444">
        <v>157383000</v>
      </c>
      <c r="K21" s="1355"/>
      <c r="L21" s="655"/>
      <c r="M21" s="655"/>
      <c r="N21" s="655"/>
      <c r="O21" s="655"/>
      <c r="P21" s="670"/>
      <c r="Q21" s="670"/>
      <c r="R21" s="655"/>
      <c r="S21" s="670"/>
      <c r="T21" s="670"/>
      <c r="U21" s="670"/>
      <c r="V21" s="670"/>
      <c r="W21" s="670"/>
      <c r="X21" s="670"/>
      <c r="Y21" s="670"/>
      <c r="Z21" s="670"/>
      <c r="AA21" s="670"/>
      <c r="AB21" s="670"/>
      <c r="AC21" s="670"/>
      <c r="AD21" s="670"/>
      <c r="AE21" s="670"/>
      <c r="AF21" s="670"/>
      <c r="AG21" s="670"/>
      <c r="AH21" s="670"/>
      <c r="AI21" s="670"/>
      <c r="AJ21" s="670"/>
      <c r="AK21" s="670"/>
      <c r="AL21" s="670"/>
      <c r="AM21" s="670"/>
      <c r="AN21" s="670"/>
      <c r="AO21" s="670"/>
      <c r="AP21" s="670"/>
      <c r="AQ21" s="670"/>
      <c r="AR21" s="670"/>
      <c r="AS21" s="670"/>
      <c r="AT21" s="670"/>
      <c r="AU21" s="670"/>
      <c r="AV21" s="670"/>
      <c r="AW21" s="670"/>
      <c r="AX21" s="670"/>
      <c r="AY21" s="670"/>
      <c r="AZ21" s="670"/>
      <c r="BA21" s="670"/>
      <c r="BB21" s="670"/>
      <c r="BC21" s="670"/>
      <c r="BD21" s="670"/>
      <c r="BE21" s="670"/>
      <c r="BF21" s="670"/>
      <c r="BG21" s="670"/>
      <c r="BH21" s="670"/>
      <c r="BI21" s="670"/>
      <c r="BJ21" s="670"/>
      <c r="BK21" s="670"/>
      <c r="BL21" s="670"/>
      <c r="BM21" s="670"/>
      <c r="BN21" s="670"/>
      <c r="BO21" s="670"/>
      <c r="BP21" s="670"/>
      <c r="BQ21" s="670"/>
      <c r="BR21" s="670"/>
      <c r="BS21" s="670"/>
      <c r="BT21" s="670"/>
      <c r="BU21" s="670"/>
      <c r="BV21" s="670"/>
      <c r="BW21" s="670"/>
      <c r="BX21" s="670"/>
      <c r="BY21" s="670"/>
      <c r="BZ21" s="670"/>
      <c r="CA21" s="670"/>
      <c r="CB21" s="670"/>
      <c r="CC21" s="670"/>
      <c r="CD21" s="670"/>
      <c r="CE21" s="670"/>
      <c r="CF21" s="670"/>
      <c r="CG21" s="670"/>
      <c r="CH21" s="670"/>
      <c r="CI21" s="670"/>
      <c r="CJ21" s="670"/>
      <c r="CK21" s="670"/>
      <c r="CL21" s="670"/>
      <c r="CM21" s="670"/>
      <c r="CN21" s="670"/>
      <c r="CO21" s="670"/>
    </row>
    <row r="22" spans="1:93">
      <c r="A22" s="1590"/>
      <c r="B22" s="1332" t="s">
        <v>2016</v>
      </c>
      <c r="C22" s="1332"/>
      <c r="D22" s="694">
        <v>873740</v>
      </c>
      <c r="E22" s="1332"/>
      <c r="F22" s="693">
        <v>873740</v>
      </c>
      <c r="G22" s="655"/>
      <c r="H22" s="670"/>
      <c r="I22" s="681"/>
      <c r="J22" s="1444">
        <v>1060440</v>
      </c>
      <c r="K22" s="1355"/>
      <c r="L22" s="655"/>
      <c r="M22" s="655"/>
      <c r="N22" s="655"/>
      <c r="O22" s="655"/>
      <c r="P22" s="670"/>
      <c r="Q22" s="670"/>
      <c r="R22" s="655"/>
      <c r="S22" s="670"/>
      <c r="T22" s="670"/>
      <c r="U22" s="670"/>
      <c r="V22" s="670"/>
      <c r="W22" s="670"/>
      <c r="X22" s="670"/>
      <c r="Y22" s="670"/>
      <c r="Z22" s="670"/>
      <c r="AA22" s="670"/>
      <c r="AB22" s="670"/>
      <c r="AC22" s="670"/>
      <c r="AD22" s="670"/>
      <c r="AE22" s="670"/>
      <c r="AF22" s="670"/>
      <c r="AG22" s="670"/>
      <c r="AH22" s="670"/>
      <c r="AI22" s="670"/>
      <c r="AJ22" s="670"/>
      <c r="AK22" s="670"/>
      <c r="AL22" s="670"/>
      <c r="AM22" s="670"/>
      <c r="AN22" s="670"/>
      <c r="AO22" s="670"/>
      <c r="AP22" s="670"/>
      <c r="AQ22" s="670"/>
      <c r="AR22" s="670"/>
      <c r="AS22" s="670"/>
      <c r="AT22" s="670"/>
      <c r="AU22" s="670"/>
      <c r="AV22" s="670"/>
      <c r="AW22" s="670"/>
      <c r="AX22" s="670"/>
      <c r="AY22" s="670"/>
      <c r="AZ22" s="670"/>
      <c r="BA22" s="670"/>
      <c r="BB22" s="670"/>
      <c r="BC22" s="670"/>
      <c r="BD22" s="670"/>
      <c r="BE22" s="670"/>
      <c r="BF22" s="670"/>
      <c r="BG22" s="670"/>
      <c r="BH22" s="670"/>
      <c r="BI22" s="670"/>
      <c r="BJ22" s="670"/>
      <c r="BK22" s="670"/>
      <c r="BL22" s="670"/>
      <c r="BM22" s="670"/>
      <c r="BN22" s="670"/>
      <c r="BO22" s="670"/>
      <c r="BP22" s="670"/>
      <c r="BQ22" s="670"/>
      <c r="BR22" s="670"/>
      <c r="BS22" s="670"/>
      <c r="BT22" s="670"/>
      <c r="BU22" s="670"/>
      <c r="BV22" s="670"/>
      <c r="BW22" s="670"/>
      <c r="BX22" s="670"/>
      <c r="BY22" s="670"/>
      <c r="BZ22" s="670"/>
      <c r="CA22" s="670"/>
      <c r="CB22" s="670"/>
      <c r="CC22" s="670"/>
      <c r="CD22" s="670"/>
      <c r="CE22" s="670"/>
      <c r="CF22" s="670"/>
      <c r="CG22" s="670"/>
      <c r="CH22" s="670"/>
      <c r="CI22" s="670"/>
      <c r="CJ22" s="670"/>
      <c r="CK22" s="670"/>
      <c r="CL22" s="670"/>
      <c r="CM22" s="670"/>
      <c r="CN22" s="670"/>
      <c r="CO22" s="670"/>
    </row>
    <row r="23" spans="1:93">
      <c r="A23" s="1590"/>
      <c r="B23" s="1332" t="s">
        <v>1581</v>
      </c>
      <c r="C23" s="1332"/>
      <c r="D23" s="694">
        <v>41005000</v>
      </c>
      <c r="E23" s="1332"/>
      <c r="F23" s="693">
        <f>22275000+17279000+1250000</f>
        <v>40804000</v>
      </c>
      <c r="G23" s="655"/>
      <c r="H23" s="670"/>
      <c r="I23" s="681"/>
      <c r="J23" s="1444">
        <v>40574000</v>
      </c>
      <c r="K23" s="1355"/>
      <c r="L23" s="655"/>
      <c r="M23" s="655"/>
      <c r="N23" s="655"/>
      <c r="O23" s="655"/>
      <c r="P23" s="670"/>
      <c r="Q23" s="670"/>
      <c r="R23" s="655"/>
      <c r="S23" s="670"/>
      <c r="T23" s="670"/>
      <c r="U23" s="670"/>
      <c r="V23" s="670"/>
      <c r="W23" s="670"/>
      <c r="X23" s="670"/>
      <c r="Y23" s="670"/>
      <c r="Z23" s="670"/>
      <c r="AA23" s="670"/>
      <c r="AB23" s="670"/>
      <c r="AC23" s="670"/>
      <c r="AD23" s="670"/>
      <c r="AE23" s="670"/>
      <c r="AF23" s="670"/>
      <c r="AG23" s="670"/>
      <c r="AH23" s="670"/>
      <c r="AI23" s="670"/>
      <c r="AJ23" s="670"/>
      <c r="AK23" s="670"/>
      <c r="AL23" s="670"/>
      <c r="AM23" s="670"/>
      <c r="AN23" s="670"/>
      <c r="AO23" s="670"/>
      <c r="AP23" s="670"/>
      <c r="AQ23" s="670"/>
      <c r="AR23" s="670"/>
      <c r="AS23" s="670"/>
      <c r="AT23" s="670"/>
      <c r="AU23" s="670"/>
      <c r="AV23" s="670"/>
      <c r="AW23" s="670"/>
      <c r="AX23" s="670"/>
      <c r="AY23" s="670"/>
      <c r="AZ23" s="670"/>
      <c r="BA23" s="670"/>
      <c r="BB23" s="670"/>
      <c r="BC23" s="670"/>
      <c r="BD23" s="670"/>
      <c r="BE23" s="670"/>
      <c r="BF23" s="670"/>
      <c r="BG23" s="670"/>
      <c r="BH23" s="670"/>
      <c r="BI23" s="670"/>
      <c r="BJ23" s="670"/>
      <c r="BK23" s="670"/>
      <c r="BL23" s="670"/>
      <c r="BM23" s="670"/>
      <c r="BN23" s="670"/>
      <c r="BO23" s="670"/>
      <c r="BP23" s="670"/>
      <c r="BQ23" s="670"/>
      <c r="BR23" s="670"/>
      <c r="BS23" s="670"/>
      <c r="BT23" s="670"/>
      <c r="BU23" s="670"/>
      <c r="BV23" s="670"/>
      <c r="BW23" s="670"/>
      <c r="BX23" s="670"/>
      <c r="BY23" s="670"/>
      <c r="BZ23" s="670"/>
      <c r="CA23" s="670"/>
      <c r="CB23" s="670"/>
      <c r="CC23" s="670"/>
      <c r="CD23" s="670"/>
      <c r="CE23" s="670"/>
      <c r="CF23" s="670"/>
      <c r="CG23" s="670"/>
      <c r="CH23" s="670"/>
      <c r="CI23" s="670"/>
      <c r="CJ23" s="670"/>
      <c r="CK23" s="670"/>
      <c r="CL23" s="670"/>
      <c r="CM23" s="670"/>
      <c r="CN23" s="670"/>
      <c r="CO23" s="670"/>
    </row>
    <row r="24" spans="1:93">
      <c r="A24" s="1590"/>
      <c r="B24" s="1332" t="s">
        <v>2252</v>
      </c>
      <c r="C24" s="1332"/>
      <c r="D24" s="694">
        <v>103603000</v>
      </c>
      <c r="E24" s="1332"/>
      <c r="F24" s="693">
        <v>103603000</v>
      </c>
      <c r="G24" s="655"/>
      <c r="H24" s="670"/>
      <c r="I24" s="681"/>
      <c r="J24" s="1444">
        <v>103454000</v>
      </c>
      <c r="K24" s="1355"/>
      <c r="L24" s="695" t="s">
        <v>45</v>
      </c>
      <c r="M24" s="655"/>
      <c r="N24" s="655"/>
      <c r="O24" s="655"/>
      <c r="P24" s="670"/>
      <c r="Q24" s="670"/>
      <c r="R24" s="655"/>
      <c r="S24" s="670"/>
      <c r="T24" s="670"/>
      <c r="U24" s="670"/>
      <c r="V24" s="670"/>
      <c r="W24" s="670"/>
      <c r="X24" s="670"/>
      <c r="Y24" s="670"/>
      <c r="Z24" s="670"/>
      <c r="AA24" s="670"/>
      <c r="AB24" s="670"/>
      <c r="AC24" s="670"/>
      <c r="AD24" s="670"/>
      <c r="AE24" s="670"/>
      <c r="AF24" s="670"/>
      <c r="AG24" s="670"/>
      <c r="AH24" s="670"/>
      <c r="AI24" s="670"/>
      <c r="AJ24" s="670"/>
      <c r="AK24" s="670"/>
      <c r="AL24" s="670"/>
      <c r="AM24" s="670"/>
      <c r="AN24" s="670"/>
      <c r="AO24" s="670"/>
      <c r="AP24" s="670"/>
      <c r="AQ24" s="670"/>
      <c r="AR24" s="670"/>
      <c r="AS24" s="670"/>
      <c r="AT24" s="670"/>
      <c r="AU24" s="670"/>
      <c r="AV24" s="670"/>
      <c r="AW24" s="670"/>
      <c r="AX24" s="670"/>
      <c r="AY24" s="670"/>
      <c r="AZ24" s="670"/>
      <c r="BA24" s="670"/>
      <c r="BB24" s="670"/>
      <c r="BC24" s="670"/>
      <c r="BD24" s="670"/>
      <c r="BE24" s="670"/>
      <c r="BF24" s="670"/>
      <c r="BG24" s="670"/>
      <c r="BH24" s="670"/>
      <c r="BI24" s="670"/>
      <c r="BJ24" s="670"/>
      <c r="BK24" s="670"/>
      <c r="BL24" s="670"/>
      <c r="BM24" s="670"/>
      <c r="BN24" s="670"/>
      <c r="BO24" s="670"/>
      <c r="BP24" s="670"/>
      <c r="BQ24" s="670"/>
      <c r="BR24" s="670"/>
      <c r="BS24" s="670"/>
      <c r="BT24" s="670"/>
      <c r="BU24" s="670"/>
      <c r="BV24" s="670"/>
      <c r="BW24" s="670"/>
      <c r="BX24" s="670"/>
      <c r="BY24" s="670"/>
      <c r="BZ24" s="670"/>
      <c r="CA24" s="670"/>
      <c r="CB24" s="670"/>
      <c r="CC24" s="670"/>
      <c r="CD24" s="670"/>
      <c r="CE24" s="670"/>
      <c r="CF24" s="670"/>
      <c r="CG24" s="670"/>
      <c r="CH24" s="670"/>
      <c r="CI24" s="670"/>
      <c r="CJ24" s="670"/>
      <c r="CK24" s="670"/>
      <c r="CL24" s="670"/>
      <c r="CM24" s="670"/>
      <c r="CN24" s="670"/>
      <c r="CO24" s="670"/>
    </row>
    <row r="25" spans="1:93">
      <c r="A25" s="1590"/>
      <c r="B25" s="1332" t="s">
        <v>2017</v>
      </c>
      <c r="C25" s="1332"/>
      <c r="D25" s="694">
        <v>1000000</v>
      </c>
      <c r="E25" s="1332"/>
      <c r="F25" s="693">
        <v>500000</v>
      </c>
      <c r="G25" s="655"/>
      <c r="H25" s="670"/>
      <c r="I25" s="681"/>
      <c r="J25" s="1444">
        <v>800000</v>
      </c>
      <c r="K25" s="1355"/>
      <c r="L25" s="655"/>
      <c r="M25" s="655"/>
      <c r="N25" s="655"/>
      <c r="O25" s="655"/>
      <c r="P25" s="670"/>
      <c r="Q25" s="670"/>
      <c r="R25" s="655"/>
      <c r="S25" s="670"/>
      <c r="T25" s="670"/>
      <c r="U25" s="670"/>
      <c r="V25" s="670"/>
      <c r="W25" s="670"/>
      <c r="X25" s="670"/>
      <c r="Y25" s="670"/>
      <c r="Z25" s="670"/>
      <c r="AA25" s="670"/>
      <c r="AB25" s="670"/>
      <c r="AC25" s="670"/>
      <c r="AD25" s="670"/>
      <c r="AE25" s="670"/>
      <c r="AF25" s="670"/>
      <c r="AG25" s="670"/>
      <c r="AH25" s="670"/>
      <c r="AI25" s="670"/>
      <c r="AJ25" s="670"/>
      <c r="AK25" s="670"/>
      <c r="AL25" s="670"/>
      <c r="AM25" s="670"/>
      <c r="AN25" s="670"/>
      <c r="AO25" s="670"/>
      <c r="AP25" s="670"/>
      <c r="AQ25" s="670"/>
      <c r="AR25" s="670"/>
      <c r="AS25" s="670"/>
      <c r="AT25" s="670"/>
      <c r="AU25" s="670"/>
      <c r="AV25" s="670"/>
      <c r="AW25" s="670"/>
      <c r="AX25" s="670"/>
      <c r="AY25" s="670"/>
      <c r="AZ25" s="670"/>
      <c r="BA25" s="670"/>
      <c r="BB25" s="670"/>
      <c r="BC25" s="670"/>
      <c r="BD25" s="670"/>
      <c r="BE25" s="670"/>
      <c r="BF25" s="670"/>
      <c r="BG25" s="670"/>
      <c r="BH25" s="670"/>
      <c r="BI25" s="670"/>
      <c r="BJ25" s="670"/>
      <c r="BK25" s="670"/>
      <c r="BL25" s="670"/>
      <c r="BM25" s="670"/>
      <c r="BN25" s="670"/>
      <c r="BO25" s="670"/>
      <c r="BP25" s="670"/>
      <c r="BQ25" s="670"/>
      <c r="BR25" s="670"/>
      <c r="BS25" s="670"/>
      <c r="BT25" s="670"/>
      <c r="BU25" s="670"/>
      <c r="BV25" s="670"/>
      <c r="BW25" s="670"/>
      <c r="BX25" s="670"/>
      <c r="BY25" s="670"/>
      <c r="BZ25" s="670"/>
      <c r="CA25" s="670"/>
      <c r="CB25" s="670"/>
      <c r="CC25" s="670"/>
      <c r="CD25" s="670"/>
      <c r="CE25" s="670"/>
      <c r="CF25" s="670"/>
      <c r="CG25" s="670"/>
      <c r="CH25" s="670"/>
      <c r="CI25" s="670"/>
      <c r="CJ25" s="670"/>
      <c r="CK25" s="670"/>
      <c r="CL25" s="670"/>
      <c r="CM25" s="670"/>
      <c r="CN25" s="670"/>
      <c r="CO25" s="670"/>
    </row>
    <row r="26" spans="1:93">
      <c r="A26" s="1590"/>
      <c r="B26" s="1332" t="s">
        <v>2018</v>
      </c>
      <c r="C26" s="1332"/>
      <c r="D26" s="694">
        <v>22130000</v>
      </c>
      <c r="E26" s="1332"/>
      <c r="F26" s="693">
        <v>22390000</v>
      </c>
      <c r="G26" s="655"/>
      <c r="H26" s="670"/>
      <c r="I26" s="681"/>
      <c r="J26" s="1444">
        <v>22010000</v>
      </c>
      <c r="K26" s="1355"/>
      <c r="L26" s="655"/>
      <c r="M26" s="655"/>
      <c r="N26" s="655"/>
      <c r="O26" s="655"/>
      <c r="P26" s="670"/>
      <c r="Q26" s="670"/>
      <c r="R26" s="655"/>
      <c r="S26" s="670"/>
      <c r="T26" s="670"/>
      <c r="U26" s="670"/>
      <c r="V26" s="670"/>
      <c r="W26" s="670"/>
      <c r="X26" s="670"/>
      <c r="Y26" s="670"/>
      <c r="Z26" s="670"/>
      <c r="AA26" s="670"/>
      <c r="AB26" s="670"/>
      <c r="AC26" s="670"/>
      <c r="AD26" s="670"/>
      <c r="AE26" s="670"/>
      <c r="AF26" s="670"/>
      <c r="AG26" s="670"/>
      <c r="AH26" s="670"/>
      <c r="AI26" s="670"/>
      <c r="AJ26" s="670"/>
      <c r="AK26" s="670"/>
      <c r="AL26" s="670"/>
      <c r="AM26" s="670"/>
      <c r="AN26" s="670"/>
      <c r="AO26" s="670"/>
      <c r="AP26" s="670"/>
      <c r="AQ26" s="670"/>
      <c r="AR26" s="670"/>
      <c r="AS26" s="670"/>
      <c r="AT26" s="670"/>
      <c r="AU26" s="670"/>
      <c r="AV26" s="670"/>
      <c r="AW26" s="670"/>
      <c r="AX26" s="670"/>
      <c r="AY26" s="670"/>
      <c r="AZ26" s="670"/>
      <c r="BA26" s="670"/>
      <c r="BB26" s="670"/>
      <c r="BC26" s="670"/>
      <c r="BD26" s="670"/>
      <c r="BE26" s="670"/>
      <c r="BF26" s="670"/>
      <c r="BG26" s="670"/>
      <c r="BH26" s="670"/>
      <c r="BI26" s="670"/>
      <c r="BJ26" s="670"/>
      <c r="BK26" s="670"/>
      <c r="BL26" s="670"/>
      <c r="BM26" s="670"/>
      <c r="BN26" s="670"/>
      <c r="BO26" s="670"/>
      <c r="BP26" s="670"/>
      <c r="BQ26" s="670"/>
      <c r="BR26" s="670"/>
      <c r="BS26" s="670"/>
      <c r="BT26" s="670"/>
      <c r="BU26" s="670"/>
      <c r="BV26" s="670"/>
      <c r="BW26" s="670"/>
      <c r="BX26" s="670"/>
      <c r="BY26" s="670"/>
      <c r="BZ26" s="670"/>
      <c r="CA26" s="670"/>
      <c r="CB26" s="670"/>
      <c r="CC26" s="670"/>
      <c r="CD26" s="670"/>
      <c r="CE26" s="670"/>
      <c r="CF26" s="670"/>
      <c r="CG26" s="670"/>
      <c r="CH26" s="670"/>
      <c r="CI26" s="670"/>
      <c r="CJ26" s="670"/>
      <c r="CK26" s="670"/>
      <c r="CL26" s="670"/>
      <c r="CM26" s="670"/>
      <c r="CN26" s="670"/>
      <c r="CO26" s="670"/>
    </row>
    <row r="27" spans="1:93">
      <c r="A27" s="1590"/>
      <c r="B27" s="1332" t="s">
        <v>2463</v>
      </c>
      <c r="C27" s="1332"/>
      <c r="D27" s="694">
        <v>89977950</v>
      </c>
      <c r="E27" s="1332"/>
      <c r="F27" s="693">
        <v>89548650</v>
      </c>
      <c r="G27" s="655"/>
      <c r="H27" s="670"/>
      <c r="I27" s="681"/>
      <c r="J27" s="1444">
        <v>91057650</v>
      </c>
      <c r="K27" s="1355"/>
      <c r="L27" s="655"/>
      <c r="M27" s="655"/>
      <c r="N27" s="655"/>
      <c r="O27" s="655"/>
      <c r="P27" s="670"/>
      <c r="Q27" s="670"/>
      <c r="R27" s="655"/>
      <c r="S27" s="670"/>
      <c r="T27" s="670"/>
      <c r="U27" s="670"/>
      <c r="V27" s="670"/>
      <c r="W27" s="670"/>
      <c r="X27" s="670"/>
      <c r="Y27" s="670"/>
      <c r="Z27" s="670"/>
      <c r="AA27" s="670"/>
      <c r="AB27" s="670"/>
      <c r="AC27" s="670"/>
      <c r="AD27" s="670"/>
      <c r="AE27" s="670"/>
      <c r="AF27" s="670"/>
      <c r="AG27" s="670"/>
      <c r="AH27" s="670"/>
      <c r="AI27" s="670"/>
      <c r="AJ27" s="670"/>
      <c r="AK27" s="670"/>
      <c r="AL27" s="670"/>
      <c r="AM27" s="670"/>
      <c r="AN27" s="670"/>
      <c r="AO27" s="670"/>
      <c r="AP27" s="670"/>
      <c r="AQ27" s="670"/>
      <c r="AR27" s="670"/>
      <c r="AS27" s="670"/>
      <c r="AT27" s="670"/>
      <c r="AU27" s="670"/>
      <c r="AV27" s="670"/>
      <c r="AW27" s="670"/>
      <c r="AX27" s="670"/>
      <c r="AY27" s="670"/>
      <c r="AZ27" s="670"/>
      <c r="BA27" s="670"/>
      <c r="BB27" s="670"/>
      <c r="BC27" s="670"/>
      <c r="BD27" s="670"/>
      <c r="BE27" s="670"/>
      <c r="BF27" s="670"/>
      <c r="BG27" s="670"/>
      <c r="BH27" s="670"/>
      <c r="BI27" s="670"/>
      <c r="BJ27" s="670"/>
      <c r="BK27" s="670"/>
      <c r="BL27" s="670"/>
      <c r="BM27" s="670"/>
      <c r="BN27" s="670"/>
      <c r="BO27" s="670"/>
      <c r="BP27" s="670"/>
      <c r="BQ27" s="670"/>
      <c r="BR27" s="670"/>
      <c r="BS27" s="670"/>
      <c r="BT27" s="670"/>
      <c r="BU27" s="670"/>
      <c r="BV27" s="670"/>
      <c r="BW27" s="670"/>
      <c r="BX27" s="670"/>
      <c r="BY27" s="670"/>
      <c r="BZ27" s="670"/>
      <c r="CA27" s="670"/>
      <c r="CB27" s="670"/>
      <c r="CC27" s="670"/>
      <c r="CD27" s="670"/>
      <c r="CE27" s="670"/>
      <c r="CF27" s="670"/>
      <c r="CG27" s="670"/>
      <c r="CH27" s="670"/>
      <c r="CI27" s="670"/>
      <c r="CJ27" s="670"/>
      <c r="CK27" s="670"/>
      <c r="CL27" s="670"/>
      <c r="CM27" s="670"/>
      <c r="CN27" s="670"/>
      <c r="CO27" s="670"/>
    </row>
    <row r="28" spans="1:93">
      <c r="A28" s="1590"/>
      <c r="B28" s="1332" t="s">
        <v>2019</v>
      </c>
      <c r="C28" s="1332"/>
      <c r="D28" s="694">
        <v>17877000</v>
      </c>
      <c r="E28" s="1332"/>
      <c r="F28" s="693">
        <v>13887000</v>
      </c>
      <c r="G28" s="655"/>
      <c r="H28" s="670"/>
      <c r="I28" s="681"/>
      <c r="J28" s="1444">
        <v>13187000</v>
      </c>
      <c r="K28" s="1355"/>
      <c r="L28" s="655"/>
      <c r="M28" s="655"/>
      <c r="N28" s="655"/>
      <c r="O28" s="655"/>
      <c r="P28" s="670"/>
      <c r="Q28" s="670"/>
      <c r="R28" s="655"/>
      <c r="S28" s="670"/>
      <c r="T28" s="670"/>
      <c r="U28" s="670"/>
      <c r="V28" s="670"/>
      <c r="W28" s="670"/>
      <c r="X28" s="670"/>
      <c r="Y28" s="670"/>
      <c r="Z28" s="670"/>
      <c r="AA28" s="670"/>
      <c r="AB28" s="670"/>
      <c r="AC28" s="670"/>
      <c r="AD28" s="670"/>
      <c r="AE28" s="670"/>
      <c r="AF28" s="670"/>
      <c r="AG28" s="670"/>
      <c r="AH28" s="670"/>
      <c r="AI28" s="670"/>
      <c r="AJ28" s="670"/>
      <c r="AK28" s="670"/>
      <c r="AL28" s="670"/>
      <c r="AM28" s="670"/>
      <c r="AN28" s="670"/>
      <c r="AO28" s="670"/>
      <c r="AP28" s="670"/>
      <c r="AQ28" s="670"/>
      <c r="AR28" s="670"/>
      <c r="AS28" s="670"/>
      <c r="AT28" s="670"/>
      <c r="AU28" s="670"/>
      <c r="AV28" s="670"/>
      <c r="AW28" s="670"/>
      <c r="AX28" s="670"/>
      <c r="AY28" s="670"/>
      <c r="AZ28" s="670"/>
      <c r="BA28" s="670"/>
      <c r="BB28" s="670"/>
      <c r="BC28" s="670"/>
      <c r="BD28" s="670"/>
      <c r="BE28" s="670"/>
      <c r="BF28" s="670"/>
      <c r="BG28" s="670"/>
      <c r="BH28" s="670"/>
      <c r="BI28" s="670"/>
      <c r="BJ28" s="670"/>
      <c r="BK28" s="670"/>
      <c r="BL28" s="670"/>
      <c r="BM28" s="670"/>
      <c r="BN28" s="670"/>
      <c r="BO28" s="670"/>
      <c r="BP28" s="670"/>
      <c r="BQ28" s="670"/>
      <c r="BR28" s="670"/>
      <c r="BS28" s="670"/>
      <c r="BT28" s="670"/>
      <c r="BU28" s="670"/>
      <c r="BV28" s="670"/>
      <c r="BW28" s="670"/>
      <c r="BX28" s="670"/>
      <c r="BY28" s="670"/>
      <c r="BZ28" s="670"/>
      <c r="CA28" s="670"/>
      <c r="CB28" s="670"/>
      <c r="CC28" s="670"/>
      <c r="CD28" s="670"/>
      <c r="CE28" s="670"/>
      <c r="CF28" s="670"/>
      <c r="CG28" s="670"/>
      <c r="CH28" s="670"/>
      <c r="CI28" s="670"/>
      <c r="CJ28" s="670"/>
      <c r="CK28" s="670"/>
      <c r="CL28" s="670"/>
      <c r="CM28" s="670"/>
      <c r="CN28" s="670"/>
      <c r="CO28" s="670"/>
    </row>
    <row r="29" spans="1:93">
      <c r="A29" s="1590"/>
      <c r="B29" s="1332" t="s">
        <v>2020</v>
      </c>
      <c r="C29" s="1332"/>
      <c r="D29" s="694">
        <v>385000</v>
      </c>
      <c r="E29" s="1332"/>
      <c r="F29" s="693">
        <v>385000</v>
      </c>
      <c r="G29" s="655"/>
      <c r="H29" s="655"/>
      <c r="I29" s="681"/>
      <c r="J29" s="1444">
        <v>0</v>
      </c>
      <c r="K29" s="1355"/>
      <c r="L29" s="655"/>
      <c r="M29" s="655"/>
      <c r="N29" s="655"/>
      <c r="O29" s="655"/>
      <c r="P29" s="670"/>
      <c r="Q29" s="670"/>
      <c r="R29" s="655"/>
      <c r="S29" s="670"/>
      <c r="T29" s="670"/>
      <c r="U29" s="670"/>
      <c r="V29" s="670"/>
      <c r="W29" s="670"/>
      <c r="X29" s="670"/>
      <c r="Y29" s="670"/>
      <c r="Z29" s="670"/>
      <c r="AA29" s="670"/>
      <c r="AB29" s="670"/>
      <c r="AC29" s="670"/>
      <c r="AD29" s="670"/>
      <c r="AE29" s="670"/>
      <c r="AF29" s="670"/>
      <c r="AG29" s="670"/>
      <c r="AH29" s="670"/>
      <c r="AI29" s="670"/>
      <c r="AJ29" s="670"/>
      <c r="AK29" s="670"/>
      <c r="AL29" s="670"/>
      <c r="AM29" s="670"/>
      <c r="AN29" s="670"/>
      <c r="AO29" s="670"/>
      <c r="AP29" s="670"/>
      <c r="AQ29" s="670"/>
      <c r="AR29" s="670"/>
      <c r="AS29" s="670"/>
      <c r="AT29" s="670"/>
      <c r="AU29" s="670"/>
      <c r="AV29" s="670"/>
      <c r="AW29" s="670"/>
      <c r="AX29" s="670"/>
      <c r="AY29" s="670"/>
      <c r="AZ29" s="670"/>
      <c r="BA29" s="670"/>
      <c r="BB29" s="670"/>
      <c r="BC29" s="670"/>
      <c r="BD29" s="670"/>
      <c r="BE29" s="670"/>
      <c r="BF29" s="670"/>
      <c r="BG29" s="670"/>
      <c r="BH29" s="670"/>
      <c r="BI29" s="670"/>
      <c r="BJ29" s="670"/>
      <c r="BK29" s="670"/>
      <c r="BL29" s="670"/>
      <c r="BM29" s="670"/>
      <c r="BN29" s="670"/>
      <c r="BO29" s="670"/>
      <c r="BP29" s="670"/>
      <c r="BQ29" s="670"/>
      <c r="BR29" s="670"/>
      <c r="BS29" s="670"/>
      <c r="BT29" s="670"/>
      <c r="BU29" s="670"/>
      <c r="BV29" s="670"/>
      <c r="BW29" s="670"/>
      <c r="BX29" s="670"/>
      <c r="BY29" s="670"/>
      <c r="BZ29" s="670"/>
      <c r="CA29" s="670"/>
      <c r="CB29" s="670"/>
      <c r="CC29" s="670"/>
      <c r="CD29" s="670"/>
      <c r="CE29" s="670"/>
      <c r="CF29" s="670"/>
      <c r="CG29" s="670"/>
      <c r="CH29" s="670"/>
      <c r="CI29" s="670"/>
      <c r="CJ29" s="670"/>
      <c r="CK29" s="670"/>
      <c r="CL29" s="670"/>
      <c r="CM29" s="670"/>
      <c r="CN29" s="670"/>
      <c r="CO29" s="670"/>
    </row>
    <row r="30" spans="1:93">
      <c r="A30" s="1590"/>
      <c r="B30" s="1332" t="s">
        <v>188</v>
      </c>
      <c r="C30" s="1332"/>
      <c r="D30" s="694">
        <v>1420000</v>
      </c>
      <c r="E30" s="1332"/>
      <c r="F30" s="693">
        <v>1420000</v>
      </c>
      <c r="G30" s="655"/>
      <c r="H30" s="670"/>
      <c r="I30" s="681"/>
      <c r="J30" s="1444">
        <v>2020000</v>
      </c>
      <c r="K30" s="1355"/>
      <c r="L30" s="655"/>
      <c r="M30" s="655"/>
      <c r="N30" s="655"/>
      <c r="O30" s="655"/>
      <c r="P30" s="670"/>
      <c r="Q30" s="670"/>
      <c r="R30" s="655"/>
      <c r="S30" s="670"/>
      <c r="T30" s="670"/>
      <c r="U30" s="670"/>
      <c r="V30" s="670"/>
      <c r="W30" s="670"/>
      <c r="X30" s="670"/>
      <c r="Y30" s="670"/>
      <c r="Z30" s="670"/>
      <c r="AA30" s="670"/>
      <c r="AB30" s="670"/>
      <c r="AC30" s="670"/>
      <c r="AD30" s="670"/>
      <c r="AE30" s="670"/>
      <c r="AF30" s="670"/>
      <c r="AG30" s="670"/>
      <c r="AH30" s="670"/>
      <c r="AI30" s="670"/>
      <c r="AJ30" s="670"/>
      <c r="AK30" s="670"/>
      <c r="AL30" s="670"/>
      <c r="AM30" s="670"/>
      <c r="AN30" s="670"/>
      <c r="AO30" s="670"/>
      <c r="AP30" s="670"/>
      <c r="AQ30" s="670"/>
      <c r="AR30" s="670"/>
      <c r="AS30" s="670"/>
      <c r="AT30" s="670"/>
      <c r="AU30" s="670"/>
      <c r="AV30" s="670"/>
      <c r="AW30" s="670"/>
      <c r="AX30" s="670"/>
      <c r="AY30" s="670"/>
      <c r="AZ30" s="670"/>
      <c r="BA30" s="670"/>
      <c r="BB30" s="670"/>
      <c r="BC30" s="670"/>
      <c r="BD30" s="670"/>
      <c r="BE30" s="670"/>
      <c r="BF30" s="670"/>
      <c r="BG30" s="670"/>
      <c r="BH30" s="670"/>
      <c r="BI30" s="670"/>
      <c r="BJ30" s="670"/>
      <c r="BK30" s="670"/>
      <c r="BL30" s="670"/>
      <c r="BM30" s="670"/>
      <c r="BN30" s="670"/>
      <c r="BO30" s="670"/>
      <c r="BP30" s="670"/>
      <c r="BQ30" s="670"/>
      <c r="BR30" s="670"/>
      <c r="BS30" s="670"/>
      <c r="BT30" s="670"/>
      <c r="BU30" s="670"/>
      <c r="BV30" s="670"/>
      <c r="BW30" s="670"/>
      <c r="BX30" s="670"/>
      <c r="BY30" s="670"/>
      <c r="BZ30" s="670"/>
      <c r="CA30" s="670"/>
      <c r="CB30" s="670"/>
      <c r="CC30" s="670"/>
      <c r="CD30" s="670"/>
      <c r="CE30" s="670"/>
      <c r="CF30" s="670"/>
      <c r="CG30" s="670"/>
      <c r="CH30" s="670"/>
      <c r="CI30" s="670"/>
      <c r="CJ30" s="670"/>
      <c r="CK30" s="670"/>
      <c r="CL30" s="670"/>
      <c r="CM30" s="670"/>
      <c r="CN30" s="670"/>
      <c r="CO30" s="670"/>
    </row>
    <row r="31" spans="1:93">
      <c r="A31" s="1590"/>
      <c r="B31" s="1332" t="s">
        <v>620</v>
      </c>
      <c r="C31" s="1332"/>
      <c r="D31" s="694">
        <v>30000000</v>
      </c>
      <c r="E31" s="1332"/>
      <c r="F31" s="693">
        <v>30000000</v>
      </c>
      <c r="G31" s="655"/>
      <c r="H31" s="655"/>
      <c r="I31" s="681"/>
      <c r="J31" s="1444">
        <v>30000000</v>
      </c>
      <c r="K31" s="1355"/>
      <c r="L31" s="655"/>
      <c r="M31" s="655"/>
      <c r="N31" s="655"/>
      <c r="O31" s="655"/>
      <c r="P31" s="670"/>
      <c r="Q31" s="670"/>
      <c r="R31" s="655"/>
      <c r="S31" s="670"/>
      <c r="T31" s="670"/>
      <c r="U31" s="670"/>
      <c r="V31" s="670"/>
      <c r="W31" s="670"/>
      <c r="X31" s="670"/>
      <c r="Y31" s="670"/>
      <c r="Z31" s="670"/>
      <c r="AA31" s="670"/>
      <c r="AB31" s="670"/>
      <c r="AC31" s="670"/>
      <c r="AD31" s="670"/>
      <c r="AE31" s="670"/>
      <c r="AF31" s="670"/>
      <c r="AG31" s="670"/>
      <c r="AH31" s="670"/>
      <c r="AI31" s="670"/>
      <c r="AJ31" s="670"/>
      <c r="AK31" s="670"/>
      <c r="AL31" s="670"/>
      <c r="AM31" s="670"/>
      <c r="AN31" s="670"/>
      <c r="AO31" s="670"/>
      <c r="AP31" s="670"/>
      <c r="AQ31" s="670"/>
      <c r="AR31" s="670"/>
      <c r="AS31" s="670"/>
      <c r="AT31" s="670"/>
      <c r="AU31" s="670"/>
      <c r="AV31" s="670"/>
      <c r="AW31" s="670"/>
      <c r="AX31" s="670"/>
      <c r="AY31" s="670"/>
      <c r="AZ31" s="670"/>
      <c r="BA31" s="670"/>
      <c r="BB31" s="670"/>
      <c r="BC31" s="670"/>
      <c r="BD31" s="670"/>
      <c r="BE31" s="670"/>
      <c r="BF31" s="670"/>
      <c r="BG31" s="670"/>
      <c r="BH31" s="670"/>
      <c r="BI31" s="670"/>
      <c r="BJ31" s="670"/>
      <c r="BK31" s="670"/>
      <c r="BL31" s="670"/>
      <c r="BM31" s="670"/>
      <c r="BN31" s="670"/>
      <c r="BO31" s="670"/>
      <c r="BP31" s="670"/>
      <c r="BQ31" s="670"/>
      <c r="BR31" s="670"/>
      <c r="BS31" s="670"/>
      <c r="BT31" s="670"/>
      <c r="BU31" s="670"/>
      <c r="BV31" s="670"/>
      <c r="BW31" s="670"/>
      <c r="BX31" s="670"/>
      <c r="BY31" s="670"/>
      <c r="BZ31" s="670"/>
      <c r="CA31" s="670"/>
      <c r="CB31" s="670"/>
      <c r="CC31" s="670"/>
      <c r="CD31" s="670"/>
      <c r="CE31" s="670"/>
      <c r="CF31" s="670"/>
      <c r="CG31" s="670"/>
      <c r="CH31" s="670"/>
      <c r="CI31" s="670"/>
      <c r="CJ31" s="670"/>
      <c r="CK31" s="670"/>
      <c r="CL31" s="670"/>
      <c r="CM31" s="670"/>
      <c r="CN31" s="670"/>
      <c r="CO31" s="670"/>
    </row>
    <row r="32" spans="1:93">
      <c r="A32" s="1590"/>
      <c r="B32" s="1332" t="s">
        <v>1580</v>
      </c>
      <c r="C32" s="1332"/>
      <c r="D32" s="686">
        <v>1203621000</v>
      </c>
      <c r="E32" s="1332"/>
      <c r="F32" s="693">
        <v>1210697044</v>
      </c>
      <c r="G32" s="655"/>
      <c r="H32" s="670"/>
      <c r="I32" s="681"/>
      <c r="J32" s="1444">
        <v>1253446000</v>
      </c>
      <c r="K32" s="1355"/>
      <c r="L32" s="655"/>
      <c r="M32" s="655"/>
      <c r="N32" s="655"/>
      <c r="O32" s="655"/>
      <c r="P32" s="670"/>
      <c r="Q32" s="670"/>
      <c r="R32" s="655"/>
      <c r="S32" s="670"/>
      <c r="T32" s="670"/>
      <c r="U32" s="670"/>
      <c r="V32" s="670"/>
      <c r="W32" s="670"/>
      <c r="X32" s="670"/>
      <c r="Y32" s="670"/>
      <c r="Z32" s="670"/>
      <c r="AA32" s="670"/>
      <c r="AB32" s="670"/>
      <c r="AC32" s="670"/>
      <c r="AD32" s="670"/>
      <c r="AE32" s="670"/>
      <c r="AF32" s="670"/>
      <c r="AG32" s="670"/>
      <c r="AH32" s="670"/>
      <c r="AI32" s="670"/>
      <c r="AJ32" s="670"/>
      <c r="AK32" s="670"/>
      <c r="AL32" s="670"/>
      <c r="AM32" s="670"/>
      <c r="AN32" s="670"/>
      <c r="AO32" s="670"/>
      <c r="AP32" s="670"/>
      <c r="AQ32" s="670"/>
      <c r="AR32" s="670"/>
      <c r="AS32" s="670"/>
      <c r="AT32" s="670"/>
      <c r="AU32" s="670"/>
      <c r="AV32" s="670"/>
      <c r="AW32" s="670"/>
      <c r="AX32" s="670"/>
      <c r="AY32" s="670"/>
      <c r="AZ32" s="670"/>
      <c r="BA32" s="670"/>
      <c r="BB32" s="670"/>
      <c r="BC32" s="670"/>
      <c r="BD32" s="670"/>
      <c r="BE32" s="670"/>
      <c r="BF32" s="670"/>
      <c r="BG32" s="670"/>
      <c r="BH32" s="670"/>
      <c r="BI32" s="670"/>
      <c r="BJ32" s="670"/>
      <c r="BK32" s="670"/>
      <c r="BL32" s="670"/>
      <c r="BM32" s="670"/>
      <c r="BN32" s="670"/>
      <c r="BO32" s="670"/>
      <c r="BP32" s="670"/>
      <c r="BQ32" s="670"/>
      <c r="BR32" s="670"/>
      <c r="BS32" s="670"/>
      <c r="BT32" s="670"/>
      <c r="BU32" s="670"/>
      <c r="BV32" s="670"/>
      <c r="BW32" s="670"/>
      <c r="BX32" s="670"/>
      <c r="BY32" s="670"/>
      <c r="BZ32" s="670"/>
      <c r="CA32" s="670"/>
      <c r="CB32" s="670"/>
      <c r="CC32" s="670"/>
      <c r="CD32" s="670"/>
      <c r="CE32" s="670"/>
      <c r="CF32" s="670"/>
      <c r="CG32" s="670"/>
      <c r="CH32" s="670"/>
      <c r="CI32" s="670"/>
      <c r="CJ32" s="670"/>
      <c r="CK32" s="670"/>
      <c r="CL32" s="670"/>
      <c r="CM32" s="670"/>
      <c r="CN32" s="670"/>
      <c r="CO32" s="670"/>
    </row>
    <row r="33" spans="1:93">
      <c r="A33" s="1590"/>
      <c r="B33" s="682"/>
      <c r="C33" s="682"/>
      <c r="D33" s="687">
        <f>SUM(D20:D32)</f>
        <v>2425757990</v>
      </c>
      <c r="E33" s="682"/>
      <c r="F33" s="687">
        <f>SUM(F20:F32)</f>
        <v>2379027044</v>
      </c>
      <c r="G33" s="683"/>
      <c r="H33" s="682"/>
      <c r="I33" s="689"/>
      <c r="J33" s="1683">
        <f>SUM(J20:J32)</f>
        <v>2334946290</v>
      </c>
      <c r="K33" s="1355"/>
      <c r="L33" s="655"/>
      <c r="M33" s="655"/>
      <c r="N33" s="655"/>
      <c r="O33" s="655"/>
      <c r="P33" s="670"/>
      <c r="Q33" s="670"/>
      <c r="R33" s="655"/>
      <c r="S33" s="670"/>
      <c r="T33" s="670"/>
      <c r="U33" s="670"/>
      <c r="V33" s="670"/>
      <c r="W33" s="670"/>
      <c r="X33" s="670"/>
      <c r="Y33" s="670"/>
      <c r="Z33" s="670"/>
      <c r="AA33" s="670"/>
      <c r="AB33" s="670"/>
      <c r="AC33" s="670"/>
      <c r="AD33" s="670"/>
      <c r="AE33" s="670"/>
      <c r="AF33" s="670"/>
      <c r="AG33" s="670"/>
      <c r="AH33" s="670"/>
      <c r="AI33" s="670"/>
      <c r="AJ33" s="670"/>
      <c r="AK33" s="670"/>
      <c r="AL33" s="670"/>
      <c r="AM33" s="670"/>
      <c r="AN33" s="670"/>
      <c r="AO33" s="670"/>
      <c r="AP33" s="670"/>
      <c r="AQ33" s="670"/>
      <c r="AR33" s="670"/>
      <c r="AS33" s="670"/>
      <c r="AT33" s="670"/>
      <c r="AU33" s="670"/>
      <c r="AV33" s="670"/>
      <c r="AW33" s="670"/>
      <c r="AX33" s="670"/>
      <c r="AY33" s="670"/>
      <c r="AZ33" s="670"/>
      <c r="BA33" s="670"/>
      <c r="BB33" s="670"/>
      <c r="BC33" s="670"/>
      <c r="BD33" s="670"/>
      <c r="BE33" s="670"/>
      <c r="BF33" s="670"/>
      <c r="BG33" s="670"/>
      <c r="BH33" s="670"/>
      <c r="BI33" s="670"/>
      <c r="BJ33" s="670"/>
      <c r="BK33" s="670"/>
      <c r="BL33" s="670"/>
      <c r="BM33" s="670"/>
      <c r="BN33" s="670"/>
      <c r="BO33" s="670"/>
      <c r="BP33" s="670"/>
      <c r="BQ33" s="670"/>
      <c r="BR33" s="670"/>
      <c r="BS33" s="670"/>
      <c r="BT33" s="670"/>
      <c r="BU33" s="670"/>
      <c r="BV33" s="670"/>
      <c r="BW33" s="670"/>
      <c r="BX33" s="670"/>
      <c r="BY33" s="670"/>
      <c r="BZ33" s="670"/>
      <c r="CA33" s="670"/>
      <c r="CB33" s="670"/>
      <c r="CC33" s="670"/>
      <c r="CD33" s="670"/>
      <c r="CE33" s="670"/>
      <c r="CF33" s="670"/>
      <c r="CG33" s="670"/>
      <c r="CH33" s="670"/>
      <c r="CI33" s="670"/>
      <c r="CJ33" s="670"/>
      <c r="CK33" s="670"/>
      <c r="CL33" s="670"/>
      <c r="CM33" s="670"/>
      <c r="CN33" s="670"/>
      <c r="CO33" s="670"/>
    </row>
    <row r="34" spans="1:93">
      <c r="A34" s="1590"/>
      <c r="B34" s="682"/>
      <c r="C34" s="682"/>
      <c r="D34" s="683"/>
      <c r="E34" s="682"/>
      <c r="F34" s="683"/>
      <c r="G34" s="683"/>
      <c r="H34" s="682"/>
      <c r="I34" s="682"/>
      <c r="J34" s="1446"/>
      <c r="K34" s="1355"/>
      <c r="L34" s="655"/>
      <c r="M34" s="655"/>
      <c r="N34" s="655"/>
      <c r="O34" s="655"/>
      <c r="P34" s="670"/>
      <c r="Q34" s="670"/>
      <c r="R34" s="655"/>
      <c r="S34" s="670"/>
      <c r="T34" s="670"/>
      <c r="U34" s="670"/>
      <c r="V34" s="670"/>
      <c r="W34" s="670"/>
      <c r="X34" s="670"/>
      <c r="Y34" s="670"/>
      <c r="Z34" s="670"/>
      <c r="AA34" s="670"/>
      <c r="AB34" s="670"/>
      <c r="AC34" s="670"/>
      <c r="AD34" s="670"/>
      <c r="AE34" s="670"/>
      <c r="AF34" s="670"/>
      <c r="AG34" s="670"/>
      <c r="AH34" s="670"/>
      <c r="AI34" s="670"/>
      <c r="AJ34" s="670"/>
      <c r="AK34" s="670"/>
      <c r="AL34" s="670"/>
      <c r="AM34" s="670"/>
      <c r="AN34" s="670"/>
      <c r="AO34" s="670"/>
      <c r="AP34" s="670"/>
      <c r="AQ34" s="670"/>
      <c r="AR34" s="670"/>
      <c r="AS34" s="670"/>
      <c r="AT34" s="670"/>
      <c r="AU34" s="670"/>
      <c r="AV34" s="670"/>
      <c r="AW34" s="670"/>
      <c r="AX34" s="670"/>
      <c r="AY34" s="670"/>
      <c r="AZ34" s="670"/>
      <c r="BA34" s="670"/>
      <c r="BB34" s="670"/>
      <c r="BC34" s="670"/>
      <c r="BD34" s="670"/>
      <c r="BE34" s="670"/>
      <c r="BF34" s="670"/>
      <c r="BG34" s="670"/>
      <c r="BH34" s="670"/>
      <c r="BI34" s="670"/>
      <c r="BJ34" s="670"/>
      <c r="BK34" s="670"/>
      <c r="BL34" s="670"/>
      <c r="BM34" s="670"/>
      <c r="BN34" s="670"/>
      <c r="BO34" s="670"/>
      <c r="BP34" s="670"/>
      <c r="BQ34" s="670"/>
      <c r="BR34" s="670"/>
      <c r="BS34" s="670"/>
      <c r="BT34" s="670"/>
      <c r="BU34" s="670"/>
      <c r="BV34" s="670"/>
      <c r="BW34" s="670"/>
      <c r="BX34" s="670"/>
      <c r="BY34" s="670"/>
      <c r="BZ34" s="670"/>
      <c r="CA34" s="670"/>
      <c r="CB34" s="670"/>
      <c r="CC34" s="670"/>
      <c r="CD34" s="670"/>
      <c r="CE34" s="670"/>
      <c r="CF34" s="670"/>
      <c r="CG34" s="670"/>
      <c r="CH34" s="670"/>
      <c r="CI34" s="670"/>
      <c r="CJ34" s="670"/>
      <c r="CK34" s="670"/>
      <c r="CL34" s="670"/>
      <c r="CM34" s="670"/>
      <c r="CN34" s="670"/>
      <c r="CO34" s="670"/>
    </row>
    <row r="35" spans="1:93" ht="114.75">
      <c r="A35" s="1590"/>
      <c r="B35" s="696" t="s">
        <v>3760</v>
      </c>
      <c r="C35" s="696"/>
      <c r="D35" s="697"/>
      <c r="E35" s="615"/>
      <c r="F35" s="683"/>
      <c r="G35" s="683"/>
      <c r="H35" s="682"/>
      <c r="I35" s="682"/>
      <c r="J35" s="1446"/>
      <c r="K35" s="1355"/>
      <c r="L35" s="698"/>
      <c r="M35" s="655"/>
      <c r="N35" s="655"/>
      <c r="O35" s="655"/>
      <c r="P35" s="670"/>
      <c r="Q35" s="670"/>
      <c r="R35" s="655"/>
      <c r="S35" s="670"/>
      <c r="T35" s="670"/>
      <c r="U35" s="670"/>
      <c r="V35" s="670"/>
      <c r="W35" s="670"/>
      <c r="X35" s="670"/>
      <c r="Y35" s="670"/>
      <c r="Z35" s="670"/>
      <c r="AA35" s="670"/>
      <c r="AB35" s="670"/>
      <c r="AC35" s="670"/>
      <c r="AD35" s="670"/>
      <c r="AE35" s="670"/>
      <c r="AF35" s="670"/>
      <c r="AG35" s="670"/>
      <c r="AH35" s="670"/>
      <c r="AI35" s="670"/>
      <c r="AJ35" s="670"/>
      <c r="AK35" s="670"/>
      <c r="AL35" s="670"/>
      <c r="AM35" s="670"/>
      <c r="AN35" s="670"/>
      <c r="AO35" s="670"/>
      <c r="AP35" s="670"/>
      <c r="AQ35" s="670"/>
      <c r="AR35" s="670"/>
      <c r="AS35" s="670"/>
      <c r="AT35" s="670"/>
      <c r="AU35" s="670"/>
      <c r="AV35" s="670"/>
      <c r="AW35" s="670"/>
      <c r="AX35" s="670"/>
      <c r="AY35" s="670"/>
      <c r="AZ35" s="670"/>
      <c r="BA35" s="670"/>
      <c r="BB35" s="670"/>
      <c r="BC35" s="670"/>
      <c r="BD35" s="670"/>
      <c r="BE35" s="670"/>
      <c r="BF35" s="670"/>
      <c r="BG35" s="670"/>
      <c r="BH35" s="670"/>
      <c r="BI35" s="670"/>
      <c r="BJ35" s="670"/>
      <c r="BK35" s="670"/>
      <c r="BL35" s="670"/>
      <c r="BM35" s="670"/>
      <c r="BN35" s="670"/>
      <c r="BO35" s="670"/>
      <c r="BP35" s="670"/>
      <c r="BQ35" s="670"/>
      <c r="BR35" s="670"/>
      <c r="BS35" s="670"/>
      <c r="BT35" s="670"/>
      <c r="BU35" s="670"/>
      <c r="BV35" s="670"/>
      <c r="BW35" s="670"/>
      <c r="BX35" s="670"/>
      <c r="BY35" s="670"/>
      <c r="BZ35" s="670"/>
      <c r="CA35" s="670"/>
      <c r="CB35" s="670"/>
      <c r="CC35" s="670"/>
      <c r="CD35" s="670"/>
      <c r="CE35" s="670"/>
      <c r="CF35" s="670"/>
      <c r="CG35" s="670"/>
      <c r="CH35" s="670"/>
      <c r="CI35" s="670"/>
      <c r="CJ35" s="670"/>
      <c r="CK35" s="670"/>
      <c r="CL35" s="670"/>
      <c r="CM35" s="670"/>
      <c r="CN35" s="670"/>
      <c r="CO35" s="670"/>
    </row>
    <row r="36" spans="1:93">
      <c r="A36" s="1596"/>
      <c r="B36" s="699"/>
      <c r="C36" s="699"/>
      <c r="D36" s="700"/>
      <c r="E36" s="699"/>
      <c r="F36" s="700"/>
      <c r="G36" s="700"/>
      <c r="H36" s="700"/>
      <c r="I36" s="699"/>
      <c r="J36" s="1570"/>
      <c r="K36" s="1352"/>
      <c r="L36" s="655"/>
      <c r="M36" s="655"/>
      <c r="N36" s="655"/>
      <c r="O36" s="655"/>
      <c r="P36" s="670"/>
      <c r="Q36" s="670"/>
      <c r="R36" s="655"/>
      <c r="S36" s="670"/>
      <c r="T36" s="670"/>
      <c r="U36" s="670"/>
      <c r="V36" s="670"/>
      <c r="W36" s="670"/>
      <c r="X36" s="670"/>
      <c r="Y36" s="670"/>
      <c r="Z36" s="670"/>
      <c r="AA36" s="670"/>
      <c r="AB36" s="670"/>
      <c r="AC36" s="670"/>
      <c r="AD36" s="670"/>
      <c r="AE36" s="670"/>
      <c r="AF36" s="670"/>
      <c r="AG36" s="670"/>
      <c r="AH36" s="670"/>
      <c r="AI36" s="670"/>
      <c r="AJ36" s="670"/>
      <c r="AK36" s="670"/>
      <c r="AL36" s="670"/>
      <c r="AM36" s="670"/>
      <c r="AN36" s="670"/>
      <c r="AO36" s="670"/>
      <c r="AP36" s="670"/>
      <c r="AQ36" s="670"/>
      <c r="AR36" s="670"/>
      <c r="AS36" s="670"/>
      <c r="AT36" s="670"/>
      <c r="AU36" s="670"/>
      <c r="AV36" s="670"/>
      <c r="AW36" s="670"/>
      <c r="AX36" s="670"/>
      <c r="AY36" s="670"/>
      <c r="AZ36" s="670"/>
      <c r="BA36" s="670"/>
      <c r="BB36" s="670"/>
      <c r="BC36" s="670"/>
      <c r="BD36" s="670"/>
      <c r="BE36" s="670"/>
      <c r="BF36" s="670"/>
      <c r="BG36" s="670"/>
      <c r="BH36" s="670"/>
      <c r="BI36" s="670"/>
      <c r="BJ36" s="670"/>
      <c r="BK36" s="670"/>
      <c r="BL36" s="670"/>
      <c r="BM36" s="670"/>
      <c r="BN36" s="670"/>
      <c r="BO36" s="670"/>
      <c r="BP36" s="670"/>
      <c r="BQ36" s="670"/>
      <c r="BR36" s="670"/>
      <c r="BS36" s="670"/>
      <c r="BT36" s="670"/>
      <c r="BU36" s="670"/>
      <c r="BV36" s="670"/>
      <c r="BW36" s="670"/>
      <c r="BX36" s="670"/>
      <c r="BY36" s="670"/>
      <c r="BZ36" s="670"/>
      <c r="CA36" s="670"/>
      <c r="CB36" s="670"/>
      <c r="CC36" s="670"/>
      <c r="CD36" s="670"/>
      <c r="CE36" s="670"/>
      <c r="CF36" s="670"/>
      <c r="CG36" s="670"/>
      <c r="CH36" s="670"/>
      <c r="CI36" s="670"/>
      <c r="CJ36" s="670"/>
      <c r="CK36" s="670"/>
      <c r="CL36" s="670"/>
      <c r="CM36" s="670"/>
      <c r="CN36" s="670"/>
      <c r="CO36" s="670"/>
    </row>
    <row r="37" spans="1:93">
      <c r="A37" s="1684"/>
      <c r="B37" s="677"/>
      <c r="C37" s="677"/>
      <c r="D37" s="676"/>
      <c r="E37" s="677"/>
      <c r="F37" s="676"/>
      <c r="G37" s="677"/>
      <c r="H37" s="677"/>
      <c r="I37" s="677"/>
      <c r="J37" s="1572"/>
      <c r="K37" s="1353"/>
      <c r="L37" s="655"/>
      <c r="M37" s="655"/>
      <c r="N37" s="655"/>
      <c r="O37" s="655"/>
      <c r="P37" s="670"/>
      <c r="Q37" s="670"/>
      <c r="R37" s="655"/>
      <c r="S37" s="670"/>
      <c r="T37" s="670"/>
      <c r="U37" s="670"/>
      <c r="V37" s="670"/>
      <c r="W37" s="670"/>
      <c r="X37" s="670"/>
      <c r="Y37" s="670"/>
      <c r="Z37" s="670"/>
      <c r="AA37" s="670"/>
      <c r="AB37" s="670"/>
      <c r="AC37" s="670"/>
      <c r="AD37" s="670"/>
      <c r="AE37" s="670"/>
      <c r="AF37" s="670"/>
      <c r="AG37" s="670"/>
      <c r="AH37" s="670"/>
      <c r="AI37" s="670"/>
      <c r="AJ37" s="670"/>
      <c r="AK37" s="670"/>
      <c r="AL37" s="670"/>
      <c r="AM37" s="670"/>
      <c r="AN37" s="670"/>
      <c r="AO37" s="670"/>
      <c r="AP37" s="670"/>
      <c r="AQ37" s="670"/>
      <c r="AR37" s="670"/>
      <c r="AS37" s="670"/>
      <c r="AT37" s="670"/>
      <c r="AU37" s="670"/>
      <c r="AV37" s="670"/>
      <c r="AW37" s="670"/>
      <c r="AX37" s="670"/>
      <c r="AY37" s="670"/>
      <c r="AZ37" s="670"/>
      <c r="BA37" s="670"/>
      <c r="BB37" s="670"/>
      <c r="BC37" s="670"/>
      <c r="BD37" s="670"/>
      <c r="BE37" s="670"/>
      <c r="BF37" s="670"/>
      <c r="BG37" s="670"/>
      <c r="BH37" s="670"/>
      <c r="BI37" s="670"/>
      <c r="BJ37" s="670"/>
      <c r="BK37" s="670"/>
      <c r="BL37" s="670"/>
      <c r="BM37" s="670"/>
      <c r="BN37" s="670"/>
      <c r="BO37" s="670"/>
      <c r="BP37" s="670"/>
      <c r="BQ37" s="670"/>
      <c r="BR37" s="670"/>
      <c r="BS37" s="670"/>
      <c r="BT37" s="670"/>
      <c r="BU37" s="670"/>
      <c r="BV37" s="670"/>
      <c r="BW37" s="670"/>
      <c r="BX37" s="670"/>
      <c r="BY37" s="670"/>
      <c r="BZ37" s="670"/>
      <c r="CA37" s="670"/>
      <c r="CB37" s="670"/>
      <c r="CC37" s="670"/>
      <c r="CD37" s="670"/>
      <c r="CE37" s="670"/>
      <c r="CF37" s="670"/>
      <c r="CG37" s="670"/>
      <c r="CH37" s="670"/>
      <c r="CI37" s="670"/>
      <c r="CJ37" s="670"/>
      <c r="CK37" s="670"/>
      <c r="CL37" s="670"/>
      <c r="CM37" s="670"/>
      <c r="CN37" s="670"/>
      <c r="CO37" s="670"/>
    </row>
    <row r="38" spans="1:93" s="1279" customFormat="1">
      <c r="A38" s="1590"/>
      <c r="B38" s="703"/>
      <c r="C38" s="703"/>
      <c r="D38" s="704" t="s">
        <v>3484</v>
      </c>
      <c r="E38" s="703"/>
      <c r="F38" s="704" t="s">
        <v>2651</v>
      </c>
      <c r="G38" s="703"/>
      <c r="H38" s="703"/>
      <c r="I38" s="703"/>
      <c r="J38" s="1440" t="s">
        <v>1634</v>
      </c>
      <c r="K38" s="1354"/>
      <c r="L38" s="706"/>
      <c r="M38" s="706"/>
      <c r="N38" s="706"/>
      <c r="O38" s="706"/>
      <c r="P38" s="703"/>
      <c r="Q38" s="703"/>
      <c r="R38" s="706"/>
      <c r="S38" s="703"/>
      <c r="T38" s="703"/>
      <c r="U38" s="703"/>
      <c r="V38" s="703"/>
      <c r="W38" s="703"/>
      <c r="X38" s="703"/>
      <c r="Y38" s="703"/>
      <c r="Z38" s="703"/>
      <c r="AA38" s="703"/>
      <c r="AB38" s="703"/>
      <c r="AC38" s="703"/>
      <c r="AD38" s="703"/>
      <c r="AE38" s="703"/>
      <c r="AF38" s="703"/>
      <c r="AG38" s="703"/>
      <c r="AH38" s="703"/>
      <c r="AI38" s="703"/>
      <c r="AJ38" s="703"/>
      <c r="AK38" s="703"/>
      <c r="AL38" s="703"/>
      <c r="AM38" s="703"/>
      <c r="AN38" s="703"/>
      <c r="AO38" s="703"/>
      <c r="AP38" s="703"/>
      <c r="AQ38" s="703"/>
      <c r="AR38" s="703"/>
      <c r="AS38" s="703"/>
      <c r="AT38" s="703"/>
      <c r="AU38" s="703"/>
      <c r="AV38" s="703"/>
      <c r="AW38" s="703"/>
      <c r="AX38" s="703"/>
      <c r="AY38" s="703"/>
      <c r="AZ38" s="703"/>
      <c r="BA38" s="703"/>
      <c r="BB38" s="703"/>
      <c r="BC38" s="703"/>
      <c r="BD38" s="703"/>
      <c r="BE38" s="703"/>
      <c r="BF38" s="703"/>
      <c r="BG38" s="703"/>
      <c r="BH38" s="703"/>
      <c r="BI38" s="703"/>
      <c r="BJ38" s="703"/>
      <c r="BK38" s="703"/>
      <c r="BL38" s="703"/>
      <c r="BM38" s="703"/>
      <c r="BN38" s="703"/>
      <c r="BO38" s="703"/>
      <c r="BP38" s="703"/>
      <c r="BQ38" s="703"/>
      <c r="BR38" s="703"/>
      <c r="BS38" s="703"/>
      <c r="BT38" s="703"/>
      <c r="BU38" s="703"/>
      <c r="BV38" s="703"/>
      <c r="BW38" s="703"/>
      <c r="BX38" s="703"/>
      <c r="BY38" s="703"/>
      <c r="BZ38" s="703"/>
      <c r="CA38" s="703"/>
      <c r="CB38" s="703"/>
      <c r="CC38" s="703"/>
      <c r="CD38" s="703"/>
      <c r="CE38" s="703"/>
      <c r="CF38" s="703"/>
      <c r="CG38" s="703"/>
      <c r="CH38" s="703"/>
      <c r="CI38" s="703"/>
      <c r="CJ38" s="703"/>
      <c r="CK38" s="703"/>
      <c r="CL38" s="703"/>
      <c r="CM38" s="703"/>
      <c r="CN38" s="703"/>
      <c r="CO38" s="703"/>
    </row>
    <row r="39" spans="1:93" s="1279" customFormat="1">
      <c r="A39" s="1590"/>
      <c r="B39" s="703"/>
      <c r="C39" s="703"/>
      <c r="D39" s="706"/>
      <c r="E39" s="703"/>
      <c r="F39" s="706" t="s">
        <v>2422</v>
      </c>
      <c r="G39" s="703"/>
      <c r="H39" s="703"/>
      <c r="I39" s="703"/>
      <c r="J39" s="1441" t="s">
        <v>2422</v>
      </c>
      <c r="K39" s="1354"/>
      <c r="L39" s="706"/>
      <c r="M39" s="706"/>
      <c r="N39" s="706"/>
      <c r="O39" s="706"/>
      <c r="P39" s="703"/>
      <c r="Q39" s="703"/>
      <c r="R39" s="706"/>
      <c r="S39" s="703"/>
      <c r="T39" s="703"/>
      <c r="U39" s="703"/>
      <c r="V39" s="703"/>
      <c r="W39" s="703"/>
      <c r="X39" s="703"/>
      <c r="Y39" s="703"/>
      <c r="Z39" s="703"/>
      <c r="AA39" s="703"/>
      <c r="AB39" s="703"/>
      <c r="AC39" s="703"/>
      <c r="AD39" s="703"/>
      <c r="AE39" s="703"/>
      <c r="AF39" s="703"/>
      <c r="AG39" s="703"/>
      <c r="AH39" s="703"/>
      <c r="AI39" s="703"/>
      <c r="AJ39" s="703"/>
      <c r="AK39" s="703"/>
      <c r="AL39" s="703"/>
      <c r="AM39" s="703"/>
      <c r="AN39" s="703"/>
      <c r="AO39" s="703"/>
      <c r="AP39" s="703"/>
      <c r="AQ39" s="703"/>
      <c r="AR39" s="703"/>
      <c r="AS39" s="703"/>
      <c r="AT39" s="703"/>
      <c r="AU39" s="703"/>
      <c r="AV39" s="703"/>
      <c r="AW39" s="703"/>
      <c r="AX39" s="703"/>
      <c r="AY39" s="703"/>
      <c r="AZ39" s="703"/>
      <c r="BA39" s="703"/>
      <c r="BB39" s="703"/>
      <c r="BC39" s="703"/>
      <c r="BD39" s="703"/>
      <c r="BE39" s="703"/>
      <c r="BF39" s="703"/>
      <c r="BG39" s="703"/>
      <c r="BH39" s="703"/>
      <c r="BI39" s="703"/>
      <c r="BJ39" s="703"/>
      <c r="BK39" s="703"/>
      <c r="BL39" s="703"/>
      <c r="BM39" s="703"/>
      <c r="BN39" s="703"/>
      <c r="BO39" s="703"/>
      <c r="BP39" s="703"/>
      <c r="BQ39" s="703"/>
      <c r="BR39" s="703"/>
      <c r="BS39" s="703"/>
      <c r="BT39" s="703"/>
      <c r="BU39" s="703"/>
      <c r="BV39" s="703"/>
      <c r="BW39" s="703"/>
      <c r="BX39" s="703"/>
      <c r="BY39" s="703"/>
      <c r="BZ39" s="703"/>
      <c r="CA39" s="703"/>
      <c r="CB39" s="703"/>
      <c r="CC39" s="703"/>
      <c r="CD39" s="703"/>
      <c r="CE39" s="703"/>
      <c r="CF39" s="703"/>
      <c r="CG39" s="703"/>
      <c r="CH39" s="703"/>
      <c r="CI39" s="703"/>
      <c r="CJ39" s="703"/>
      <c r="CK39" s="703"/>
      <c r="CL39" s="703"/>
      <c r="CM39" s="703"/>
      <c r="CN39" s="703"/>
      <c r="CO39" s="703"/>
    </row>
    <row r="40" spans="1:93" s="707" customFormat="1">
      <c r="A40" s="1679" t="s">
        <v>387</v>
      </c>
      <c r="B40" s="682" t="s">
        <v>2254</v>
      </c>
      <c r="C40" s="682"/>
      <c r="D40" s="683"/>
      <c r="E40" s="682"/>
      <c r="F40" s="683"/>
      <c r="G40" s="682"/>
      <c r="H40" s="682"/>
      <c r="I40" s="682"/>
      <c r="J40" s="1446"/>
      <c r="K40" s="1356"/>
      <c r="L40" s="683"/>
      <c r="M40" s="683"/>
      <c r="N40" s="683"/>
      <c r="O40" s="683"/>
      <c r="P40" s="682"/>
      <c r="Q40" s="682"/>
      <c r="R40" s="683"/>
      <c r="S40" s="682"/>
      <c r="T40" s="682"/>
      <c r="U40" s="682"/>
      <c r="V40" s="682"/>
      <c r="W40" s="682"/>
      <c r="X40" s="682"/>
      <c r="Y40" s="682"/>
      <c r="Z40" s="682"/>
      <c r="AA40" s="682"/>
      <c r="AB40" s="682"/>
      <c r="AC40" s="682"/>
      <c r="AD40" s="682"/>
      <c r="AE40" s="682"/>
      <c r="AF40" s="682"/>
      <c r="AG40" s="682"/>
      <c r="AH40" s="682"/>
      <c r="AI40" s="682"/>
      <c r="AJ40" s="682"/>
      <c r="AK40" s="682"/>
      <c r="AL40" s="682"/>
      <c r="AM40" s="682"/>
      <c r="AN40" s="682"/>
      <c r="AO40" s="682"/>
      <c r="AP40" s="682"/>
      <c r="AQ40" s="682"/>
      <c r="AR40" s="682"/>
      <c r="AS40" s="682"/>
      <c r="AT40" s="682"/>
      <c r="AU40" s="682"/>
      <c r="AV40" s="682"/>
      <c r="AW40" s="682"/>
      <c r="AX40" s="682"/>
      <c r="AY40" s="682"/>
      <c r="AZ40" s="682"/>
      <c r="BA40" s="682"/>
      <c r="BB40" s="682"/>
      <c r="BC40" s="682"/>
      <c r="BD40" s="682"/>
      <c r="BE40" s="682"/>
      <c r="BF40" s="682"/>
      <c r="BG40" s="682"/>
      <c r="BH40" s="682"/>
      <c r="BI40" s="682"/>
      <c r="BJ40" s="682"/>
      <c r="BK40" s="682"/>
      <c r="BL40" s="682"/>
      <c r="BM40" s="682"/>
      <c r="BN40" s="682"/>
      <c r="BO40" s="682"/>
      <c r="BP40" s="682"/>
      <c r="BQ40" s="682"/>
      <c r="BR40" s="682"/>
      <c r="BS40" s="682"/>
      <c r="BT40" s="682"/>
      <c r="BU40" s="682"/>
      <c r="BV40" s="682"/>
      <c r="BW40" s="682"/>
      <c r="BX40" s="682"/>
      <c r="BY40" s="682"/>
      <c r="BZ40" s="682"/>
      <c r="CA40" s="682"/>
      <c r="CB40" s="682"/>
      <c r="CC40" s="682"/>
      <c r="CD40" s="682"/>
      <c r="CE40" s="682"/>
      <c r="CF40" s="682"/>
      <c r="CG40" s="682"/>
      <c r="CH40" s="682"/>
      <c r="CI40" s="682"/>
      <c r="CJ40" s="682"/>
      <c r="CK40" s="682"/>
      <c r="CL40" s="682"/>
      <c r="CM40" s="682"/>
      <c r="CN40" s="682"/>
      <c r="CO40" s="682"/>
    </row>
    <row r="41" spans="1:93">
      <c r="A41" s="1590"/>
      <c r="B41" s="708" t="s">
        <v>2255</v>
      </c>
      <c r="C41" s="708"/>
      <c r="D41" s="655">
        <f>-'TRAIL BALANCE'!S621-'TRAIL BALANCE'!S622-'TRAIL BALANCE'!S623-'TRAIL BALANCE'!S624-'TRAIL BALANCE'!S625-'TRAIL BALANCE'!S626-'TRAIL BALANCE'!S627</f>
        <v>40994741.689999998</v>
      </c>
      <c r="E41" s="670"/>
      <c r="F41" s="655">
        <f>-'TRAIL BALANCE'!G621-'TRAIL BALANCE'!G622-'TRAIL BALANCE'!G623-'TRAIL BALANCE'!G624-'TRAIL BALANCE'!G625-'TRAIL BALANCE'!G626</f>
        <v>29200709.390000001</v>
      </c>
      <c r="G41" s="670"/>
      <c r="H41" s="670"/>
      <c r="I41" s="670"/>
      <c r="J41" s="1439">
        <f>-'TRAIL BALANCE'!E632</f>
        <v>20757570.349999998</v>
      </c>
      <c r="K41" s="1355"/>
      <c r="L41" s="655"/>
      <c r="M41" s="683" t="s">
        <v>45</v>
      </c>
      <c r="N41" s="655"/>
      <c r="O41" s="655"/>
      <c r="P41" s="670"/>
      <c r="Q41" s="670"/>
      <c r="R41" s="655"/>
      <c r="S41" s="670"/>
      <c r="T41" s="670"/>
      <c r="U41" s="670"/>
      <c r="V41" s="670"/>
      <c r="W41" s="670"/>
      <c r="X41" s="670"/>
      <c r="Y41" s="670"/>
      <c r="Z41" s="670"/>
      <c r="AA41" s="670"/>
      <c r="AB41" s="670"/>
      <c r="AC41" s="670"/>
      <c r="AD41" s="670"/>
      <c r="AE41" s="670"/>
      <c r="AF41" s="670"/>
      <c r="AG41" s="670"/>
      <c r="AH41" s="670"/>
      <c r="AI41" s="670"/>
      <c r="AJ41" s="670"/>
      <c r="AK41" s="670"/>
      <c r="AL41" s="670"/>
      <c r="AM41" s="670"/>
      <c r="AN41" s="670"/>
      <c r="AO41" s="670"/>
      <c r="AP41" s="670"/>
      <c r="AQ41" s="670"/>
      <c r="AR41" s="670"/>
      <c r="AS41" s="670"/>
      <c r="AT41" s="670"/>
      <c r="AU41" s="670"/>
      <c r="AV41" s="670"/>
      <c r="AW41" s="670"/>
      <c r="AX41" s="670"/>
      <c r="AY41" s="670"/>
      <c r="AZ41" s="670"/>
      <c r="BA41" s="670"/>
      <c r="BB41" s="670"/>
      <c r="BC41" s="670"/>
      <c r="BD41" s="670"/>
      <c r="BE41" s="670"/>
      <c r="BF41" s="670"/>
      <c r="BG41" s="670"/>
      <c r="BH41" s="670"/>
      <c r="BI41" s="670"/>
      <c r="BJ41" s="670"/>
      <c r="BK41" s="670"/>
      <c r="BL41" s="670"/>
      <c r="BM41" s="670"/>
      <c r="BN41" s="670"/>
      <c r="BO41" s="670"/>
      <c r="BP41" s="670"/>
      <c r="BQ41" s="670"/>
      <c r="BR41" s="670"/>
      <c r="BS41" s="670"/>
      <c r="BT41" s="670"/>
      <c r="BU41" s="670"/>
      <c r="BV41" s="670"/>
      <c r="BW41" s="670"/>
      <c r="BX41" s="670"/>
      <c r="BY41" s="670"/>
      <c r="BZ41" s="670"/>
      <c r="CA41" s="670"/>
      <c r="CB41" s="670"/>
      <c r="CC41" s="670"/>
      <c r="CD41" s="670"/>
      <c r="CE41" s="670"/>
      <c r="CF41" s="670"/>
      <c r="CG41" s="670"/>
      <c r="CH41" s="670"/>
      <c r="CI41" s="670"/>
      <c r="CJ41" s="670"/>
      <c r="CK41" s="670"/>
      <c r="CL41" s="670"/>
      <c r="CM41" s="670"/>
      <c r="CN41" s="670"/>
      <c r="CO41" s="670"/>
    </row>
    <row r="42" spans="1:93">
      <c r="A42" s="1590"/>
      <c r="B42" s="708" t="s">
        <v>3354</v>
      </c>
      <c r="C42" s="708"/>
      <c r="D42" s="655">
        <f>-'TRAIL BALANCE'!S628</f>
        <v>754842.32000000007</v>
      </c>
      <c r="E42" s="670"/>
      <c r="F42" s="655">
        <v>231262.92</v>
      </c>
      <c r="G42" s="670"/>
      <c r="H42" s="670"/>
      <c r="I42" s="670"/>
      <c r="J42" s="1439">
        <v>0</v>
      </c>
      <c r="K42" s="1355"/>
      <c r="L42" s="685" t="s">
        <v>45</v>
      </c>
      <c r="M42" s="683" t="s">
        <v>45</v>
      </c>
      <c r="N42" s="655"/>
      <c r="O42" s="655"/>
      <c r="P42" s="670"/>
      <c r="Q42" s="670"/>
      <c r="R42" s="655"/>
      <c r="S42" s="670"/>
      <c r="T42" s="670"/>
      <c r="U42" s="670"/>
      <c r="V42" s="670"/>
      <c r="W42" s="670"/>
      <c r="X42" s="670"/>
      <c r="Y42" s="670"/>
      <c r="Z42" s="670"/>
      <c r="AA42" s="670"/>
      <c r="AB42" s="670"/>
      <c r="AC42" s="670"/>
      <c r="AD42" s="670"/>
      <c r="AE42" s="670"/>
      <c r="AF42" s="670"/>
      <c r="AG42" s="670"/>
      <c r="AH42" s="670"/>
      <c r="AI42" s="670"/>
      <c r="AJ42" s="670"/>
      <c r="AK42" s="670"/>
      <c r="AL42" s="670"/>
      <c r="AM42" s="670"/>
      <c r="AN42" s="670"/>
      <c r="AO42" s="670"/>
      <c r="AP42" s="670"/>
      <c r="AQ42" s="670"/>
      <c r="AR42" s="670"/>
      <c r="AS42" s="670"/>
      <c r="AT42" s="670"/>
      <c r="AU42" s="670"/>
      <c r="AV42" s="670"/>
      <c r="AW42" s="670"/>
      <c r="AX42" s="670"/>
      <c r="AY42" s="670"/>
      <c r="AZ42" s="670"/>
      <c r="BA42" s="670"/>
      <c r="BB42" s="670"/>
      <c r="BC42" s="670"/>
      <c r="BD42" s="670"/>
      <c r="BE42" s="670"/>
      <c r="BF42" s="670"/>
      <c r="BG42" s="670"/>
      <c r="BH42" s="670"/>
      <c r="BI42" s="670"/>
      <c r="BJ42" s="670"/>
      <c r="BK42" s="670"/>
      <c r="BL42" s="670"/>
      <c r="BM42" s="670"/>
      <c r="BN42" s="670"/>
      <c r="BO42" s="670"/>
      <c r="BP42" s="670"/>
      <c r="BQ42" s="670"/>
      <c r="BR42" s="670"/>
      <c r="BS42" s="670"/>
      <c r="BT42" s="670"/>
      <c r="BU42" s="670"/>
      <c r="BV42" s="670"/>
      <c r="BW42" s="670"/>
      <c r="BX42" s="670"/>
      <c r="BY42" s="670"/>
      <c r="BZ42" s="670"/>
      <c r="CA42" s="670"/>
      <c r="CB42" s="670"/>
      <c r="CC42" s="670"/>
      <c r="CD42" s="670"/>
      <c r="CE42" s="670"/>
      <c r="CF42" s="670"/>
      <c r="CG42" s="670"/>
      <c r="CH42" s="670"/>
      <c r="CI42" s="670"/>
      <c r="CJ42" s="670"/>
      <c r="CK42" s="670"/>
      <c r="CL42" s="670"/>
      <c r="CM42" s="670"/>
      <c r="CN42" s="670"/>
      <c r="CO42" s="670"/>
    </row>
    <row r="43" spans="1:93">
      <c r="A43" s="1590"/>
      <c r="B43" s="708" t="s">
        <v>2256</v>
      </c>
      <c r="C43" s="708"/>
      <c r="D43" s="655">
        <f>-'TRAIL BALANCE'!S468</f>
        <v>5016917.6399999997</v>
      </c>
      <c r="E43" s="670"/>
      <c r="F43" s="655">
        <f>-'TRAIL BALANCE'!G468</f>
        <v>4232136.21</v>
      </c>
      <c r="G43" s="670"/>
      <c r="H43" s="670"/>
      <c r="I43" s="670"/>
      <c r="J43" s="1439">
        <f>-'TRAIL BALANCE'!E468</f>
        <v>3910829.34</v>
      </c>
      <c r="K43" s="1355"/>
      <c r="L43" s="685" t="s">
        <v>45</v>
      </c>
      <c r="M43" s="655"/>
      <c r="N43" s="655"/>
      <c r="O43" s="655"/>
      <c r="P43" s="670"/>
      <c r="Q43" s="670"/>
      <c r="R43" s="655"/>
      <c r="S43" s="670"/>
      <c r="T43" s="670"/>
      <c r="U43" s="670"/>
      <c r="V43" s="670"/>
      <c r="W43" s="670"/>
      <c r="X43" s="670"/>
      <c r="Y43" s="670"/>
      <c r="Z43" s="670"/>
      <c r="AA43" s="670"/>
      <c r="AB43" s="670"/>
      <c r="AC43" s="670"/>
      <c r="AD43" s="670"/>
      <c r="AE43" s="670"/>
      <c r="AF43" s="670"/>
      <c r="AG43" s="670"/>
      <c r="AH43" s="670"/>
      <c r="AI43" s="670"/>
      <c r="AJ43" s="670"/>
      <c r="AK43" s="670"/>
      <c r="AL43" s="670"/>
      <c r="AM43" s="670"/>
      <c r="AN43" s="670"/>
      <c r="AO43" s="670"/>
      <c r="AP43" s="670"/>
      <c r="AQ43" s="670"/>
      <c r="AR43" s="670"/>
      <c r="AS43" s="670"/>
      <c r="AT43" s="670"/>
      <c r="AU43" s="670"/>
      <c r="AV43" s="670"/>
      <c r="AW43" s="670"/>
      <c r="AX43" s="670"/>
      <c r="AY43" s="670"/>
      <c r="AZ43" s="670"/>
      <c r="BA43" s="670"/>
      <c r="BB43" s="670"/>
      <c r="BC43" s="670"/>
      <c r="BD43" s="670"/>
      <c r="BE43" s="670"/>
      <c r="BF43" s="670"/>
      <c r="BG43" s="670"/>
      <c r="BH43" s="670"/>
      <c r="BI43" s="670"/>
      <c r="BJ43" s="670"/>
      <c r="BK43" s="670"/>
      <c r="BL43" s="670"/>
      <c r="BM43" s="670"/>
      <c r="BN43" s="670"/>
      <c r="BO43" s="670"/>
      <c r="BP43" s="670"/>
      <c r="BQ43" s="670"/>
      <c r="BR43" s="670"/>
      <c r="BS43" s="670"/>
      <c r="BT43" s="670"/>
      <c r="BU43" s="670"/>
      <c r="BV43" s="670"/>
      <c r="BW43" s="670"/>
      <c r="BX43" s="670"/>
      <c r="BY43" s="670"/>
      <c r="BZ43" s="670"/>
      <c r="CA43" s="670"/>
      <c r="CB43" s="670"/>
      <c r="CC43" s="670"/>
      <c r="CD43" s="670"/>
      <c r="CE43" s="670"/>
      <c r="CF43" s="670"/>
      <c r="CG43" s="670"/>
      <c r="CH43" s="670"/>
      <c r="CI43" s="670"/>
      <c r="CJ43" s="670"/>
      <c r="CK43" s="670"/>
      <c r="CL43" s="670"/>
      <c r="CM43" s="670"/>
      <c r="CN43" s="670"/>
      <c r="CO43" s="670"/>
    </row>
    <row r="44" spans="1:93" ht="13.5" thickBot="1">
      <c r="A44" s="1590"/>
      <c r="B44" s="709" t="s">
        <v>2257</v>
      </c>
      <c r="C44" s="709"/>
      <c r="D44" s="710">
        <f>SUM(D41:D43)</f>
        <v>46766501.649999999</v>
      </c>
      <c r="E44" s="670"/>
      <c r="F44" s="710">
        <f>SUM(F41:F43)</f>
        <v>33664108.520000003</v>
      </c>
      <c r="G44" s="670"/>
      <c r="H44" s="670"/>
      <c r="I44" s="670"/>
      <c r="J44" s="1685">
        <f>SUM(J41:J43)</f>
        <v>24668399.689999998</v>
      </c>
      <c r="K44" s="1355"/>
      <c r="L44" s="655" t="s">
        <v>45</v>
      </c>
      <c r="M44" s="655"/>
      <c r="N44" s="655"/>
      <c r="O44" s="655"/>
      <c r="P44" s="670"/>
      <c r="Q44" s="670"/>
      <c r="R44" s="655"/>
      <c r="S44" s="670"/>
      <c r="T44" s="670"/>
      <c r="U44" s="670"/>
      <c r="V44" s="670"/>
      <c r="W44" s="670"/>
      <c r="X44" s="670"/>
      <c r="Y44" s="670"/>
      <c r="Z44" s="670"/>
      <c r="AA44" s="670"/>
      <c r="AB44" s="670"/>
      <c r="AC44" s="670"/>
      <c r="AD44" s="670"/>
      <c r="AE44" s="670"/>
      <c r="AF44" s="670"/>
      <c r="AG44" s="670"/>
      <c r="AH44" s="670"/>
      <c r="AI44" s="670"/>
      <c r="AJ44" s="670"/>
      <c r="AK44" s="670"/>
      <c r="AL44" s="670"/>
      <c r="AM44" s="670"/>
      <c r="AN44" s="670"/>
      <c r="AO44" s="670"/>
      <c r="AP44" s="670"/>
      <c r="AQ44" s="670"/>
      <c r="AR44" s="670"/>
      <c r="AS44" s="670"/>
      <c r="AT44" s="670"/>
      <c r="AU44" s="670"/>
      <c r="AV44" s="670"/>
      <c r="AW44" s="670"/>
      <c r="AX44" s="670"/>
      <c r="AY44" s="670"/>
      <c r="AZ44" s="670"/>
      <c r="BA44" s="670"/>
      <c r="BB44" s="670"/>
      <c r="BC44" s="670"/>
      <c r="BD44" s="670"/>
      <c r="BE44" s="670"/>
      <c r="BF44" s="670"/>
      <c r="BG44" s="670"/>
      <c r="BH44" s="670"/>
      <c r="BI44" s="670"/>
      <c r="BJ44" s="670"/>
      <c r="BK44" s="670"/>
      <c r="BL44" s="670"/>
      <c r="BM44" s="670"/>
      <c r="BN44" s="670"/>
      <c r="BO44" s="670"/>
      <c r="BP44" s="670"/>
      <c r="BQ44" s="670"/>
      <c r="BR44" s="670"/>
      <c r="BS44" s="670"/>
      <c r="BT44" s="670"/>
      <c r="BU44" s="670"/>
      <c r="BV44" s="670"/>
      <c r="BW44" s="670"/>
      <c r="BX44" s="670"/>
      <c r="BY44" s="670"/>
      <c r="BZ44" s="670"/>
      <c r="CA44" s="670"/>
      <c r="CB44" s="670"/>
      <c r="CC44" s="670"/>
      <c r="CD44" s="670"/>
      <c r="CE44" s="670"/>
      <c r="CF44" s="670"/>
      <c r="CG44" s="670"/>
      <c r="CH44" s="670"/>
      <c r="CI44" s="670"/>
      <c r="CJ44" s="670"/>
      <c r="CK44" s="670"/>
      <c r="CL44" s="670"/>
      <c r="CM44" s="670"/>
      <c r="CN44" s="670"/>
      <c r="CO44" s="670"/>
    </row>
    <row r="45" spans="1:93" ht="13.5" thickTop="1">
      <c r="A45" s="1596"/>
      <c r="B45" s="699"/>
      <c r="C45" s="699"/>
      <c r="D45" s="700"/>
      <c r="E45" s="699"/>
      <c r="F45" s="700"/>
      <c r="G45" s="699"/>
      <c r="H45" s="699"/>
      <c r="I45" s="699"/>
      <c r="J45" s="1570"/>
      <c r="K45" s="1352"/>
      <c r="L45" s="655" t="s">
        <v>45</v>
      </c>
      <c r="M45" s="655" t="s">
        <v>45</v>
      </c>
      <c r="N45" s="655" t="s">
        <v>45</v>
      </c>
      <c r="O45" s="655" t="s">
        <v>45</v>
      </c>
      <c r="P45" s="670" t="s">
        <v>45</v>
      </c>
      <c r="Q45" s="670"/>
      <c r="R45" s="655">
        <v>20974110</v>
      </c>
      <c r="S45" s="670"/>
      <c r="T45" s="670"/>
      <c r="U45" s="670"/>
      <c r="V45" s="670"/>
      <c r="W45" s="670"/>
      <c r="X45" s="670"/>
      <c r="Y45" s="670"/>
      <c r="Z45" s="670"/>
      <c r="AA45" s="670"/>
      <c r="AB45" s="670"/>
      <c r="AC45" s="670"/>
      <c r="AD45" s="670"/>
      <c r="AE45" s="670"/>
      <c r="AF45" s="670"/>
      <c r="AG45" s="670"/>
      <c r="AH45" s="670"/>
      <c r="AI45" s="670"/>
      <c r="AJ45" s="670"/>
      <c r="AK45" s="670"/>
      <c r="AL45" s="670"/>
      <c r="AM45" s="670"/>
      <c r="AN45" s="670"/>
      <c r="AO45" s="670"/>
      <c r="AP45" s="670"/>
      <c r="AQ45" s="670"/>
      <c r="AR45" s="670"/>
      <c r="AS45" s="670"/>
      <c r="AT45" s="670"/>
      <c r="AU45" s="670"/>
      <c r="AV45" s="670"/>
      <c r="AW45" s="670"/>
      <c r="AX45" s="670"/>
      <c r="AY45" s="670"/>
      <c r="AZ45" s="670"/>
      <c r="BA45" s="670"/>
      <c r="BB45" s="670"/>
      <c r="BC45" s="670"/>
      <c r="BD45" s="670"/>
      <c r="BE45" s="670"/>
      <c r="BF45" s="670"/>
      <c r="BG45" s="670"/>
      <c r="BH45" s="670"/>
      <c r="BI45" s="670"/>
      <c r="BJ45" s="670"/>
      <c r="BK45" s="670"/>
      <c r="BL45" s="670"/>
      <c r="BM45" s="670"/>
      <c r="BN45" s="670"/>
      <c r="BO45" s="670"/>
      <c r="BP45" s="670"/>
      <c r="BQ45" s="670"/>
      <c r="BR45" s="670"/>
      <c r="BS45" s="670"/>
      <c r="BT45" s="670"/>
      <c r="BU45" s="670"/>
      <c r="BV45" s="670"/>
      <c r="BW45" s="670"/>
      <c r="BX45" s="670"/>
      <c r="BY45" s="670"/>
      <c r="BZ45" s="670"/>
      <c r="CA45" s="670"/>
      <c r="CB45" s="670"/>
      <c r="CC45" s="670"/>
      <c r="CD45" s="670"/>
      <c r="CE45" s="670"/>
      <c r="CF45" s="670"/>
      <c r="CG45" s="670"/>
      <c r="CH45" s="670"/>
      <c r="CI45" s="670"/>
      <c r="CJ45" s="670"/>
      <c r="CK45" s="670"/>
      <c r="CL45" s="670"/>
      <c r="CM45" s="670"/>
      <c r="CN45" s="670"/>
      <c r="CO45" s="670"/>
    </row>
    <row r="46" spans="1:93">
      <c r="A46" s="1684"/>
      <c r="B46" s="677"/>
      <c r="C46" s="677"/>
      <c r="D46" s="676"/>
      <c r="E46" s="677"/>
      <c r="F46" s="676"/>
      <c r="G46" s="677"/>
      <c r="H46" s="677"/>
      <c r="I46" s="677"/>
      <c r="J46" s="1572"/>
      <c r="K46" s="1353"/>
      <c r="L46" s="655" t="s">
        <v>45</v>
      </c>
      <c r="M46" s="655" t="s">
        <v>45</v>
      </c>
      <c r="N46" s="655" t="s">
        <v>45</v>
      </c>
      <c r="O46" s="655" t="s">
        <v>45</v>
      </c>
      <c r="P46" s="670" t="s">
        <v>45</v>
      </c>
      <c r="Q46" s="670"/>
      <c r="R46" s="655">
        <v>3922308</v>
      </c>
      <c r="S46" s="670"/>
      <c r="T46" s="670"/>
      <c r="U46" s="670"/>
      <c r="V46" s="670"/>
      <c r="W46" s="670"/>
      <c r="X46" s="670"/>
      <c r="Y46" s="670"/>
      <c r="Z46" s="670"/>
      <c r="AA46" s="670"/>
      <c r="AB46" s="670"/>
      <c r="AC46" s="670"/>
      <c r="AD46" s="670"/>
      <c r="AE46" s="670"/>
      <c r="AF46" s="670"/>
      <c r="AG46" s="670"/>
      <c r="AH46" s="670"/>
      <c r="AI46" s="670"/>
      <c r="AJ46" s="670"/>
      <c r="AK46" s="670"/>
      <c r="AL46" s="670"/>
      <c r="AM46" s="670"/>
      <c r="AN46" s="670"/>
      <c r="AO46" s="670"/>
      <c r="AP46" s="670"/>
      <c r="AQ46" s="670"/>
      <c r="AR46" s="670"/>
      <c r="AS46" s="670"/>
      <c r="AT46" s="670"/>
      <c r="AU46" s="670"/>
      <c r="AV46" s="670"/>
      <c r="AW46" s="670"/>
      <c r="AX46" s="670"/>
      <c r="AY46" s="670"/>
      <c r="AZ46" s="670"/>
      <c r="BA46" s="670"/>
      <c r="BB46" s="670"/>
      <c r="BC46" s="670"/>
      <c r="BD46" s="670"/>
      <c r="BE46" s="670"/>
      <c r="BF46" s="670"/>
      <c r="BG46" s="670"/>
      <c r="BH46" s="670"/>
      <c r="BI46" s="670"/>
      <c r="BJ46" s="670"/>
      <c r="BK46" s="670"/>
      <c r="BL46" s="670"/>
      <c r="BM46" s="670"/>
      <c r="BN46" s="670"/>
      <c r="BO46" s="670"/>
      <c r="BP46" s="670"/>
      <c r="BQ46" s="670"/>
      <c r="BR46" s="670"/>
      <c r="BS46" s="670"/>
      <c r="BT46" s="670"/>
      <c r="BU46" s="670"/>
      <c r="BV46" s="670"/>
      <c r="BW46" s="670"/>
      <c r="BX46" s="670"/>
      <c r="BY46" s="670"/>
      <c r="BZ46" s="670"/>
      <c r="CA46" s="670"/>
      <c r="CB46" s="670"/>
      <c r="CC46" s="670"/>
      <c r="CD46" s="670"/>
      <c r="CE46" s="670"/>
      <c r="CF46" s="670"/>
      <c r="CG46" s="670"/>
      <c r="CH46" s="670"/>
      <c r="CI46" s="670"/>
      <c r="CJ46" s="670"/>
      <c r="CK46" s="670"/>
      <c r="CL46" s="670"/>
      <c r="CM46" s="670"/>
      <c r="CN46" s="670"/>
      <c r="CO46" s="670"/>
    </row>
    <row r="47" spans="1:93">
      <c r="A47" s="1590"/>
      <c r="B47" s="670"/>
      <c r="C47" s="670"/>
      <c r="D47" s="704" t="s">
        <v>3484</v>
      </c>
      <c r="E47" s="670"/>
      <c r="F47" s="704" t="s">
        <v>2651</v>
      </c>
      <c r="G47" s="703"/>
      <c r="H47" s="703"/>
      <c r="I47" s="703"/>
      <c r="J47" s="1440" t="s">
        <v>1634</v>
      </c>
      <c r="K47" s="1355"/>
      <c r="L47" s="655"/>
      <c r="M47" s="655"/>
      <c r="N47" s="683" t="s">
        <v>45</v>
      </c>
      <c r="O47" s="655" t="s">
        <v>45</v>
      </c>
      <c r="P47" s="670"/>
      <c r="Q47" s="670"/>
      <c r="R47" s="655"/>
      <c r="S47" s="670"/>
      <c r="T47" s="670"/>
      <c r="U47" s="670"/>
      <c r="V47" s="670"/>
      <c r="W47" s="670"/>
      <c r="X47" s="670"/>
      <c r="Y47" s="670"/>
      <c r="Z47" s="670"/>
      <c r="AA47" s="670"/>
      <c r="AB47" s="670"/>
      <c r="AC47" s="670"/>
      <c r="AD47" s="670"/>
      <c r="AE47" s="670"/>
      <c r="AF47" s="670"/>
      <c r="AG47" s="670"/>
      <c r="AH47" s="670"/>
      <c r="AI47" s="670"/>
      <c r="AJ47" s="670"/>
      <c r="AK47" s="670"/>
      <c r="AL47" s="670"/>
      <c r="AM47" s="670"/>
      <c r="AN47" s="670"/>
      <c r="AO47" s="670"/>
      <c r="AP47" s="670"/>
      <c r="AQ47" s="670"/>
      <c r="AR47" s="670"/>
      <c r="AS47" s="670"/>
      <c r="AT47" s="670"/>
      <c r="AU47" s="670"/>
      <c r="AV47" s="670"/>
      <c r="AW47" s="670"/>
      <c r="AX47" s="670"/>
      <c r="AY47" s="670"/>
      <c r="AZ47" s="670"/>
      <c r="BA47" s="670"/>
      <c r="BB47" s="670"/>
      <c r="BC47" s="670"/>
      <c r="BD47" s="670"/>
      <c r="BE47" s="670"/>
      <c r="BF47" s="670"/>
      <c r="BG47" s="670"/>
      <c r="BH47" s="670"/>
      <c r="BI47" s="670"/>
      <c r="BJ47" s="670"/>
      <c r="BK47" s="670"/>
      <c r="BL47" s="670"/>
      <c r="BM47" s="670"/>
      <c r="BN47" s="670"/>
      <c r="BO47" s="670"/>
      <c r="BP47" s="670"/>
      <c r="BQ47" s="670"/>
      <c r="BR47" s="670"/>
      <c r="BS47" s="670"/>
      <c r="BT47" s="670"/>
      <c r="BU47" s="670"/>
      <c r="BV47" s="670"/>
      <c r="BW47" s="670"/>
      <c r="BX47" s="670"/>
      <c r="BY47" s="670"/>
      <c r="BZ47" s="670"/>
      <c r="CA47" s="670"/>
      <c r="CB47" s="670"/>
      <c r="CC47" s="670"/>
      <c r="CD47" s="670"/>
      <c r="CE47" s="670"/>
      <c r="CF47" s="670"/>
      <c r="CG47" s="670"/>
      <c r="CH47" s="670"/>
      <c r="CI47" s="670"/>
      <c r="CJ47" s="670"/>
      <c r="CK47" s="670"/>
      <c r="CL47" s="670"/>
      <c r="CM47" s="670"/>
      <c r="CN47" s="670"/>
      <c r="CO47" s="670"/>
    </row>
    <row r="48" spans="1:93">
      <c r="A48" s="1590"/>
      <c r="B48" s="670"/>
      <c r="C48" s="670"/>
      <c r="D48" s="655"/>
      <c r="E48" s="670"/>
      <c r="F48" s="706" t="s">
        <v>2422</v>
      </c>
      <c r="G48" s="703"/>
      <c r="H48" s="703"/>
      <c r="I48" s="703"/>
      <c r="J48" s="1441" t="s">
        <v>2422</v>
      </c>
      <c r="K48" s="1355"/>
      <c r="L48" s="655"/>
      <c r="M48" s="655"/>
      <c r="N48" s="655"/>
      <c r="O48" s="655"/>
      <c r="P48" s="670"/>
      <c r="Q48" s="670"/>
      <c r="R48" s="655"/>
      <c r="S48" s="670"/>
      <c r="T48" s="670"/>
      <c r="U48" s="670"/>
      <c r="V48" s="670"/>
      <c r="W48" s="670"/>
      <c r="X48" s="670"/>
      <c r="Y48" s="670"/>
      <c r="Z48" s="670"/>
      <c r="AA48" s="670"/>
      <c r="AB48" s="670"/>
      <c r="AC48" s="670"/>
      <c r="AD48" s="670"/>
      <c r="AE48" s="670"/>
      <c r="AF48" s="670"/>
      <c r="AG48" s="670"/>
      <c r="AH48" s="670"/>
      <c r="AI48" s="670"/>
      <c r="AJ48" s="670"/>
      <c r="AK48" s="670"/>
      <c r="AL48" s="670"/>
      <c r="AM48" s="670"/>
      <c r="AN48" s="670"/>
      <c r="AO48" s="670"/>
      <c r="AP48" s="670"/>
      <c r="AQ48" s="670"/>
      <c r="AR48" s="670"/>
      <c r="AS48" s="670"/>
      <c r="AT48" s="670"/>
      <c r="AU48" s="670"/>
      <c r="AV48" s="670"/>
      <c r="AW48" s="670"/>
      <c r="AX48" s="670"/>
      <c r="AY48" s="670"/>
      <c r="AZ48" s="670"/>
      <c r="BA48" s="670"/>
      <c r="BB48" s="670"/>
      <c r="BC48" s="670"/>
      <c r="BD48" s="670"/>
      <c r="BE48" s="670"/>
      <c r="BF48" s="670"/>
      <c r="BG48" s="670"/>
      <c r="BH48" s="670"/>
      <c r="BI48" s="670"/>
      <c r="BJ48" s="670"/>
      <c r="BK48" s="670"/>
      <c r="BL48" s="670"/>
      <c r="BM48" s="670"/>
      <c r="BN48" s="670"/>
      <c r="BO48" s="670"/>
      <c r="BP48" s="670"/>
      <c r="BQ48" s="670"/>
      <c r="BR48" s="670"/>
      <c r="BS48" s="670"/>
      <c r="BT48" s="670"/>
      <c r="BU48" s="670"/>
      <c r="BV48" s="670"/>
      <c r="BW48" s="670"/>
      <c r="BX48" s="670"/>
      <c r="BY48" s="670"/>
      <c r="BZ48" s="670"/>
      <c r="CA48" s="670"/>
      <c r="CB48" s="670"/>
      <c r="CC48" s="670"/>
      <c r="CD48" s="670"/>
      <c r="CE48" s="670"/>
      <c r="CF48" s="670"/>
      <c r="CG48" s="670"/>
      <c r="CH48" s="670"/>
      <c r="CI48" s="670"/>
      <c r="CJ48" s="670"/>
      <c r="CK48" s="670"/>
      <c r="CL48" s="670"/>
      <c r="CM48" s="670"/>
      <c r="CN48" s="670"/>
      <c r="CO48" s="670"/>
    </row>
    <row r="49" spans="1:93" s="707" customFormat="1">
      <c r="A49" s="1679" t="s">
        <v>719</v>
      </c>
      <c r="B49" s="682" t="s">
        <v>2258</v>
      </c>
      <c r="C49" s="682"/>
      <c r="D49" s="683"/>
      <c r="E49" s="682"/>
      <c r="F49" s="683"/>
      <c r="G49" s="682"/>
      <c r="H49" s="682"/>
      <c r="I49" s="682"/>
      <c r="J49" s="1446"/>
      <c r="K49" s="1356"/>
      <c r="L49" s="683"/>
      <c r="M49" s="683"/>
      <c r="N49" s="683"/>
      <c r="O49" s="683"/>
      <c r="P49" s="682"/>
      <c r="Q49" s="682"/>
      <c r="R49" s="683"/>
      <c r="S49" s="682"/>
      <c r="T49" s="682"/>
      <c r="U49" s="682"/>
      <c r="V49" s="682"/>
      <c r="W49" s="682"/>
      <c r="X49" s="682"/>
      <c r="Y49" s="682"/>
      <c r="Z49" s="682"/>
      <c r="AA49" s="682"/>
      <c r="AB49" s="682"/>
      <c r="AC49" s="682"/>
      <c r="AD49" s="682"/>
      <c r="AE49" s="682"/>
      <c r="AF49" s="682"/>
      <c r="AG49" s="682"/>
      <c r="AH49" s="682"/>
      <c r="AI49" s="682"/>
      <c r="AJ49" s="682"/>
      <c r="AK49" s="682"/>
      <c r="AL49" s="682"/>
      <c r="AM49" s="682"/>
      <c r="AN49" s="682"/>
      <c r="AO49" s="682"/>
      <c r="AP49" s="682"/>
      <c r="AQ49" s="682"/>
      <c r="AR49" s="682"/>
      <c r="AS49" s="682"/>
      <c r="AT49" s="682"/>
      <c r="AU49" s="682"/>
      <c r="AV49" s="682"/>
      <c r="AW49" s="682"/>
      <c r="AX49" s="682"/>
      <c r="AY49" s="682"/>
      <c r="AZ49" s="682"/>
      <c r="BA49" s="682"/>
      <c r="BB49" s="682"/>
      <c r="BC49" s="682"/>
      <c r="BD49" s="682"/>
      <c r="BE49" s="682"/>
      <c r="BF49" s="682"/>
      <c r="BG49" s="682"/>
      <c r="BH49" s="682"/>
      <c r="BI49" s="682"/>
      <c r="BJ49" s="682"/>
      <c r="BK49" s="682"/>
      <c r="BL49" s="682"/>
      <c r="BM49" s="682"/>
      <c r="BN49" s="682"/>
      <c r="BO49" s="682"/>
      <c r="BP49" s="682"/>
      <c r="BQ49" s="682"/>
      <c r="BR49" s="682"/>
      <c r="BS49" s="682"/>
      <c r="BT49" s="682"/>
      <c r="BU49" s="682"/>
      <c r="BV49" s="682"/>
      <c r="BW49" s="682"/>
      <c r="BX49" s="682"/>
      <c r="BY49" s="682"/>
      <c r="BZ49" s="682"/>
      <c r="CA49" s="682"/>
      <c r="CB49" s="682"/>
      <c r="CC49" s="682"/>
      <c r="CD49" s="682"/>
      <c r="CE49" s="682"/>
      <c r="CF49" s="682"/>
      <c r="CG49" s="682"/>
      <c r="CH49" s="682"/>
      <c r="CI49" s="682"/>
      <c r="CJ49" s="682"/>
      <c r="CK49" s="682"/>
      <c r="CL49" s="682"/>
      <c r="CM49" s="682"/>
      <c r="CN49" s="682"/>
      <c r="CO49" s="682"/>
    </row>
    <row r="50" spans="1:93">
      <c r="A50" s="1590"/>
      <c r="B50" s="670"/>
      <c r="C50" s="670"/>
      <c r="D50" s="655"/>
      <c r="E50" s="670"/>
      <c r="F50" s="655"/>
      <c r="G50" s="670"/>
      <c r="H50" s="670"/>
      <c r="I50" s="670"/>
      <c r="J50" s="1439"/>
      <c r="K50" s="1355"/>
      <c r="L50" s="655"/>
      <c r="M50" s="655"/>
      <c r="N50" s="655"/>
      <c r="O50" s="655"/>
      <c r="P50" s="670"/>
      <c r="Q50" s="670"/>
      <c r="R50" s="655"/>
      <c r="S50" s="670"/>
      <c r="T50" s="670"/>
      <c r="U50" s="670"/>
      <c r="V50" s="670"/>
      <c r="W50" s="670"/>
      <c r="X50" s="670"/>
      <c r="Y50" s="670"/>
      <c r="Z50" s="670"/>
      <c r="AA50" s="670"/>
      <c r="AB50" s="670"/>
      <c r="AC50" s="670"/>
      <c r="AD50" s="670"/>
      <c r="AE50" s="670"/>
      <c r="AF50" s="670"/>
      <c r="AG50" s="670"/>
      <c r="AH50" s="670"/>
      <c r="AI50" s="670"/>
      <c r="AJ50" s="670"/>
      <c r="AK50" s="670"/>
      <c r="AL50" s="670"/>
      <c r="AM50" s="670"/>
      <c r="AN50" s="670"/>
      <c r="AO50" s="670"/>
      <c r="AP50" s="670"/>
      <c r="AQ50" s="670"/>
      <c r="AR50" s="670"/>
      <c r="AS50" s="670"/>
      <c r="AT50" s="670"/>
      <c r="AU50" s="670"/>
      <c r="AV50" s="670"/>
      <c r="AW50" s="670"/>
      <c r="AX50" s="670"/>
      <c r="AY50" s="670"/>
      <c r="AZ50" s="670"/>
      <c r="BA50" s="670"/>
      <c r="BB50" s="670"/>
      <c r="BC50" s="670"/>
      <c r="BD50" s="670"/>
      <c r="BE50" s="670"/>
      <c r="BF50" s="670"/>
      <c r="BG50" s="670"/>
      <c r="BH50" s="670"/>
      <c r="BI50" s="670"/>
      <c r="BJ50" s="670"/>
      <c r="BK50" s="670"/>
      <c r="BL50" s="670"/>
      <c r="BM50" s="670"/>
      <c r="BN50" s="670"/>
      <c r="BO50" s="670"/>
      <c r="BP50" s="670"/>
      <c r="BQ50" s="670"/>
      <c r="BR50" s="670"/>
      <c r="BS50" s="670"/>
      <c r="BT50" s="670"/>
      <c r="BU50" s="670"/>
      <c r="BV50" s="670"/>
      <c r="BW50" s="670"/>
      <c r="BX50" s="670"/>
      <c r="BY50" s="670"/>
      <c r="BZ50" s="670"/>
      <c r="CA50" s="670"/>
      <c r="CB50" s="670"/>
      <c r="CC50" s="670"/>
      <c r="CD50" s="670"/>
      <c r="CE50" s="670"/>
      <c r="CF50" s="670"/>
      <c r="CG50" s="670"/>
      <c r="CH50" s="670"/>
      <c r="CI50" s="670"/>
      <c r="CJ50" s="670"/>
      <c r="CK50" s="670"/>
      <c r="CL50" s="670"/>
      <c r="CM50" s="670"/>
      <c r="CN50" s="670"/>
      <c r="CO50" s="670"/>
    </row>
    <row r="51" spans="1:93" s="1282" customFormat="1">
      <c r="A51" s="1686"/>
      <c r="B51" s="1336" t="s">
        <v>2259</v>
      </c>
      <c r="C51" s="1336"/>
      <c r="D51" s="711">
        <f>SUM(D52:D56)</f>
        <v>23424329.829999998</v>
      </c>
      <c r="E51" s="708"/>
      <c r="F51" s="711">
        <f>SUM(F52:F56)</f>
        <v>16965254</v>
      </c>
      <c r="G51" s="708"/>
      <c r="H51" s="708"/>
      <c r="I51" s="708"/>
      <c r="J51" s="1687">
        <f>SUM(J52:J56)</f>
        <v>12943512</v>
      </c>
      <c r="K51" s="1359"/>
      <c r="L51" s="713"/>
      <c r="M51" s="713"/>
      <c r="N51" s="713"/>
      <c r="O51" s="713"/>
      <c r="P51" s="708"/>
      <c r="Q51" s="708"/>
      <c r="R51" s="713"/>
      <c r="S51" s="708"/>
      <c r="T51" s="708"/>
      <c r="U51" s="708"/>
      <c r="V51" s="708"/>
      <c r="W51" s="708"/>
      <c r="X51" s="708"/>
      <c r="Y51" s="708"/>
      <c r="Z51" s="708"/>
      <c r="AA51" s="708"/>
      <c r="AB51" s="708"/>
      <c r="AC51" s="708"/>
      <c r="AD51" s="708"/>
      <c r="AE51" s="708"/>
      <c r="AF51" s="708"/>
      <c r="AG51" s="708"/>
      <c r="AH51" s="708"/>
      <c r="AI51" s="708"/>
      <c r="AJ51" s="708"/>
      <c r="AK51" s="708"/>
      <c r="AL51" s="708"/>
      <c r="AM51" s="708"/>
      <c r="AN51" s="708"/>
      <c r="AO51" s="708"/>
      <c r="AP51" s="708"/>
      <c r="AQ51" s="708"/>
      <c r="AR51" s="708"/>
      <c r="AS51" s="708"/>
      <c r="AT51" s="708"/>
      <c r="AU51" s="708"/>
      <c r="AV51" s="708"/>
      <c r="AW51" s="708"/>
      <c r="AX51" s="708"/>
      <c r="AY51" s="708"/>
      <c r="AZ51" s="708"/>
      <c r="BA51" s="708"/>
      <c r="BB51" s="708"/>
      <c r="BC51" s="708"/>
      <c r="BD51" s="708"/>
      <c r="BE51" s="708"/>
      <c r="BF51" s="708"/>
      <c r="BG51" s="708"/>
      <c r="BH51" s="708"/>
      <c r="BI51" s="708"/>
      <c r="BJ51" s="708"/>
      <c r="BK51" s="708"/>
      <c r="BL51" s="708"/>
      <c r="BM51" s="708"/>
      <c r="BN51" s="708"/>
      <c r="BO51" s="708"/>
      <c r="BP51" s="708"/>
      <c r="BQ51" s="708"/>
      <c r="BR51" s="708"/>
      <c r="BS51" s="708"/>
      <c r="BT51" s="708"/>
      <c r="BU51" s="708"/>
      <c r="BV51" s="708"/>
      <c r="BW51" s="708"/>
      <c r="BX51" s="708"/>
      <c r="BY51" s="708"/>
      <c r="BZ51" s="708"/>
      <c r="CA51" s="708"/>
      <c r="CB51" s="708"/>
      <c r="CC51" s="708"/>
      <c r="CD51" s="708"/>
      <c r="CE51" s="708"/>
      <c r="CF51" s="708"/>
      <c r="CG51" s="708"/>
      <c r="CH51" s="708"/>
      <c r="CI51" s="708"/>
      <c r="CJ51" s="708"/>
      <c r="CK51" s="708"/>
      <c r="CL51" s="708"/>
      <c r="CM51" s="708"/>
      <c r="CN51" s="708"/>
      <c r="CO51" s="708"/>
    </row>
    <row r="52" spans="1:93" s="1282" customFormat="1">
      <c r="A52" s="1686"/>
      <c r="B52" s="1332" t="s">
        <v>2260</v>
      </c>
      <c r="C52" s="1332"/>
      <c r="D52" s="715">
        <f>-SUM('TRAIL BALANCE'!S276)</f>
        <v>19589329.829999998</v>
      </c>
      <c r="E52" s="708"/>
      <c r="F52" s="715">
        <f>-SUM('TRAIL BALANCE'!G276)</f>
        <v>14647254</v>
      </c>
      <c r="G52" s="708"/>
      <c r="H52" s="708"/>
      <c r="I52" s="708"/>
      <c r="J52" s="1688">
        <f>-SUM('TRAIL BALANCE'!E276+'TRAIL BALANCE'!E14)</f>
        <v>11142512</v>
      </c>
      <c r="K52" s="1359"/>
      <c r="L52" s="713"/>
      <c r="M52" s="713"/>
      <c r="N52" s="713"/>
      <c r="O52" s="713"/>
      <c r="P52" s="708"/>
      <c r="Q52" s="708"/>
      <c r="R52" s="713"/>
      <c r="S52" s="708"/>
      <c r="T52" s="708"/>
      <c r="U52" s="708"/>
      <c r="V52" s="708"/>
      <c r="W52" s="708"/>
      <c r="X52" s="708"/>
      <c r="Y52" s="708"/>
      <c r="Z52" s="708"/>
      <c r="AA52" s="708"/>
      <c r="AB52" s="708"/>
      <c r="AC52" s="708"/>
      <c r="AD52" s="708"/>
      <c r="AE52" s="708"/>
      <c r="AF52" s="708"/>
      <c r="AG52" s="708"/>
      <c r="AH52" s="708"/>
      <c r="AI52" s="708"/>
      <c r="AJ52" s="708"/>
      <c r="AK52" s="708"/>
      <c r="AL52" s="708"/>
      <c r="AM52" s="708"/>
      <c r="AN52" s="708"/>
      <c r="AO52" s="708"/>
      <c r="AP52" s="708"/>
      <c r="AQ52" s="708"/>
      <c r="AR52" s="708"/>
      <c r="AS52" s="708"/>
      <c r="AT52" s="708"/>
      <c r="AU52" s="708"/>
      <c r="AV52" s="708"/>
      <c r="AW52" s="708"/>
      <c r="AX52" s="708"/>
      <c r="AY52" s="708"/>
      <c r="AZ52" s="708"/>
      <c r="BA52" s="708"/>
      <c r="BB52" s="708"/>
      <c r="BC52" s="708"/>
      <c r="BD52" s="708"/>
      <c r="BE52" s="708"/>
      <c r="BF52" s="708"/>
      <c r="BG52" s="708"/>
      <c r="BH52" s="708"/>
      <c r="BI52" s="708"/>
      <c r="BJ52" s="708"/>
      <c r="BK52" s="708"/>
      <c r="BL52" s="708"/>
      <c r="BM52" s="708"/>
      <c r="BN52" s="708"/>
      <c r="BO52" s="708"/>
      <c r="BP52" s="708"/>
      <c r="BQ52" s="708"/>
      <c r="BR52" s="708"/>
      <c r="BS52" s="708"/>
      <c r="BT52" s="708"/>
      <c r="BU52" s="708"/>
      <c r="BV52" s="708"/>
      <c r="BW52" s="708"/>
      <c r="BX52" s="708"/>
      <c r="BY52" s="708"/>
      <c r="BZ52" s="708"/>
      <c r="CA52" s="708"/>
      <c r="CB52" s="708"/>
      <c r="CC52" s="708"/>
      <c r="CD52" s="708"/>
      <c r="CE52" s="708"/>
      <c r="CF52" s="708"/>
      <c r="CG52" s="708"/>
      <c r="CH52" s="708"/>
      <c r="CI52" s="708"/>
      <c r="CJ52" s="708"/>
      <c r="CK52" s="708"/>
      <c r="CL52" s="708"/>
      <c r="CM52" s="708"/>
      <c r="CN52" s="708"/>
      <c r="CO52" s="708"/>
    </row>
    <row r="53" spans="1:93" s="1282" customFormat="1">
      <c r="A53" s="1686"/>
      <c r="B53" s="1298" t="s">
        <v>3986</v>
      </c>
      <c r="C53" s="1332"/>
      <c r="D53" s="716">
        <v>350000</v>
      </c>
      <c r="E53" s="708"/>
      <c r="F53" s="716"/>
      <c r="G53" s="708"/>
      <c r="H53" s="708"/>
      <c r="I53" s="708"/>
      <c r="J53" s="1689"/>
      <c r="K53" s="1359"/>
      <c r="L53" s="713"/>
      <c r="M53" s="713"/>
      <c r="N53" s="713"/>
      <c r="O53" s="713"/>
      <c r="P53" s="708"/>
      <c r="Q53" s="708"/>
      <c r="R53" s="713"/>
      <c r="S53" s="708"/>
      <c r="T53" s="708"/>
      <c r="U53" s="708"/>
      <c r="V53" s="708"/>
      <c r="W53" s="708"/>
      <c r="X53" s="708"/>
      <c r="Y53" s="708"/>
      <c r="Z53" s="708"/>
      <c r="AA53" s="708"/>
      <c r="AB53" s="708"/>
      <c r="AC53" s="708"/>
      <c r="AD53" s="708"/>
      <c r="AE53" s="708"/>
      <c r="AF53" s="708"/>
      <c r="AG53" s="708"/>
      <c r="AH53" s="708"/>
      <c r="AI53" s="708"/>
      <c r="AJ53" s="708"/>
      <c r="AK53" s="708"/>
      <c r="AL53" s="708"/>
      <c r="AM53" s="708"/>
      <c r="AN53" s="708"/>
      <c r="AO53" s="708"/>
      <c r="AP53" s="708"/>
      <c r="AQ53" s="708"/>
      <c r="AR53" s="708"/>
      <c r="AS53" s="708"/>
      <c r="AT53" s="708"/>
      <c r="AU53" s="708"/>
      <c r="AV53" s="708"/>
      <c r="AW53" s="708"/>
      <c r="AX53" s="708"/>
      <c r="AY53" s="708"/>
      <c r="AZ53" s="708"/>
      <c r="BA53" s="708"/>
      <c r="BB53" s="708"/>
      <c r="BC53" s="708"/>
      <c r="BD53" s="708"/>
      <c r="BE53" s="708"/>
      <c r="BF53" s="708"/>
      <c r="BG53" s="708"/>
      <c r="BH53" s="708"/>
      <c r="BI53" s="708"/>
      <c r="BJ53" s="708"/>
      <c r="BK53" s="708"/>
      <c r="BL53" s="708"/>
      <c r="BM53" s="708"/>
      <c r="BN53" s="708"/>
      <c r="BO53" s="708"/>
      <c r="BP53" s="708"/>
      <c r="BQ53" s="708"/>
      <c r="BR53" s="708"/>
      <c r="BS53" s="708"/>
      <c r="BT53" s="708"/>
      <c r="BU53" s="708"/>
      <c r="BV53" s="708"/>
      <c r="BW53" s="708"/>
      <c r="BX53" s="708"/>
      <c r="BY53" s="708"/>
      <c r="BZ53" s="708"/>
      <c r="CA53" s="708"/>
      <c r="CB53" s="708"/>
      <c r="CC53" s="708"/>
      <c r="CD53" s="708"/>
      <c r="CE53" s="708"/>
      <c r="CF53" s="708"/>
      <c r="CG53" s="708"/>
      <c r="CH53" s="708"/>
      <c r="CI53" s="708"/>
      <c r="CJ53" s="708"/>
      <c r="CK53" s="708"/>
      <c r="CL53" s="708"/>
      <c r="CM53" s="708"/>
      <c r="CN53" s="708"/>
      <c r="CO53" s="708"/>
    </row>
    <row r="54" spans="1:93" s="1282" customFormat="1">
      <c r="A54" s="1686"/>
      <c r="B54" s="1332" t="s">
        <v>2261</v>
      </c>
      <c r="C54" s="1332"/>
      <c r="D54" s="716">
        <f>-'TRAIL BALANCE'!S275</f>
        <v>2750000</v>
      </c>
      <c r="E54" s="708"/>
      <c r="F54" s="716">
        <f>-'TRAIL BALANCE'!G275</f>
        <v>1250000</v>
      </c>
      <c r="G54" s="708"/>
      <c r="H54" s="708"/>
      <c r="I54" s="708"/>
      <c r="J54" s="1689">
        <f>-SUM('TRAIL BALANCE'!E344)</f>
        <v>500000</v>
      </c>
      <c r="K54" s="1359"/>
      <c r="L54" s="713"/>
      <c r="M54" s="713"/>
      <c r="N54" s="713"/>
      <c r="O54" s="713"/>
      <c r="P54" s="708"/>
      <c r="Q54" s="708"/>
      <c r="R54" s="713"/>
      <c r="S54" s="708"/>
      <c r="T54" s="708"/>
      <c r="U54" s="708"/>
      <c r="V54" s="708"/>
      <c r="W54" s="708"/>
      <c r="X54" s="708"/>
      <c r="Y54" s="708"/>
      <c r="Z54" s="708"/>
      <c r="AA54" s="708"/>
      <c r="AB54" s="708"/>
      <c r="AC54" s="708"/>
      <c r="AD54" s="708"/>
      <c r="AE54" s="708"/>
      <c r="AF54" s="708"/>
      <c r="AG54" s="708"/>
      <c r="AH54" s="708"/>
      <c r="AI54" s="708"/>
      <c r="AJ54" s="708"/>
      <c r="AK54" s="708"/>
      <c r="AL54" s="708"/>
      <c r="AM54" s="708"/>
      <c r="AN54" s="708"/>
      <c r="AO54" s="708"/>
      <c r="AP54" s="708"/>
      <c r="AQ54" s="708"/>
      <c r="AR54" s="708"/>
      <c r="AS54" s="708"/>
      <c r="AT54" s="708"/>
      <c r="AU54" s="708"/>
      <c r="AV54" s="708"/>
      <c r="AW54" s="708"/>
      <c r="AX54" s="708"/>
      <c r="AY54" s="708"/>
      <c r="AZ54" s="708"/>
      <c r="BA54" s="708"/>
      <c r="BB54" s="708"/>
      <c r="BC54" s="708"/>
      <c r="BD54" s="708"/>
      <c r="BE54" s="708"/>
      <c r="BF54" s="708"/>
      <c r="BG54" s="708"/>
      <c r="BH54" s="708"/>
      <c r="BI54" s="708"/>
      <c r="BJ54" s="708"/>
      <c r="BK54" s="708"/>
      <c r="BL54" s="708"/>
      <c r="BM54" s="708"/>
      <c r="BN54" s="708"/>
      <c r="BO54" s="708"/>
      <c r="BP54" s="708"/>
      <c r="BQ54" s="708"/>
      <c r="BR54" s="708"/>
      <c r="BS54" s="708"/>
      <c r="BT54" s="708"/>
      <c r="BU54" s="708"/>
      <c r="BV54" s="708"/>
      <c r="BW54" s="708"/>
      <c r="BX54" s="708"/>
      <c r="BY54" s="708"/>
      <c r="BZ54" s="708"/>
      <c r="CA54" s="708"/>
      <c r="CB54" s="708"/>
      <c r="CC54" s="708"/>
      <c r="CD54" s="708"/>
      <c r="CE54" s="708"/>
      <c r="CF54" s="708"/>
      <c r="CG54" s="708"/>
      <c r="CH54" s="708"/>
      <c r="CI54" s="708"/>
      <c r="CJ54" s="708"/>
      <c r="CK54" s="708"/>
      <c r="CL54" s="708"/>
      <c r="CM54" s="708"/>
      <c r="CN54" s="708"/>
      <c r="CO54" s="708"/>
    </row>
    <row r="55" spans="1:93" s="1282" customFormat="1">
      <c r="A55" s="1686"/>
      <c r="B55" s="1332" t="s">
        <v>2262</v>
      </c>
      <c r="C55" s="1332"/>
      <c r="D55" s="716">
        <f>-SUM('TRAIL BALANCE'!S156)</f>
        <v>0</v>
      </c>
      <c r="E55" s="708"/>
      <c r="F55" s="716">
        <f>-SUM('TRAIL BALANCE'!G156)</f>
        <v>333000</v>
      </c>
      <c r="G55" s="708"/>
      <c r="H55" s="708"/>
      <c r="I55" s="708"/>
      <c r="J55" s="1689">
        <f>-SUM('TRAIL BALANCE'!E156)</f>
        <v>567000</v>
      </c>
      <c r="K55" s="1359"/>
      <c r="L55" s="713"/>
      <c r="M55" s="713"/>
      <c r="N55" s="713"/>
      <c r="O55" s="713"/>
      <c r="P55" s="708"/>
      <c r="Q55" s="708"/>
      <c r="R55" s="713"/>
      <c r="S55" s="708"/>
      <c r="T55" s="708"/>
      <c r="U55" s="708"/>
      <c r="V55" s="708"/>
      <c r="W55" s="708"/>
      <c r="X55" s="708"/>
      <c r="Y55" s="708"/>
      <c r="Z55" s="708"/>
      <c r="AA55" s="708"/>
      <c r="AB55" s="708"/>
      <c r="AC55" s="708"/>
      <c r="AD55" s="708"/>
      <c r="AE55" s="708"/>
      <c r="AF55" s="708"/>
      <c r="AG55" s="708"/>
      <c r="AH55" s="708"/>
      <c r="AI55" s="708"/>
      <c r="AJ55" s="708"/>
      <c r="AK55" s="708"/>
      <c r="AL55" s="708"/>
      <c r="AM55" s="708"/>
      <c r="AN55" s="708"/>
      <c r="AO55" s="708"/>
      <c r="AP55" s="708"/>
      <c r="AQ55" s="708"/>
      <c r="AR55" s="708"/>
      <c r="AS55" s="708"/>
      <c r="AT55" s="708"/>
      <c r="AU55" s="708"/>
      <c r="AV55" s="708"/>
      <c r="AW55" s="708"/>
      <c r="AX55" s="708"/>
      <c r="AY55" s="708"/>
      <c r="AZ55" s="708"/>
      <c r="BA55" s="708"/>
      <c r="BB55" s="708"/>
      <c r="BC55" s="708"/>
      <c r="BD55" s="708"/>
      <c r="BE55" s="708"/>
      <c r="BF55" s="708"/>
      <c r="BG55" s="708"/>
      <c r="BH55" s="708"/>
      <c r="BI55" s="708"/>
      <c r="BJ55" s="708"/>
      <c r="BK55" s="708"/>
      <c r="BL55" s="708"/>
      <c r="BM55" s="708"/>
      <c r="BN55" s="708"/>
      <c r="BO55" s="708"/>
      <c r="BP55" s="708"/>
      <c r="BQ55" s="708"/>
      <c r="BR55" s="708"/>
      <c r="BS55" s="708"/>
      <c r="BT55" s="708"/>
      <c r="BU55" s="708"/>
      <c r="BV55" s="708"/>
      <c r="BW55" s="708"/>
      <c r="BX55" s="708"/>
      <c r="BY55" s="708"/>
      <c r="BZ55" s="708"/>
      <c r="CA55" s="708"/>
      <c r="CB55" s="708"/>
      <c r="CC55" s="708"/>
      <c r="CD55" s="708"/>
      <c r="CE55" s="708"/>
      <c r="CF55" s="708"/>
      <c r="CG55" s="708"/>
      <c r="CH55" s="708"/>
      <c r="CI55" s="708"/>
      <c r="CJ55" s="708"/>
      <c r="CK55" s="708"/>
      <c r="CL55" s="708"/>
      <c r="CM55" s="708"/>
      <c r="CN55" s="708"/>
      <c r="CO55" s="708"/>
    </row>
    <row r="56" spans="1:93" s="1282" customFormat="1">
      <c r="A56" s="1686"/>
      <c r="B56" s="1332" t="s">
        <v>2263</v>
      </c>
      <c r="C56" s="1332"/>
      <c r="D56" s="717">
        <f>-'TRAIL BALANCE'!S344</f>
        <v>735000</v>
      </c>
      <c r="E56" s="708"/>
      <c r="F56" s="717">
        <f>-SUM('TRAIL BALANCE'!G345)</f>
        <v>735000</v>
      </c>
      <c r="G56" s="708"/>
      <c r="H56" s="708"/>
      <c r="I56" s="708"/>
      <c r="J56" s="1690">
        <f>-SUM('TRAIL BALANCE'!E345)</f>
        <v>734000</v>
      </c>
      <c r="K56" s="1359"/>
      <c r="L56" s="713"/>
      <c r="M56" s="713"/>
      <c r="N56" s="713"/>
      <c r="O56" s="713"/>
      <c r="P56" s="708"/>
      <c r="Q56" s="708"/>
      <c r="R56" s="713"/>
      <c r="S56" s="708"/>
      <c r="T56" s="708"/>
      <c r="U56" s="708"/>
      <c r="V56" s="708"/>
      <c r="W56" s="708"/>
      <c r="X56" s="708"/>
      <c r="Y56" s="708"/>
      <c r="Z56" s="708"/>
      <c r="AA56" s="708"/>
      <c r="AB56" s="708"/>
      <c r="AC56" s="708"/>
      <c r="AD56" s="708"/>
      <c r="AE56" s="708"/>
      <c r="AF56" s="708"/>
      <c r="AG56" s="708"/>
      <c r="AH56" s="708"/>
      <c r="AI56" s="708"/>
      <c r="AJ56" s="708"/>
      <c r="AK56" s="708"/>
      <c r="AL56" s="708"/>
      <c r="AM56" s="708"/>
      <c r="AN56" s="708"/>
      <c r="AO56" s="708"/>
      <c r="AP56" s="708"/>
      <c r="AQ56" s="708"/>
      <c r="AR56" s="708"/>
      <c r="AS56" s="708"/>
      <c r="AT56" s="708"/>
      <c r="AU56" s="708"/>
      <c r="AV56" s="708"/>
      <c r="AW56" s="708"/>
      <c r="AX56" s="708"/>
      <c r="AY56" s="708"/>
      <c r="AZ56" s="708"/>
      <c r="BA56" s="708"/>
      <c r="BB56" s="708"/>
      <c r="BC56" s="708"/>
      <c r="BD56" s="708"/>
      <c r="BE56" s="708"/>
      <c r="BF56" s="708"/>
      <c r="BG56" s="708"/>
      <c r="BH56" s="708"/>
      <c r="BI56" s="708"/>
      <c r="BJ56" s="708"/>
      <c r="BK56" s="708"/>
      <c r="BL56" s="708"/>
      <c r="BM56" s="708"/>
      <c r="BN56" s="708"/>
      <c r="BO56" s="708"/>
      <c r="BP56" s="708"/>
      <c r="BQ56" s="708"/>
      <c r="BR56" s="708"/>
      <c r="BS56" s="708"/>
      <c r="BT56" s="708"/>
      <c r="BU56" s="708"/>
      <c r="BV56" s="708"/>
      <c r="BW56" s="708"/>
      <c r="BX56" s="708"/>
      <c r="BY56" s="708"/>
      <c r="BZ56" s="708"/>
      <c r="CA56" s="708"/>
      <c r="CB56" s="708"/>
      <c r="CC56" s="708"/>
      <c r="CD56" s="708"/>
      <c r="CE56" s="708"/>
      <c r="CF56" s="708"/>
      <c r="CG56" s="708"/>
      <c r="CH56" s="708"/>
      <c r="CI56" s="708"/>
      <c r="CJ56" s="708"/>
      <c r="CK56" s="708"/>
      <c r="CL56" s="708"/>
      <c r="CM56" s="708"/>
      <c r="CN56" s="708"/>
      <c r="CO56" s="708"/>
    </row>
    <row r="57" spans="1:93">
      <c r="A57" s="1590"/>
      <c r="B57" s="708"/>
      <c r="C57" s="708"/>
      <c r="D57" s="713"/>
      <c r="E57" s="670"/>
      <c r="F57" s="655"/>
      <c r="G57" s="670"/>
      <c r="H57" s="670"/>
      <c r="I57" s="670"/>
      <c r="J57" s="1439"/>
      <c r="K57" s="1355"/>
      <c r="L57" s="655"/>
      <c r="M57" s="655"/>
      <c r="N57" s="655"/>
      <c r="O57" s="655"/>
      <c r="P57" s="670"/>
      <c r="Q57" s="670"/>
      <c r="R57" s="655"/>
      <c r="S57" s="670"/>
      <c r="T57" s="670"/>
      <c r="U57" s="670"/>
      <c r="V57" s="670"/>
      <c r="W57" s="670"/>
      <c r="X57" s="670"/>
      <c r="Y57" s="670"/>
      <c r="Z57" s="670"/>
      <c r="AA57" s="670"/>
      <c r="AB57" s="670"/>
      <c r="AC57" s="670"/>
      <c r="AD57" s="670"/>
      <c r="AE57" s="670"/>
      <c r="AF57" s="670"/>
      <c r="AG57" s="670"/>
      <c r="AH57" s="670"/>
      <c r="AI57" s="670"/>
      <c r="AJ57" s="670"/>
      <c r="AK57" s="670"/>
      <c r="AL57" s="670"/>
      <c r="AM57" s="670"/>
      <c r="AN57" s="670"/>
      <c r="AO57" s="670"/>
      <c r="AP57" s="670"/>
      <c r="AQ57" s="670"/>
      <c r="AR57" s="670"/>
      <c r="AS57" s="670"/>
      <c r="AT57" s="670"/>
      <c r="AU57" s="670"/>
      <c r="AV57" s="670"/>
      <c r="AW57" s="670"/>
      <c r="AX57" s="670"/>
      <c r="AY57" s="670"/>
      <c r="AZ57" s="670"/>
      <c r="BA57" s="670"/>
      <c r="BB57" s="670"/>
      <c r="BC57" s="670"/>
      <c r="BD57" s="670"/>
      <c r="BE57" s="670"/>
      <c r="BF57" s="670"/>
      <c r="BG57" s="670"/>
      <c r="BH57" s="670"/>
      <c r="BI57" s="670"/>
      <c r="BJ57" s="670"/>
      <c r="BK57" s="670"/>
      <c r="BL57" s="670"/>
      <c r="BM57" s="670"/>
      <c r="BN57" s="670"/>
      <c r="BO57" s="670"/>
      <c r="BP57" s="670"/>
      <c r="BQ57" s="670"/>
      <c r="BR57" s="670"/>
      <c r="BS57" s="670"/>
      <c r="BT57" s="670"/>
      <c r="BU57" s="670"/>
      <c r="BV57" s="670"/>
      <c r="BW57" s="670"/>
      <c r="BX57" s="670"/>
      <c r="BY57" s="670"/>
      <c r="BZ57" s="670"/>
      <c r="CA57" s="670"/>
      <c r="CB57" s="670"/>
      <c r="CC57" s="670"/>
      <c r="CD57" s="670"/>
      <c r="CE57" s="670"/>
      <c r="CF57" s="670"/>
      <c r="CG57" s="670"/>
      <c r="CH57" s="670"/>
      <c r="CI57" s="670"/>
      <c r="CJ57" s="670"/>
      <c r="CK57" s="670"/>
      <c r="CL57" s="670"/>
      <c r="CM57" s="670"/>
      <c r="CN57" s="670"/>
      <c r="CO57" s="670"/>
    </row>
    <row r="58" spans="1:93">
      <c r="A58" s="1590"/>
      <c r="B58" s="1336"/>
      <c r="C58" s="1336"/>
      <c r="D58" s="718"/>
      <c r="E58" s="670"/>
      <c r="F58" s="655"/>
      <c r="G58" s="670"/>
      <c r="H58" s="670"/>
      <c r="I58" s="670"/>
      <c r="J58" s="1439"/>
      <c r="K58" s="1355"/>
      <c r="L58" s="655"/>
      <c r="M58" s="655"/>
      <c r="N58" s="655"/>
      <c r="O58" s="655"/>
      <c r="P58" s="670"/>
      <c r="Q58" s="670"/>
      <c r="R58" s="655"/>
      <c r="S58" s="670"/>
      <c r="T58" s="670"/>
      <c r="U58" s="670"/>
      <c r="V58" s="670"/>
      <c r="W58" s="670"/>
      <c r="X58" s="670"/>
      <c r="Y58" s="670"/>
      <c r="Z58" s="670"/>
      <c r="AA58" s="670"/>
      <c r="AB58" s="670"/>
      <c r="AC58" s="670"/>
      <c r="AD58" s="670"/>
      <c r="AE58" s="670"/>
      <c r="AF58" s="670"/>
      <c r="AG58" s="670"/>
      <c r="AH58" s="670"/>
      <c r="AI58" s="670"/>
      <c r="AJ58" s="670"/>
      <c r="AK58" s="670"/>
      <c r="AL58" s="670"/>
      <c r="AM58" s="670"/>
      <c r="AN58" s="670"/>
      <c r="AO58" s="670"/>
      <c r="AP58" s="670"/>
      <c r="AQ58" s="670"/>
      <c r="AR58" s="670"/>
      <c r="AS58" s="670"/>
      <c r="AT58" s="670"/>
      <c r="AU58" s="670"/>
      <c r="AV58" s="670"/>
      <c r="AW58" s="670"/>
      <c r="AX58" s="670"/>
      <c r="AY58" s="670"/>
      <c r="AZ58" s="670"/>
      <c r="BA58" s="670"/>
      <c r="BB58" s="670"/>
      <c r="BC58" s="670"/>
      <c r="BD58" s="670"/>
      <c r="BE58" s="670"/>
      <c r="BF58" s="670"/>
      <c r="BG58" s="670"/>
      <c r="BH58" s="670"/>
      <c r="BI58" s="670"/>
      <c r="BJ58" s="670"/>
      <c r="BK58" s="670"/>
      <c r="BL58" s="670"/>
      <c r="BM58" s="670"/>
      <c r="BN58" s="670"/>
      <c r="BO58" s="670"/>
      <c r="BP58" s="670"/>
      <c r="BQ58" s="670"/>
      <c r="BR58" s="670"/>
      <c r="BS58" s="670"/>
      <c r="BT58" s="670"/>
      <c r="BU58" s="670"/>
      <c r="BV58" s="670"/>
      <c r="BW58" s="670"/>
      <c r="BX58" s="670"/>
      <c r="BY58" s="670"/>
      <c r="BZ58" s="670"/>
      <c r="CA58" s="670"/>
      <c r="CB58" s="670"/>
      <c r="CC58" s="670"/>
      <c r="CD58" s="670"/>
      <c r="CE58" s="670"/>
      <c r="CF58" s="670"/>
      <c r="CG58" s="670"/>
      <c r="CH58" s="670"/>
      <c r="CI58" s="670"/>
      <c r="CJ58" s="670"/>
      <c r="CK58" s="670"/>
      <c r="CL58" s="670"/>
      <c r="CM58" s="670"/>
      <c r="CN58" s="670"/>
      <c r="CO58" s="670"/>
    </row>
    <row r="59" spans="1:93" s="1282" customFormat="1">
      <c r="A59" s="1686"/>
      <c r="B59" s="1336" t="s">
        <v>2264</v>
      </c>
      <c r="C59" s="1336"/>
      <c r="D59" s="711">
        <f>SUM(D60:D64)</f>
        <v>7902795.96</v>
      </c>
      <c r="E59" s="708"/>
      <c r="F59" s="711">
        <f>SUM(F60:F64)</f>
        <v>7486868.2199999997</v>
      </c>
      <c r="G59" s="708"/>
      <c r="H59" s="708"/>
      <c r="I59" s="708"/>
      <c r="J59" s="1687">
        <f>SUM(J60:J64)</f>
        <v>2043290.17</v>
      </c>
      <c r="K59" s="1359"/>
      <c r="L59" s="713"/>
      <c r="M59" s="713"/>
      <c r="N59" s="713"/>
      <c r="O59" s="713"/>
      <c r="P59" s="708"/>
      <c r="Q59" s="708"/>
      <c r="R59" s="713"/>
      <c r="S59" s="708"/>
      <c r="T59" s="708"/>
      <c r="U59" s="708"/>
      <c r="V59" s="708"/>
      <c r="W59" s="708"/>
      <c r="X59" s="708"/>
      <c r="Y59" s="708"/>
      <c r="Z59" s="708"/>
      <c r="AA59" s="708"/>
      <c r="AB59" s="708"/>
      <c r="AC59" s="708"/>
      <c r="AD59" s="708"/>
      <c r="AE59" s="708"/>
      <c r="AF59" s="708"/>
      <c r="AG59" s="708"/>
      <c r="AH59" s="708"/>
      <c r="AI59" s="708"/>
      <c r="AJ59" s="708"/>
      <c r="AK59" s="708"/>
      <c r="AL59" s="708"/>
      <c r="AM59" s="708"/>
      <c r="AN59" s="708"/>
      <c r="AO59" s="708"/>
      <c r="AP59" s="708"/>
      <c r="AQ59" s="708"/>
      <c r="AR59" s="708"/>
      <c r="AS59" s="708"/>
      <c r="AT59" s="708"/>
      <c r="AU59" s="708"/>
      <c r="AV59" s="708"/>
      <c r="AW59" s="708"/>
      <c r="AX59" s="708"/>
      <c r="AY59" s="708"/>
      <c r="AZ59" s="708"/>
      <c r="BA59" s="708"/>
      <c r="BB59" s="708"/>
      <c r="BC59" s="708"/>
      <c r="BD59" s="708"/>
      <c r="BE59" s="708"/>
      <c r="BF59" s="708"/>
      <c r="BG59" s="708"/>
      <c r="BH59" s="708"/>
      <c r="BI59" s="708"/>
      <c r="BJ59" s="708"/>
      <c r="BK59" s="708"/>
      <c r="BL59" s="708"/>
      <c r="BM59" s="708"/>
      <c r="BN59" s="708"/>
      <c r="BO59" s="708"/>
      <c r="BP59" s="708"/>
      <c r="BQ59" s="708"/>
      <c r="BR59" s="708"/>
      <c r="BS59" s="708"/>
      <c r="BT59" s="708"/>
      <c r="BU59" s="708"/>
      <c r="BV59" s="708"/>
      <c r="BW59" s="708"/>
      <c r="BX59" s="708"/>
      <c r="BY59" s="708"/>
      <c r="BZ59" s="708"/>
      <c r="CA59" s="708"/>
      <c r="CB59" s="708"/>
      <c r="CC59" s="708"/>
      <c r="CD59" s="708"/>
      <c r="CE59" s="708"/>
      <c r="CF59" s="708"/>
      <c r="CG59" s="708"/>
      <c r="CH59" s="708"/>
      <c r="CI59" s="708"/>
      <c r="CJ59" s="708"/>
      <c r="CK59" s="708"/>
      <c r="CL59" s="708"/>
      <c r="CM59" s="708"/>
      <c r="CN59" s="708"/>
      <c r="CO59" s="708"/>
    </row>
    <row r="60" spans="1:93" s="1282" customFormat="1">
      <c r="A60" s="1686"/>
      <c r="B60" s="1332" t="s">
        <v>2261</v>
      </c>
      <c r="C60" s="1332"/>
      <c r="D60" s="715">
        <v>0</v>
      </c>
      <c r="E60" s="708"/>
      <c r="F60" s="715">
        <v>0</v>
      </c>
      <c r="G60" s="708"/>
      <c r="H60" s="708"/>
      <c r="I60" s="708"/>
      <c r="J60" s="1688"/>
      <c r="K60" s="1359"/>
      <c r="L60" s="713"/>
      <c r="M60" s="713"/>
      <c r="N60" s="713"/>
      <c r="O60" s="713"/>
      <c r="P60" s="708"/>
      <c r="Q60" s="708"/>
      <c r="R60" s="713"/>
      <c r="S60" s="708"/>
      <c r="T60" s="708"/>
      <c r="U60" s="708"/>
      <c r="V60" s="708"/>
      <c r="W60" s="708"/>
      <c r="X60" s="708"/>
      <c r="Y60" s="708"/>
      <c r="Z60" s="708"/>
      <c r="AA60" s="708"/>
      <c r="AB60" s="708"/>
      <c r="AC60" s="708"/>
      <c r="AD60" s="708"/>
      <c r="AE60" s="708"/>
      <c r="AF60" s="708"/>
      <c r="AG60" s="708"/>
      <c r="AH60" s="708"/>
      <c r="AI60" s="708"/>
      <c r="AJ60" s="708"/>
      <c r="AK60" s="708"/>
      <c r="AL60" s="708"/>
      <c r="AM60" s="708"/>
      <c r="AN60" s="708"/>
      <c r="AO60" s="708"/>
      <c r="AP60" s="708"/>
      <c r="AQ60" s="708"/>
      <c r="AR60" s="708"/>
      <c r="AS60" s="708"/>
      <c r="AT60" s="708"/>
      <c r="AU60" s="708"/>
      <c r="AV60" s="708"/>
      <c r="AW60" s="708"/>
      <c r="AX60" s="708"/>
      <c r="AY60" s="708"/>
      <c r="AZ60" s="708"/>
      <c r="BA60" s="708"/>
      <c r="BB60" s="708"/>
      <c r="BC60" s="708"/>
      <c r="BD60" s="708"/>
      <c r="BE60" s="708"/>
      <c r="BF60" s="708"/>
      <c r="BG60" s="708"/>
      <c r="BH60" s="708"/>
      <c r="BI60" s="708"/>
      <c r="BJ60" s="708"/>
      <c r="BK60" s="708"/>
      <c r="BL60" s="708"/>
      <c r="BM60" s="708"/>
      <c r="BN60" s="708"/>
      <c r="BO60" s="708"/>
      <c r="BP60" s="708"/>
      <c r="BQ60" s="708"/>
      <c r="BR60" s="708"/>
      <c r="BS60" s="708"/>
      <c r="BT60" s="708"/>
      <c r="BU60" s="708"/>
      <c r="BV60" s="708"/>
      <c r="BW60" s="708"/>
      <c r="BX60" s="708"/>
      <c r="BY60" s="708"/>
      <c r="BZ60" s="708"/>
      <c r="CA60" s="708"/>
      <c r="CB60" s="708"/>
      <c r="CC60" s="708"/>
      <c r="CD60" s="708"/>
      <c r="CE60" s="708"/>
      <c r="CF60" s="708"/>
      <c r="CG60" s="708"/>
      <c r="CH60" s="708"/>
      <c r="CI60" s="708"/>
      <c r="CJ60" s="708"/>
      <c r="CK60" s="708"/>
      <c r="CL60" s="708"/>
      <c r="CM60" s="708"/>
      <c r="CN60" s="708"/>
      <c r="CO60" s="708"/>
    </row>
    <row r="61" spans="1:93" s="1282" customFormat="1">
      <c r="A61" s="1686"/>
      <c r="B61" s="1332" t="s">
        <v>2265</v>
      </c>
      <c r="C61" s="1332"/>
      <c r="D61" s="716">
        <v>0</v>
      </c>
      <c r="E61" s="708"/>
      <c r="F61" s="716">
        <v>0</v>
      </c>
      <c r="G61" s="708"/>
      <c r="H61" s="708"/>
      <c r="I61" s="708"/>
      <c r="J61" s="1689">
        <v>0</v>
      </c>
      <c r="K61" s="1359"/>
      <c r="L61" s="685" t="s">
        <v>45</v>
      </c>
      <c r="M61" s="713"/>
      <c r="N61" s="713"/>
      <c r="O61" s="713"/>
      <c r="P61" s="708"/>
      <c r="Q61" s="708"/>
      <c r="R61" s="713"/>
      <c r="S61" s="708"/>
      <c r="T61" s="708"/>
      <c r="U61" s="708"/>
      <c r="V61" s="708"/>
      <c r="W61" s="708"/>
      <c r="X61" s="708"/>
      <c r="Y61" s="708"/>
      <c r="Z61" s="708"/>
      <c r="AA61" s="708"/>
      <c r="AB61" s="708"/>
      <c r="AC61" s="708"/>
      <c r="AD61" s="708"/>
      <c r="AE61" s="708"/>
      <c r="AF61" s="708"/>
      <c r="AG61" s="708"/>
      <c r="AH61" s="708"/>
      <c r="AI61" s="708"/>
      <c r="AJ61" s="708"/>
      <c r="AK61" s="708"/>
      <c r="AL61" s="708"/>
      <c r="AM61" s="708"/>
      <c r="AN61" s="708"/>
      <c r="AO61" s="708"/>
      <c r="AP61" s="708"/>
      <c r="AQ61" s="708"/>
      <c r="AR61" s="708"/>
      <c r="AS61" s="708"/>
      <c r="AT61" s="708"/>
      <c r="AU61" s="708"/>
      <c r="AV61" s="708"/>
      <c r="AW61" s="708"/>
      <c r="AX61" s="708"/>
      <c r="AY61" s="708"/>
      <c r="AZ61" s="708"/>
      <c r="BA61" s="708"/>
      <c r="BB61" s="708"/>
      <c r="BC61" s="708"/>
      <c r="BD61" s="708"/>
      <c r="BE61" s="708"/>
      <c r="BF61" s="708"/>
      <c r="BG61" s="708"/>
      <c r="BH61" s="708"/>
      <c r="BI61" s="708"/>
      <c r="BJ61" s="708"/>
      <c r="BK61" s="708"/>
      <c r="BL61" s="708"/>
      <c r="BM61" s="708"/>
      <c r="BN61" s="708"/>
      <c r="BO61" s="708"/>
      <c r="BP61" s="708"/>
      <c r="BQ61" s="708"/>
      <c r="BR61" s="708"/>
      <c r="BS61" s="708"/>
      <c r="BT61" s="708"/>
      <c r="BU61" s="708"/>
      <c r="BV61" s="708"/>
      <c r="BW61" s="708"/>
      <c r="BX61" s="708"/>
      <c r="BY61" s="708"/>
      <c r="BZ61" s="708"/>
      <c r="CA61" s="708"/>
      <c r="CB61" s="708"/>
      <c r="CC61" s="708"/>
      <c r="CD61" s="708"/>
      <c r="CE61" s="708"/>
      <c r="CF61" s="708"/>
      <c r="CG61" s="708"/>
      <c r="CH61" s="708"/>
      <c r="CI61" s="708"/>
      <c r="CJ61" s="708"/>
      <c r="CK61" s="708"/>
      <c r="CL61" s="708"/>
      <c r="CM61" s="708"/>
      <c r="CN61" s="708"/>
      <c r="CO61" s="708"/>
    </row>
    <row r="62" spans="1:93" s="1282" customFormat="1">
      <c r="A62" s="1686"/>
      <c r="B62" s="1332" t="s">
        <v>2266</v>
      </c>
      <c r="C62" s="1332"/>
      <c r="D62" s="716">
        <f>-'TRAIL BALANCE'!S545</f>
        <v>7902795.96</v>
      </c>
      <c r="E62" s="708"/>
      <c r="F62" s="716">
        <f>-'TRAIL BALANCE'!G591</f>
        <v>4466868.22</v>
      </c>
      <c r="G62" s="708"/>
      <c r="H62" s="708"/>
      <c r="I62" s="708"/>
      <c r="J62" s="1689">
        <f>-SUM('TRAIL BALANCE'!E14+'TRAIL BALANCE'!E442+'TRAIL BALANCE'!E547+'TRAIL BALANCE'!E548-'TRAIL BALANCE'!E14)</f>
        <v>2043290.17</v>
      </c>
      <c r="K62" s="1359"/>
      <c r="L62" s="713" t="s">
        <v>45</v>
      </c>
      <c r="M62" s="713" t="s">
        <v>45</v>
      </c>
      <c r="N62" s="713"/>
      <c r="O62" s="713"/>
      <c r="P62" s="708"/>
      <c r="Q62" s="708"/>
      <c r="R62" s="713"/>
      <c r="S62" s="708"/>
      <c r="T62" s="708"/>
      <c r="U62" s="708"/>
      <c r="V62" s="708"/>
      <c r="W62" s="708"/>
      <c r="X62" s="708"/>
      <c r="Y62" s="708"/>
      <c r="Z62" s="708"/>
      <c r="AA62" s="708"/>
      <c r="AB62" s="708"/>
      <c r="AC62" s="708"/>
      <c r="AD62" s="708"/>
      <c r="AE62" s="708"/>
      <c r="AF62" s="708"/>
      <c r="AG62" s="708"/>
      <c r="AH62" s="708"/>
      <c r="AI62" s="708"/>
      <c r="AJ62" s="708"/>
      <c r="AK62" s="708"/>
      <c r="AL62" s="708"/>
      <c r="AM62" s="708"/>
      <c r="AN62" s="708"/>
      <c r="AO62" s="708"/>
      <c r="AP62" s="708"/>
      <c r="AQ62" s="708"/>
      <c r="AR62" s="708"/>
      <c r="AS62" s="708"/>
      <c r="AT62" s="708"/>
      <c r="AU62" s="708"/>
      <c r="AV62" s="708"/>
      <c r="AW62" s="708"/>
      <c r="AX62" s="708"/>
      <c r="AY62" s="708"/>
      <c r="AZ62" s="708"/>
      <c r="BA62" s="708"/>
      <c r="BB62" s="708"/>
      <c r="BC62" s="708"/>
      <c r="BD62" s="708"/>
      <c r="BE62" s="708"/>
      <c r="BF62" s="708"/>
      <c r="BG62" s="708"/>
      <c r="BH62" s="708"/>
      <c r="BI62" s="708"/>
      <c r="BJ62" s="708"/>
      <c r="BK62" s="708"/>
      <c r="BL62" s="708"/>
      <c r="BM62" s="708"/>
      <c r="BN62" s="708"/>
      <c r="BO62" s="708"/>
      <c r="BP62" s="708"/>
      <c r="BQ62" s="708"/>
      <c r="BR62" s="708"/>
      <c r="BS62" s="708"/>
      <c r="BT62" s="708"/>
      <c r="BU62" s="708"/>
      <c r="BV62" s="708"/>
      <c r="BW62" s="708"/>
      <c r="BX62" s="708"/>
      <c r="BY62" s="708"/>
      <c r="BZ62" s="708"/>
      <c r="CA62" s="708"/>
      <c r="CB62" s="708"/>
      <c r="CC62" s="708"/>
      <c r="CD62" s="708"/>
      <c r="CE62" s="708"/>
      <c r="CF62" s="708"/>
      <c r="CG62" s="708"/>
      <c r="CH62" s="708"/>
      <c r="CI62" s="708"/>
      <c r="CJ62" s="708"/>
      <c r="CK62" s="708"/>
      <c r="CL62" s="708"/>
      <c r="CM62" s="708"/>
      <c r="CN62" s="708"/>
      <c r="CO62" s="708"/>
    </row>
    <row r="63" spans="1:93" s="1282" customFormat="1">
      <c r="A63" s="1686"/>
      <c r="B63" s="1332" t="s">
        <v>2267</v>
      </c>
      <c r="C63" s="1332"/>
      <c r="D63" s="716">
        <f>-'TRAIL BALANCE'!S629</f>
        <v>0</v>
      </c>
      <c r="E63" s="708"/>
      <c r="F63" s="716">
        <f>-'TRAIL BALANCE'!G629</f>
        <v>3020000</v>
      </c>
      <c r="G63" s="708"/>
      <c r="H63" s="708"/>
      <c r="I63" s="708"/>
      <c r="J63" s="1689"/>
      <c r="K63" s="1359"/>
      <c r="L63" s="713"/>
      <c r="M63" s="713"/>
      <c r="N63" s="713"/>
      <c r="O63" s="713"/>
      <c r="P63" s="708"/>
      <c r="Q63" s="708"/>
      <c r="R63" s="713"/>
      <c r="S63" s="708"/>
      <c r="T63" s="708"/>
      <c r="U63" s="708"/>
      <c r="V63" s="708"/>
      <c r="W63" s="708"/>
      <c r="X63" s="708"/>
      <c r="Y63" s="708"/>
      <c r="Z63" s="708"/>
      <c r="AA63" s="708"/>
      <c r="AB63" s="708"/>
      <c r="AC63" s="708"/>
      <c r="AD63" s="708"/>
      <c r="AE63" s="708"/>
      <c r="AF63" s="708"/>
      <c r="AG63" s="708"/>
      <c r="AH63" s="708"/>
      <c r="AI63" s="708"/>
      <c r="AJ63" s="708"/>
      <c r="AK63" s="708"/>
      <c r="AL63" s="708"/>
      <c r="AM63" s="708"/>
      <c r="AN63" s="708"/>
      <c r="AO63" s="708"/>
      <c r="AP63" s="708"/>
      <c r="AQ63" s="708"/>
      <c r="AR63" s="708"/>
      <c r="AS63" s="708"/>
      <c r="AT63" s="708"/>
      <c r="AU63" s="708"/>
      <c r="AV63" s="708"/>
      <c r="AW63" s="708"/>
      <c r="AX63" s="708"/>
      <c r="AY63" s="708"/>
      <c r="AZ63" s="708"/>
      <c r="BA63" s="708"/>
      <c r="BB63" s="708"/>
      <c r="BC63" s="708"/>
      <c r="BD63" s="708"/>
      <c r="BE63" s="708"/>
      <c r="BF63" s="708"/>
      <c r="BG63" s="708"/>
      <c r="BH63" s="708"/>
      <c r="BI63" s="708"/>
      <c r="BJ63" s="708"/>
      <c r="BK63" s="708"/>
      <c r="BL63" s="708"/>
      <c r="BM63" s="708"/>
      <c r="BN63" s="708"/>
      <c r="BO63" s="708"/>
      <c r="BP63" s="708"/>
      <c r="BQ63" s="708"/>
      <c r="BR63" s="708"/>
      <c r="BS63" s="708"/>
      <c r="BT63" s="708"/>
      <c r="BU63" s="708"/>
      <c r="BV63" s="708"/>
      <c r="BW63" s="708"/>
      <c r="BX63" s="708"/>
      <c r="BY63" s="708"/>
      <c r="BZ63" s="708"/>
      <c r="CA63" s="708"/>
      <c r="CB63" s="708"/>
      <c r="CC63" s="708"/>
      <c r="CD63" s="708"/>
      <c r="CE63" s="708"/>
      <c r="CF63" s="708"/>
      <c r="CG63" s="708"/>
      <c r="CH63" s="708"/>
      <c r="CI63" s="708"/>
      <c r="CJ63" s="708"/>
      <c r="CK63" s="708"/>
      <c r="CL63" s="708"/>
      <c r="CM63" s="708"/>
      <c r="CN63" s="708"/>
      <c r="CO63" s="708"/>
    </row>
    <row r="64" spans="1:93" s="1282" customFormat="1">
      <c r="A64" s="1686"/>
      <c r="B64" s="1332" t="s">
        <v>2268</v>
      </c>
      <c r="C64" s="1332"/>
      <c r="D64" s="717"/>
      <c r="E64" s="708"/>
      <c r="F64" s="717"/>
      <c r="G64" s="708"/>
      <c r="H64" s="708"/>
      <c r="I64" s="708"/>
      <c r="J64" s="1690">
        <v>0</v>
      </c>
      <c r="K64" s="1359"/>
      <c r="L64" s="713"/>
      <c r="M64" s="713" t="s">
        <v>45</v>
      </c>
      <c r="N64" s="713"/>
      <c r="O64" s="713"/>
      <c r="P64" s="708"/>
      <c r="Q64" s="708"/>
      <c r="R64" s="713"/>
      <c r="S64" s="708"/>
      <c r="T64" s="708"/>
      <c r="U64" s="708"/>
      <c r="V64" s="708"/>
      <c r="W64" s="708"/>
      <c r="X64" s="708"/>
      <c r="Y64" s="708"/>
      <c r="Z64" s="708"/>
      <c r="AA64" s="708"/>
      <c r="AB64" s="708"/>
      <c r="AC64" s="708"/>
      <c r="AD64" s="708"/>
      <c r="AE64" s="708"/>
      <c r="AF64" s="708"/>
      <c r="AG64" s="708"/>
      <c r="AH64" s="708"/>
      <c r="AI64" s="708"/>
      <c r="AJ64" s="708"/>
      <c r="AK64" s="708"/>
      <c r="AL64" s="708"/>
      <c r="AM64" s="708"/>
      <c r="AN64" s="708"/>
      <c r="AO64" s="708"/>
      <c r="AP64" s="708"/>
      <c r="AQ64" s="708"/>
      <c r="AR64" s="708"/>
      <c r="AS64" s="708"/>
      <c r="AT64" s="708"/>
      <c r="AU64" s="708"/>
      <c r="AV64" s="708"/>
      <c r="AW64" s="708"/>
      <c r="AX64" s="708"/>
      <c r="AY64" s="708"/>
      <c r="AZ64" s="708"/>
      <c r="BA64" s="708"/>
      <c r="BB64" s="708"/>
      <c r="BC64" s="708"/>
      <c r="BD64" s="708"/>
      <c r="BE64" s="708"/>
      <c r="BF64" s="708"/>
      <c r="BG64" s="708"/>
      <c r="BH64" s="708"/>
      <c r="BI64" s="708"/>
      <c r="BJ64" s="708"/>
      <c r="BK64" s="708"/>
      <c r="BL64" s="708"/>
      <c r="BM64" s="708"/>
      <c r="BN64" s="708"/>
      <c r="BO64" s="708"/>
      <c r="BP64" s="708"/>
      <c r="BQ64" s="708"/>
      <c r="BR64" s="708"/>
      <c r="BS64" s="708"/>
      <c r="BT64" s="708"/>
      <c r="BU64" s="708"/>
      <c r="BV64" s="708"/>
      <c r="BW64" s="708"/>
      <c r="BX64" s="708"/>
      <c r="BY64" s="708"/>
      <c r="BZ64" s="708"/>
      <c r="CA64" s="708"/>
      <c r="CB64" s="708"/>
      <c r="CC64" s="708"/>
      <c r="CD64" s="708"/>
      <c r="CE64" s="708"/>
      <c r="CF64" s="708"/>
      <c r="CG64" s="708"/>
      <c r="CH64" s="708"/>
      <c r="CI64" s="708"/>
      <c r="CJ64" s="708"/>
      <c r="CK64" s="708"/>
      <c r="CL64" s="708"/>
      <c r="CM64" s="708"/>
      <c r="CN64" s="708"/>
      <c r="CO64" s="708"/>
    </row>
    <row r="65" spans="1:93">
      <c r="A65" s="1590"/>
      <c r="B65" s="708"/>
      <c r="C65" s="708"/>
      <c r="D65" s="713"/>
      <c r="E65" s="670"/>
      <c r="F65" s="655"/>
      <c r="G65" s="670"/>
      <c r="H65" s="670"/>
      <c r="I65" s="670"/>
      <c r="J65" s="1439"/>
      <c r="K65" s="1355"/>
      <c r="L65" s="655"/>
      <c r="M65" s="655"/>
      <c r="N65" s="655"/>
      <c r="O65" s="655"/>
      <c r="P65" s="670"/>
      <c r="Q65" s="670"/>
      <c r="R65" s="655"/>
      <c r="S65" s="670"/>
      <c r="T65" s="670"/>
      <c r="U65" s="670"/>
      <c r="V65" s="670"/>
      <c r="W65" s="670"/>
      <c r="X65" s="670"/>
      <c r="Y65" s="670"/>
      <c r="Z65" s="670"/>
      <c r="AA65" s="670"/>
      <c r="AB65" s="670"/>
      <c r="AC65" s="670"/>
      <c r="AD65" s="670"/>
      <c r="AE65" s="670"/>
      <c r="AF65" s="670"/>
      <c r="AG65" s="670"/>
      <c r="AH65" s="670"/>
      <c r="AI65" s="670"/>
      <c r="AJ65" s="670"/>
      <c r="AK65" s="670"/>
      <c r="AL65" s="670"/>
      <c r="AM65" s="670"/>
      <c r="AN65" s="670"/>
      <c r="AO65" s="670"/>
      <c r="AP65" s="670"/>
      <c r="AQ65" s="670"/>
      <c r="AR65" s="670"/>
      <c r="AS65" s="670"/>
      <c r="AT65" s="670"/>
      <c r="AU65" s="670"/>
      <c r="AV65" s="670"/>
      <c r="AW65" s="670"/>
      <c r="AX65" s="670"/>
      <c r="AY65" s="670"/>
      <c r="AZ65" s="670"/>
      <c r="BA65" s="670"/>
      <c r="BB65" s="670"/>
      <c r="BC65" s="670"/>
      <c r="BD65" s="670"/>
      <c r="BE65" s="670"/>
      <c r="BF65" s="670"/>
      <c r="BG65" s="670"/>
      <c r="BH65" s="670"/>
      <c r="BI65" s="670"/>
      <c r="BJ65" s="670"/>
      <c r="BK65" s="670"/>
      <c r="BL65" s="670"/>
      <c r="BM65" s="670"/>
      <c r="BN65" s="670"/>
      <c r="BO65" s="670"/>
      <c r="BP65" s="670"/>
      <c r="BQ65" s="670"/>
      <c r="BR65" s="670"/>
      <c r="BS65" s="670"/>
      <c r="BT65" s="670"/>
      <c r="BU65" s="670"/>
      <c r="BV65" s="670"/>
      <c r="BW65" s="670"/>
      <c r="BX65" s="670"/>
      <c r="BY65" s="670"/>
      <c r="BZ65" s="670"/>
      <c r="CA65" s="670"/>
      <c r="CB65" s="670"/>
      <c r="CC65" s="670"/>
      <c r="CD65" s="670"/>
      <c r="CE65" s="670"/>
      <c r="CF65" s="670"/>
      <c r="CG65" s="670"/>
      <c r="CH65" s="670"/>
      <c r="CI65" s="670"/>
      <c r="CJ65" s="670"/>
      <c r="CK65" s="670"/>
      <c r="CL65" s="670"/>
      <c r="CM65" s="670"/>
      <c r="CN65" s="670"/>
      <c r="CO65" s="670"/>
    </row>
    <row r="66" spans="1:93" s="707" customFormat="1">
      <c r="A66" s="1590"/>
      <c r="B66" s="709" t="s">
        <v>2269</v>
      </c>
      <c r="C66" s="709"/>
      <c r="D66" s="683">
        <f>D59+D51</f>
        <v>31327125.789999999</v>
      </c>
      <c r="E66" s="682"/>
      <c r="F66" s="683">
        <f>F59+F51</f>
        <v>24452122.219999999</v>
      </c>
      <c r="G66" s="682"/>
      <c r="H66" s="682"/>
      <c r="I66" s="682"/>
      <c r="J66" s="1446">
        <f>J59+J51</f>
        <v>14986802.17</v>
      </c>
      <c r="K66" s="1356"/>
      <c r="L66" s="683"/>
      <c r="M66" s="683"/>
      <c r="N66" s="683"/>
      <c r="O66" s="683"/>
      <c r="P66" s="682"/>
      <c r="Q66" s="682"/>
      <c r="R66" s="683"/>
      <c r="S66" s="682"/>
      <c r="T66" s="682"/>
      <c r="U66" s="682"/>
      <c r="V66" s="682"/>
      <c r="W66" s="682"/>
      <c r="X66" s="682"/>
      <c r="Y66" s="682"/>
      <c r="Z66" s="682"/>
      <c r="AA66" s="682"/>
      <c r="AB66" s="682"/>
      <c r="AC66" s="682"/>
      <c r="AD66" s="682"/>
      <c r="AE66" s="682"/>
      <c r="AF66" s="682"/>
      <c r="AG66" s="682"/>
      <c r="AH66" s="682"/>
      <c r="AI66" s="682"/>
      <c r="AJ66" s="682"/>
      <c r="AK66" s="682"/>
      <c r="AL66" s="682"/>
      <c r="AM66" s="682"/>
      <c r="AN66" s="682"/>
      <c r="AO66" s="682"/>
      <c r="AP66" s="682"/>
      <c r="AQ66" s="682"/>
      <c r="AR66" s="682"/>
      <c r="AS66" s="682"/>
      <c r="AT66" s="682"/>
      <c r="AU66" s="682"/>
      <c r="AV66" s="682"/>
      <c r="AW66" s="682"/>
      <c r="AX66" s="682"/>
      <c r="AY66" s="682"/>
      <c r="AZ66" s="682"/>
      <c r="BA66" s="682"/>
      <c r="BB66" s="682"/>
      <c r="BC66" s="682"/>
      <c r="BD66" s="682"/>
      <c r="BE66" s="682"/>
      <c r="BF66" s="682"/>
      <c r="BG66" s="682"/>
      <c r="BH66" s="682"/>
      <c r="BI66" s="682"/>
      <c r="BJ66" s="682"/>
      <c r="BK66" s="682"/>
      <c r="BL66" s="682"/>
      <c r="BM66" s="682"/>
      <c r="BN66" s="682"/>
      <c r="BO66" s="682"/>
      <c r="BP66" s="682"/>
      <c r="BQ66" s="682"/>
      <c r="BR66" s="682"/>
      <c r="BS66" s="682"/>
      <c r="BT66" s="682"/>
      <c r="BU66" s="682"/>
      <c r="BV66" s="682"/>
      <c r="BW66" s="682"/>
      <c r="BX66" s="682"/>
      <c r="BY66" s="682"/>
      <c r="BZ66" s="682"/>
      <c r="CA66" s="682"/>
      <c r="CB66" s="682"/>
      <c r="CC66" s="682"/>
      <c r="CD66" s="682"/>
      <c r="CE66" s="682"/>
      <c r="CF66" s="682"/>
      <c r="CG66" s="682"/>
      <c r="CH66" s="682"/>
      <c r="CI66" s="682"/>
      <c r="CJ66" s="682"/>
      <c r="CK66" s="682"/>
      <c r="CL66" s="682"/>
      <c r="CM66" s="682"/>
      <c r="CN66" s="682"/>
      <c r="CO66" s="682"/>
    </row>
    <row r="67" spans="1:93">
      <c r="A67" s="1590"/>
      <c r="B67" s="709"/>
      <c r="C67" s="709"/>
      <c r="D67" s="711"/>
      <c r="E67" s="670"/>
      <c r="F67" s="655"/>
      <c r="G67" s="670"/>
      <c r="H67" s="670"/>
      <c r="I67" s="670"/>
      <c r="J67" s="1439"/>
      <c r="K67" s="1355"/>
      <c r="L67" s="655"/>
      <c r="M67" s="655"/>
      <c r="N67" s="655"/>
      <c r="O67" s="655"/>
      <c r="P67" s="670"/>
      <c r="Q67" s="670"/>
      <c r="R67" s="655"/>
      <c r="S67" s="670"/>
      <c r="T67" s="670"/>
      <c r="U67" s="670"/>
      <c r="V67" s="670"/>
      <c r="W67" s="670"/>
      <c r="X67" s="670"/>
      <c r="Y67" s="670"/>
      <c r="Z67" s="670"/>
      <c r="AA67" s="670"/>
      <c r="AB67" s="670"/>
      <c r="AC67" s="670"/>
      <c r="AD67" s="670"/>
      <c r="AE67" s="670"/>
      <c r="AF67" s="670"/>
      <c r="AG67" s="670"/>
      <c r="AH67" s="670"/>
      <c r="AI67" s="670"/>
      <c r="AJ67" s="670"/>
      <c r="AK67" s="670"/>
      <c r="AL67" s="670"/>
      <c r="AM67" s="670"/>
      <c r="AN67" s="670"/>
      <c r="AO67" s="670"/>
      <c r="AP67" s="670"/>
      <c r="AQ67" s="670"/>
      <c r="AR67" s="670"/>
      <c r="AS67" s="670"/>
      <c r="AT67" s="670"/>
      <c r="AU67" s="670"/>
      <c r="AV67" s="670"/>
      <c r="AW67" s="670"/>
      <c r="AX67" s="670"/>
      <c r="AY67" s="670"/>
      <c r="AZ67" s="670"/>
      <c r="BA67" s="670"/>
      <c r="BB67" s="670"/>
      <c r="BC67" s="670"/>
      <c r="BD67" s="670"/>
      <c r="BE67" s="670"/>
      <c r="BF67" s="670"/>
      <c r="BG67" s="670"/>
      <c r="BH67" s="670"/>
      <c r="BI67" s="670"/>
      <c r="BJ67" s="670"/>
      <c r="BK67" s="670"/>
      <c r="BL67" s="670"/>
      <c r="BM67" s="670"/>
      <c r="BN67" s="670"/>
      <c r="BO67" s="670"/>
      <c r="BP67" s="670"/>
      <c r="BQ67" s="670"/>
      <c r="BR67" s="670"/>
      <c r="BS67" s="670"/>
      <c r="BT67" s="670"/>
      <c r="BU67" s="670"/>
      <c r="BV67" s="670"/>
      <c r="BW67" s="670"/>
      <c r="BX67" s="670"/>
      <c r="BY67" s="670"/>
      <c r="BZ67" s="670"/>
      <c r="CA67" s="670"/>
      <c r="CB67" s="670"/>
      <c r="CC67" s="670"/>
      <c r="CD67" s="670"/>
      <c r="CE67" s="670"/>
      <c r="CF67" s="670"/>
      <c r="CG67" s="670"/>
      <c r="CH67" s="670"/>
      <c r="CI67" s="670"/>
      <c r="CJ67" s="670"/>
      <c r="CK67" s="670"/>
      <c r="CL67" s="670"/>
      <c r="CM67" s="670"/>
      <c r="CN67" s="670"/>
      <c r="CO67" s="670"/>
    </row>
    <row r="68" spans="1:93">
      <c r="A68" s="1590"/>
      <c r="B68" s="1332"/>
      <c r="C68" s="709"/>
      <c r="D68" s="711"/>
      <c r="E68" s="670"/>
      <c r="F68" s="655"/>
      <c r="G68" s="670"/>
      <c r="H68" s="670"/>
      <c r="I68" s="670"/>
      <c r="J68" s="1439"/>
      <c r="K68" s="1355"/>
      <c r="L68" s="655"/>
      <c r="M68" s="655"/>
      <c r="N68" s="655"/>
      <c r="O68" s="655"/>
      <c r="P68" s="670"/>
      <c r="Q68" s="670"/>
      <c r="R68" s="655"/>
      <c r="S68" s="670"/>
      <c r="T68" s="670"/>
      <c r="U68" s="670"/>
      <c r="V68" s="670"/>
      <c r="W68" s="670"/>
      <c r="X68" s="670"/>
      <c r="Y68" s="670"/>
      <c r="Z68" s="670"/>
      <c r="AA68" s="670"/>
      <c r="AB68" s="670"/>
      <c r="AC68" s="670"/>
      <c r="AD68" s="670"/>
      <c r="AE68" s="670"/>
      <c r="AF68" s="670"/>
      <c r="AG68" s="670"/>
      <c r="AH68" s="670"/>
      <c r="AI68" s="670"/>
      <c r="AJ68" s="670"/>
      <c r="AK68" s="670"/>
      <c r="AL68" s="670"/>
      <c r="AM68" s="670"/>
      <c r="AN68" s="670"/>
      <c r="AO68" s="670"/>
      <c r="AP68" s="670"/>
      <c r="AQ68" s="670"/>
      <c r="AR68" s="670"/>
      <c r="AS68" s="670"/>
      <c r="AT68" s="670"/>
      <c r="AU68" s="670"/>
      <c r="AV68" s="670"/>
      <c r="AW68" s="670"/>
      <c r="AX68" s="670"/>
      <c r="AY68" s="670"/>
      <c r="AZ68" s="670"/>
      <c r="BA68" s="670"/>
      <c r="BB68" s="670"/>
      <c r="BC68" s="670"/>
      <c r="BD68" s="670"/>
      <c r="BE68" s="670"/>
      <c r="BF68" s="670"/>
      <c r="BG68" s="670"/>
      <c r="BH68" s="670"/>
      <c r="BI68" s="670"/>
      <c r="BJ68" s="670"/>
      <c r="BK68" s="670"/>
      <c r="BL68" s="670"/>
      <c r="BM68" s="670"/>
      <c r="BN68" s="670"/>
      <c r="BO68" s="670"/>
      <c r="BP68" s="670"/>
      <c r="BQ68" s="670"/>
      <c r="BR68" s="670"/>
      <c r="BS68" s="670"/>
      <c r="BT68" s="670"/>
      <c r="BU68" s="670"/>
      <c r="BV68" s="670"/>
      <c r="BW68" s="670"/>
      <c r="BX68" s="670"/>
      <c r="BY68" s="670"/>
      <c r="BZ68" s="670"/>
      <c r="CA68" s="670"/>
      <c r="CB68" s="670"/>
      <c r="CC68" s="670"/>
      <c r="CD68" s="670"/>
      <c r="CE68" s="670"/>
      <c r="CF68" s="670"/>
      <c r="CG68" s="670"/>
      <c r="CH68" s="670"/>
      <c r="CI68" s="670"/>
      <c r="CJ68" s="670"/>
      <c r="CK68" s="670"/>
      <c r="CL68" s="670"/>
      <c r="CM68" s="670"/>
      <c r="CN68" s="670"/>
      <c r="CO68" s="670"/>
    </row>
    <row r="69" spans="1:93">
      <c r="A69" s="1590"/>
      <c r="B69" s="1336" t="s">
        <v>2270</v>
      </c>
      <c r="C69" s="1336"/>
      <c r="D69" s="718"/>
      <c r="E69" s="670"/>
      <c r="F69" s="655"/>
      <c r="G69" s="670"/>
      <c r="H69" s="670"/>
      <c r="I69" s="670"/>
      <c r="J69" s="1439"/>
      <c r="K69" s="1355"/>
      <c r="L69" s="655"/>
      <c r="M69" s="655"/>
      <c r="N69" s="655"/>
      <c r="O69" s="655"/>
      <c r="P69" s="670"/>
      <c r="Q69" s="670"/>
      <c r="R69" s="655"/>
      <c r="S69" s="670"/>
      <c r="T69" s="670"/>
      <c r="U69" s="670"/>
      <c r="V69" s="670"/>
      <c r="W69" s="670"/>
      <c r="X69" s="670"/>
      <c r="Y69" s="670"/>
      <c r="Z69" s="670"/>
      <c r="AA69" s="670"/>
      <c r="AB69" s="670"/>
      <c r="AC69" s="670"/>
      <c r="AD69" s="670"/>
      <c r="AE69" s="670"/>
      <c r="AF69" s="670"/>
      <c r="AG69" s="670"/>
      <c r="AH69" s="670"/>
      <c r="AI69" s="670"/>
      <c r="AJ69" s="670"/>
      <c r="AK69" s="670"/>
      <c r="AL69" s="670"/>
      <c r="AM69" s="670"/>
      <c r="AN69" s="670"/>
      <c r="AO69" s="670"/>
      <c r="AP69" s="670"/>
      <c r="AQ69" s="670"/>
      <c r="AR69" s="670"/>
      <c r="AS69" s="670"/>
      <c r="AT69" s="670"/>
      <c r="AU69" s="670"/>
      <c r="AV69" s="670"/>
      <c r="AW69" s="670"/>
      <c r="AX69" s="670"/>
      <c r="AY69" s="670"/>
      <c r="AZ69" s="670"/>
      <c r="BA69" s="670"/>
      <c r="BB69" s="670"/>
      <c r="BC69" s="670"/>
      <c r="BD69" s="670"/>
      <c r="BE69" s="670"/>
      <c r="BF69" s="670"/>
      <c r="BG69" s="670"/>
      <c r="BH69" s="670"/>
      <c r="BI69" s="670"/>
      <c r="BJ69" s="670"/>
      <c r="BK69" s="670"/>
      <c r="BL69" s="670"/>
      <c r="BM69" s="670"/>
      <c r="BN69" s="670"/>
      <c r="BO69" s="670"/>
      <c r="BP69" s="670"/>
      <c r="BQ69" s="670"/>
      <c r="BR69" s="670"/>
      <c r="BS69" s="670"/>
      <c r="BT69" s="670"/>
      <c r="BU69" s="670"/>
      <c r="BV69" s="670"/>
      <c r="BW69" s="670"/>
      <c r="BX69" s="670"/>
      <c r="BY69" s="670"/>
      <c r="BZ69" s="670"/>
      <c r="CA69" s="670"/>
      <c r="CB69" s="670"/>
      <c r="CC69" s="670"/>
      <c r="CD69" s="670"/>
      <c r="CE69" s="670"/>
      <c r="CF69" s="670"/>
      <c r="CG69" s="670"/>
      <c r="CH69" s="670"/>
      <c r="CI69" s="670"/>
      <c r="CJ69" s="670"/>
      <c r="CK69" s="670"/>
      <c r="CL69" s="670"/>
      <c r="CM69" s="670"/>
      <c r="CN69" s="670"/>
      <c r="CO69" s="670"/>
    </row>
    <row r="70" spans="1:93" s="720" customFormat="1" ht="25.5">
      <c r="A70" s="1691"/>
      <c r="B70" s="615" t="s">
        <v>1081</v>
      </c>
      <c r="C70" s="615"/>
      <c r="D70" s="719"/>
      <c r="E70" s="615"/>
      <c r="F70" s="719"/>
      <c r="G70" s="615"/>
      <c r="H70" s="615"/>
      <c r="I70" s="615"/>
      <c r="J70" s="1692"/>
      <c r="K70" s="1360"/>
      <c r="L70" s="719"/>
      <c r="M70" s="719"/>
      <c r="N70" s="719"/>
      <c r="O70" s="719"/>
      <c r="P70" s="615"/>
      <c r="Q70" s="615"/>
      <c r="R70" s="719"/>
      <c r="S70" s="615"/>
      <c r="T70" s="615"/>
      <c r="U70" s="615"/>
      <c r="V70" s="615"/>
      <c r="W70" s="615"/>
      <c r="X70" s="615"/>
      <c r="Y70" s="615"/>
      <c r="Z70" s="615"/>
      <c r="AA70" s="615"/>
      <c r="AB70" s="615"/>
      <c r="AC70" s="615"/>
      <c r="AD70" s="615"/>
      <c r="AE70" s="615"/>
      <c r="AF70" s="615"/>
      <c r="AG70" s="615"/>
      <c r="AH70" s="615"/>
      <c r="AI70" s="615"/>
      <c r="AJ70" s="615"/>
      <c r="AK70" s="615"/>
      <c r="AL70" s="615"/>
      <c r="AM70" s="615"/>
      <c r="AN70" s="615"/>
      <c r="AO70" s="615"/>
      <c r="AP70" s="615"/>
      <c r="AQ70" s="615"/>
      <c r="AR70" s="615"/>
      <c r="AS70" s="615"/>
      <c r="AT70" s="615"/>
      <c r="AU70" s="615"/>
      <c r="AV70" s="615"/>
      <c r="AW70" s="615"/>
      <c r="AX70" s="615"/>
      <c r="AY70" s="615"/>
      <c r="AZ70" s="615"/>
      <c r="BA70" s="615"/>
      <c r="BB70" s="615"/>
      <c r="BC70" s="615"/>
      <c r="BD70" s="615"/>
      <c r="BE70" s="615"/>
      <c r="BF70" s="615"/>
      <c r="BG70" s="615"/>
      <c r="BH70" s="615"/>
      <c r="BI70" s="615"/>
      <c r="BJ70" s="615"/>
      <c r="BK70" s="615"/>
      <c r="BL70" s="615"/>
      <c r="BM70" s="615"/>
      <c r="BN70" s="615"/>
      <c r="BO70" s="615"/>
      <c r="BP70" s="615"/>
      <c r="BQ70" s="615"/>
      <c r="BR70" s="615"/>
      <c r="BS70" s="615"/>
      <c r="BT70" s="615"/>
      <c r="BU70" s="615"/>
      <c r="BV70" s="615"/>
      <c r="BW70" s="615"/>
      <c r="BX70" s="615"/>
      <c r="BY70" s="615"/>
      <c r="BZ70" s="615"/>
      <c r="CA70" s="615"/>
      <c r="CB70" s="615"/>
      <c r="CC70" s="615"/>
      <c r="CD70" s="615"/>
      <c r="CE70" s="615"/>
      <c r="CF70" s="615"/>
      <c r="CG70" s="615"/>
      <c r="CH70" s="615"/>
      <c r="CI70" s="615"/>
      <c r="CJ70" s="615"/>
      <c r="CK70" s="615"/>
      <c r="CL70" s="615"/>
      <c r="CM70" s="615"/>
      <c r="CN70" s="615"/>
      <c r="CO70" s="615"/>
    </row>
    <row r="71" spans="1:93">
      <c r="A71" s="1590"/>
      <c r="B71" s="670"/>
      <c r="C71" s="670"/>
      <c r="D71" s="655"/>
      <c r="E71" s="670"/>
      <c r="F71" s="655"/>
      <c r="G71" s="670"/>
      <c r="H71" s="670"/>
      <c r="I71" s="670"/>
      <c r="J71" s="1439"/>
      <c r="K71" s="1355"/>
      <c r="L71" s="655"/>
      <c r="M71" s="655"/>
      <c r="N71" s="655"/>
      <c r="O71" s="655"/>
      <c r="P71" s="670"/>
      <c r="Q71" s="670"/>
      <c r="R71" s="655"/>
      <c r="S71" s="670"/>
      <c r="T71" s="670"/>
      <c r="U71" s="670"/>
      <c r="V71" s="670"/>
      <c r="W71" s="670"/>
      <c r="X71" s="670"/>
      <c r="Y71" s="670"/>
      <c r="Z71" s="670"/>
      <c r="AA71" s="670"/>
      <c r="AB71" s="670"/>
      <c r="AC71" s="670"/>
      <c r="AD71" s="670"/>
      <c r="AE71" s="670"/>
      <c r="AF71" s="670"/>
      <c r="AG71" s="670"/>
      <c r="AH71" s="670"/>
      <c r="AI71" s="670"/>
      <c r="AJ71" s="670"/>
      <c r="AK71" s="670"/>
      <c r="AL71" s="670"/>
      <c r="AM71" s="670"/>
      <c r="AN71" s="670"/>
      <c r="AO71" s="670"/>
      <c r="AP71" s="670"/>
      <c r="AQ71" s="670"/>
      <c r="AR71" s="670"/>
      <c r="AS71" s="670"/>
      <c r="AT71" s="670"/>
      <c r="AU71" s="670"/>
      <c r="AV71" s="670"/>
      <c r="AW71" s="670"/>
      <c r="AX71" s="670"/>
      <c r="AY71" s="670"/>
      <c r="AZ71" s="670"/>
      <c r="BA71" s="670"/>
      <c r="BB71" s="670"/>
      <c r="BC71" s="670"/>
      <c r="BD71" s="670"/>
      <c r="BE71" s="670"/>
      <c r="BF71" s="670"/>
      <c r="BG71" s="670"/>
      <c r="BH71" s="670"/>
      <c r="BI71" s="670"/>
      <c r="BJ71" s="670"/>
      <c r="BK71" s="670"/>
      <c r="BL71" s="670"/>
      <c r="BM71" s="670"/>
      <c r="BN71" s="670"/>
      <c r="BO71" s="670"/>
      <c r="BP71" s="670"/>
      <c r="BQ71" s="670"/>
      <c r="BR71" s="670"/>
      <c r="BS71" s="670"/>
      <c r="BT71" s="670"/>
      <c r="BU71" s="670"/>
      <c r="BV71" s="670"/>
      <c r="BW71" s="670"/>
      <c r="BX71" s="670"/>
      <c r="BY71" s="670"/>
      <c r="BZ71" s="670"/>
      <c r="CA71" s="670"/>
      <c r="CB71" s="670"/>
      <c r="CC71" s="670"/>
      <c r="CD71" s="670"/>
      <c r="CE71" s="670"/>
      <c r="CF71" s="670"/>
      <c r="CG71" s="670"/>
      <c r="CH71" s="670"/>
      <c r="CI71" s="670"/>
      <c r="CJ71" s="670"/>
      <c r="CK71" s="670"/>
      <c r="CL71" s="670"/>
      <c r="CM71" s="670"/>
      <c r="CN71" s="670"/>
      <c r="CO71" s="670"/>
    </row>
    <row r="72" spans="1:93">
      <c r="A72" s="1590"/>
      <c r="B72" s="1336" t="s">
        <v>2273</v>
      </c>
      <c r="C72" s="1336"/>
      <c r="D72" s="718"/>
      <c r="E72" s="670"/>
      <c r="F72" s="655"/>
      <c r="G72" s="670"/>
      <c r="H72" s="670"/>
      <c r="I72" s="670"/>
      <c r="J72" s="1439"/>
      <c r="K72" s="1355"/>
      <c r="L72" s="655"/>
      <c r="M72" s="655"/>
      <c r="N72" s="655"/>
      <c r="O72" s="655"/>
      <c r="P72" s="670"/>
      <c r="Q72" s="670"/>
      <c r="R72" s="655"/>
      <c r="S72" s="670"/>
      <c r="T72" s="670"/>
      <c r="U72" s="670"/>
      <c r="V72" s="670"/>
      <c r="W72" s="670"/>
      <c r="X72" s="670"/>
      <c r="Y72" s="670"/>
      <c r="Z72" s="670"/>
      <c r="AA72" s="670"/>
      <c r="AB72" s="670"/>
      <c r="AC72" s="670"/>
      <c r="AD72" s="670"/>
      <c r="AE72" s="670"/>
      <c r="AF72" s="670"/>
      <c r="AG72" s="670"/>
      <c r="AH72" s="670"/>
      <c r="AI72" s="670"/>
      <c r="AJ72" s="670"/>
      <c r="AK72" s="670"/>
      <c r="AL72" s="670"/>
      <c r="AM72" s="670"/>
      <c r="AN72" s="670"/>
      <c r="AO72" s="670"/>
      <c r="AP72" s="670"/>
      <c r="AQ72" s="670"/>
      <c r="AR72" s="670"/>
      <c r="AS72" s="670"/>
      <c r="AT72" s="670"/>
      <c r="AU72" s="670"/>
      <c r="AV72" s="670"/>
      <c r="AW72" s="670"/>
      <c r="AX72" s="670"/>
      <c r="AY72" s="670"/>
      <c r="AZ72" s="670"/>
      <c r="BA72" s="670"/>
      <c r="BB72" s="670"/>
      <c r="BC72" s="670"/>
      <c r="BD72" s="670"/>
      <c r="BE72" s="670"/>
      <c r="BF72" s="670"/>
      <c r="BG72" s="670"/>
      <c r="BH72" s="670"/>
      <c r="BI72" s="670"/>
      <c r="BJ72" s="670"/>
      <c r="BK72" s="670"/>
      <c r="BL72" s="670"/>
      <c r="BM72" s="670"/>
      <c r="BN72" s="670"/>
      <c r="BO72" s="670"/>
      <c r="BP72" s="670"/>
      <c r="BQ72" s="670"/>
      <c r="BR72" s="670"/>
      <c r="BS72" s="670"/>
      <c r="BT72" s="670"/>
      <c r="BU72" s="670"/>
      <c r="BV72" s="670"/>
      <c r="BW72" s="670"/>
      <c r="BX72" s="670"/>
      <c r="BY72" s="670"/>
      <c r="BZ72" s="670"/>
      <c r="CA72" s="670"/>
      <c r="CB72" s="670"/>
      <c r="CC72" s="670"/>
      <c r="CD72" s="670"/>
      <c r="CE72" s="670"/>
      <c r="CF72" s="670"/>
      <c r="CG72" s="670"/>
      <c r="CH72" s="670"/>
      <c r="CI72" s="670"/>
      <c r="CJ72" s="670"/>
      <c r="CK72" s="670"/>
      <c r="CL72" s="670"/>
      <c r="CM72" s="670"/>
      <c r="CN72" s="670"/>
      <c r="CO72" s="670"/>
    </row>
    <row r="73" spans="1:93">
      <c r="A73" s="1590"/>
      <c r="B73" s="708" t="s">
        <v>2274</v>
      </c>
      <c r="C73" s="708"/>
      <c r="D73" s="655"/>
      <c r="E73" s="670"/>
      <c r="F73" s="655">
        <v>0</v>
      </c>
      <c r="G73" s="670"/>
      <c r="H73" s="670"/>
      <c r="I73" s="670"/>
      <c r="J73" s="1439">
        <v>0</v>
      </c>
      <c r="K73" s="1355"/>
      <c r="L73" s="655"/>
      <c r="M73" s="655"/>
      <c r="N73" s="655"/>
      <c r="O73" s="655"/>
      <c r="P73" s="670"/>
      <c r="Q73" s="670"/>
      <c r="R73" s="655"/>
      <c r="S73" s="670"/>
      <c r="T73" s="670"/>
      <c r="U73" s="670"/>
      <c r="V73" s="670"/>
      <c r="W73" s="670"/>
      <c r="X73" s="670"/>
      <c r="Y73" s="670"/>
      <c r="Z73" s="670"/>
      <c r="AA73" s="670"/>
      <c r="AB73" s="670"/>
      <c r="AC73" s="670"/>
      <c r="AD73" s="670"/>
      <c r="AE73" s="670"/>
      <c r="AF73" s="670"/>
      <c r="AG73" s="670"/>
      <c r="AH73" s="670"/>
      <c r="AI73" s="670"/>
      <c r="AJ73" s="670"/>
      <c r="AK73" s="670"/>
      <c r="AL73" s="670"/>
      <c r="AM73" s="670"/>
      <c r="AN73" s="670"/>
      <c r="AO73" s="670"/>
      <c r="AP73" s="670"/>
      <c r="AQ73" s="670"/>
      <c r="AR73" s="670"/>
      <c r="AS73" s="670"/>
      <c r="AT73" s="670"/>
      <c r="AU73" s="670"/>
      <c r="AV73" s="670"/>
      <c r="AW73" s="670"/>
      <c r="AX73" s="670"/>
      <c r="AY73" s="670"/>
      <c r="AZ73" s="670"/>
      <c r="BA73" s="670"/>
      <c r="BB73" s="670"/>
      <c r="BC73" s="670"/>
      <c r="BD73" s="670"/>
      <c r="BE73" s="670"/>
      <c r="BF73" s="670"/>
      <c r="BG73" s="670"/>
      <c r="BH73" s="670"/>
      <c r="BI73" s="670"/>
      <c r="BJ73" s="670"/>
      <c r="BK73" s="670"/>
      <c r="BL73" s="670"/>
      <c r="BM73" s="670"/>
      <c r="BN73" s="670"/>
      <c r="BO73" s="670"/>
      <c r="BP73" s="670"/>
      <c r="BQ73" s="670"/>
      <c r="BR73" s="670"/>
      <c r="BS73" s="670"/>
      <c r="BT73" s="670"/>
      <c r="BU73" s="670"/>
      <c r="BV73" s="670"/>
      <c r="BW73" s="670"/>
      <c r="BX73" s="670"/>
      <c r="BY73" s="670"/>
      <c r="BZ73" s="670"/>
      <c r="CA73" s="670"/>
      <c r="CB73" s="670"/>
      <c r="CC73" s="670"/>
      <c r="CD73" s="670"/>
      <c r="CE73" s="670"/>
      <c r="CF73" s="670"/>
      <c r="CG73" s="670"/>
      <c r="CH73" s="670"/>
      <c r="CI73" s="670"/>
      <c r="CJ73" s="670"/>
      <c r="CK73" s="670"/>
      <c r="CL73" s="670"/>
      <c r="CM73" s="670"/>
      <c r="CN73" s="670"/>
      <c r="CO73" s="670"/>
    </row>
    <row r="74" spans="1:93">
      <c r="A74" s="1590"/>
      <c r="B74" s="708" t="s">
        <v>2271</v>
      </c>
      <c r="C74" s="708"/>
      <c r="D74" s="658">
        <f>SUM(D54)</f>
        <v>2750000</v>
      </c>
      <c r="E74" s="670"/>
      <c r="F74" s="658">
        <f>SUM(F54)</f>
        <v>1250000</v>
      </c>
      <c r="G74" s="670"/>
      <c r="H74" s="670"/>
      <c r="I74" s="670"/>
      <c r="J74" s="1688">
        <f>-SUM('TRAIL BALANCE'!E344)</f>
        <v>500000</v>
      </c>
      <c r="K74" s="1355"/>
      <c r="L74" s="655"/>
      <c r="M74" s="655"/>
      <c r="N74" s="655"/>
      <c r="O74" s="655"/>
      <c r="P74" s="670"/>
      <c r="Q74" s="670"/>
      <c r="R74" s="655"/>
      <c r="S74" s="670"/>
      <c r="T74" s="670"/>
      <c r="U74" s="670"/>
      <c r="V74" s="670"/>
      <c r="W74" s="670"/>
      <c r="X74" s="670"/>
      <c r="Y74" s="670"/>
      <c r="Z74" s="670"/>
      <c r="AA74" s="670"/>
      <c r="AB74" s="670"/>
      <c r="AC74" s="670"/>
      <c r="AD74" s="670"/>
      <c r="AE74" s="670"/>
      <c r="AF74" s="670"/>
      <c r="AG74" s="670"/>
      <c r="AH74" s="670"/>
      <c r="AI74" s="670"/>
      <c r="AJ74" s="670"/>
      <c r="AK74" s="670"/>
      <c r="AL74" s="670"/>
      <c r="AM74" s="670"/>
      <c r="AN74" s="670"/>
      <c r="AO74" s="670"/>
      <c r="AP74" s="670"/>
      <c r="AQ74" s="670"/>
      <c r="AR74" s="670"/>
      <c r="AS74" s="670"/>
      <c r="AT74" s="670"/>
      <c r="AU74" s="670"/>
      <c r="AV74" s="670"/>
      <c r="AW74" s="670"/>
      <c r="AX74" s="670"/>
      <c r="AY74" s="670"/>
      <c r="AZ74" s="670"/>
      <c r="BA74" s="670"/>
      <c r="BB74" s="670"/>
      <c r="BC74" s="670"/>
      <c r="BD74" s="670"/>
      <c r="BE74" s="670"/>
      <c r="BF74" s="670"/>
      <c r="BG74" s="670"/>
      <c r="BH74" s="670"/>
      <c r="BI74" s="670"/>
      <c r="BJ74" s="670"/>
      <c r="BK74" s="670"/>
      <c r="BL74" s="670"/>
      <c r="BM74" s="670"/>
      <c r="BN74" s="670"/>
      <c r="BO74" s="670"/>
      <c r="BP74" s="670"/>
      <c r="BQ74" s="670"/>
      <c r="BR74" s="670"/>
      <c r="BS74" s="670"/>
      <c r="BT74" s="670"/>
      <c r="BU74" s="670"/>
      <c r="BV74" s="670"/>
      <c r="BW74" s="670"/>
      <c r="BX74" s="670"/>
      <c r="BY74" s="670"/>
      <c r="BZ74" s="670"/>
      <c r="CA74" s="670"/>
      <c r="CB74" s="670"/>
      <c r="CC74" s="670"/>
      <c r="CD74" s="670"/>
      <c r="CE74" s="670"/>
      <c r="CF74" s="670"/>
      <c r="CG74" s="670"/>
      <c r="CH74" s="670"/>
      <c r="CI74" s="670"/>
      <c r="CJ74" s="670"/>
      <c r="CK74" s="670"/>
      <c r="CL74" s="670"/>
      <c r="CM74" s="670"/>
      <c r="CN74" s="670"/>
      <c r="CO74" s="670"/>
    </row>
    <row r="75" spans="1:93">
      <c r="A75" s="1590"/>
      <c r="B75" s="708" t="s">
        <v>2272</v>
      </c>
      <c r="C75" s="708"/>
      <c r="D75" s="717">
        <v>-2750000</v>
      </c>
      <c r="E75" s="670"/>
      <c r="F75" s="717">
        <v>-1250000</v>
      </c>
      <c r="G75" s="670"/>
      <c r="H75" s="670"/>
      <c r="I75" s="670"/>
      <c r="J75" s="1690">
        <f>SUM('TRAIL BALANCE'!E344)</f>
        <v>-500000</v>
      </c>
      <c r="K75" s="1355"/>
      <c r="L75" s="685" t="s">
        <v>45</v>
      </c>
      <c r="M75" s="655"/>
      <c r="N75" s="655"/>
      <c r="O75" s="655"/>
      <c r="P75" s="670"/>
      <c r="Q75" s="670"/>
      <c r="R75" s="655"/>
      <c r="S75" s="670"/>
      <c r="T75" s="670"/>
      <c r="U75" s="670"/>
      <c r="V75" s="670"/>
      <c r="W75" s="670"/>
      <c r="X75" s="670"/>
      <c r="Y75" s="670"/>
      <c r="Z75" s="670"/>
      <c r="AA75" s="670"/>
      <c r="AB75" s="670"/>
      <c r="AC75" s="670"/>
      <c r="AD75" s="670"/>
      <c r="AE75" s="670"/>
      <c r="AF75" s="670"/>
      <c r="AG75" s="670"/>
      <c r="AH75" s="670"/>
      <c r="AI75" s="670"/>
      <c r="AJ75" s="670"/>
      <c r="AK75" s="670"/>
      <c r="AL75" s="670"/>
      <c r="AM75" s="670"/>
      <c r="AN75" s="670"/>
      <c r="AO75" s="670"/>
      <c r="AP75" s="670"/>
      <c r="AQ75" s="670"/>
      <c r="AR75" s="670"/>
      <c r="AS75" s="670"/>
      <c r="AT75" s="670"/>
      <c r="AU75" s="670"/>
      <c r="AV75" s="670"/>
      <c r="AW75" s="670"/>
      <c r="AX75" s="670"/>
      <c r="AY75" s="670"/>
      <c r="AZ75" s="670"/>
      <c r="BA75" s="670"/>
      <c r="BB75" s="670"/>
      <c r="BC75" s="670"/>
      <c r="BD75" s="670"/>
      <c r="BE75" s="670"/>
      <c r="BF75" s="670"/>
      <c r="BG75" s="670"/>
      <c r="BH75" s="670"/>
      <c r="BI75" s="670"/>
      <c r="BJ75" s="670"/>
      <c r="BK75" s="670"/>
      <c r="BL75" s="670"/>
      <c r="BM75" s="670"/>
      <c r="BN75" s="670"/>
      <c r="BO75" s="670"/>
      <c r="BP75" s="670"/>
      <c r="BQ75" s="670"/>
      <c r="BR75" s="670"/>
      <c r="BS75" s="670"/>
      <c r="BT75" s="670"/>
      <c r="BU75" s="670"/>
      <c r="BV75" s="670"/>
      <c r="BW75" s="670"/>
      <c r="BX75" s="670"/>
      <c r="BY75" s="670"/>
      <c r="BZ75" s="670"/>
      <c r="CA75" s="670"/>
      <c r="CB75" s="670"/>
      <c r="CC75" s="670"/>
      <c r="CD75" s="670"/>
      <c r="CE75" s="670"/>
      <c r="CF75" s="670"/>
      <c r="CG75" s="670"/>
      <c r="CH75" s="670"/>
      <c r="CI75" s="670"/>
      <c r="CJ75" s="670"/>
      <c r="CK75" s="670"/>
      <c r="CL75" s="670"/>
      <c r="CM75" s="670"/>
      <c r="CN75" s="670"/>
      <c r="CO75" s="670"/>
    </row>
    <row r="76" spans="1:93" s="707" customFormat="1" ht="13.5" thickBot="1">
      <c r="A76" s="1590"/>
      <c r="B76" s="709" t="s">
        <v>2275</v>
      </c>
      <c r="C76" s="709"/>
      <c r="D76" s="710">
        <f>SUM(D73:D75)</f>
        <v>0</v>
      </c>
      <c r="E76" s="682"/>
      <c r="F76" s="710">
        <f>SUM(F73:F75)</f>
        <v>0</v>
      </c>
      <c r="G76" s="682"/>
      <c r="H76" s="682"/>
      <c r="I76" s="682"/>
      <c r="J76" s="1693">
        <f>SUM(J73:J75)</f>
        <v>0</v>
      </c>
      <c r="K76" s="1356"/>
      <c r="L76" s="683"/>
      <c r="M76" s="683"/>
      <c r="N76" s="683"/>
      <c r="O76" s="683"/>
      <c r="P76" s="682"/>
      <c r="Q76" s="682"/>
      <c r="R76" s="683"/>
      <c r="S76" s="682"/>
      <c r="T76" s="682"/>
      <c r="U76" s="682"/>
      <c r="V76" s="682"/>
      <c r="W76" s="682"/>
      <c r="X76" s="682"/>
      <c r="Y76" s="682"/>
      <c r="Z76" s="682"/>
      <c r="AA76" s="682"/>
      <c r="AB76" s="682"/>
      <c r="AC76" s="682"/>
      <c r="AD76" s="682"/>
      <c r="AE76" s="682"/>
      <c r="AF76" s="682"/>
      <c r="AG76" s="682"/>
      <c r="AH76" s="682"/>
      <c r="AI76" s="682"/>
      <c r="AJ76" s="682"/>
      <c r="AK76" s="682"/>
      <c r="AL76" s="682"/>
      <c r="AM76" s="682"/>
      <c r="AN76" s="682"/>
      <c r="AO76" s="682"/>
      <c r="AP76" s="682"/>
      <c r="AQ76" s="682"/>
      <c r="AR76" s="682"/>
      <c r="AS76" s="682"/>
      <c r="AT76" s="682"/>
      <c r="AU76" s="682"/>
      <c r="AV76" s="682"/>
      <c r="AW76" s="682"/>
      <c r="AX76" s="682"/>
      <c r="AY76" s="682"/>
      <c r="AZ76" s="682"/>
      <c r="BA76" s="682"/>
      <c r="BB76" s="682"/>
      <c r="BC76" s="682"/>
      <c r="BD76" s="682"/>
      <c r="BE76" s="682"/>
      <c r="BF76" s="682"/>
      <c r="BG76" s="682"/>
      <c r="BH76" s="682"/>
      <c r="BI76" s="682"/>
      <c r="BJ76" s="682"/>
      <c r="BK76" s="682"/>
      <c r="BL76" s="682"/>
      <c r="BM76" s="682"/>
      <c r="BN76" s="682"/>
      <c r="BO76" s="682"/>
      <c r="BP76" s="682"/>
      <c r="BQ76" s="682"/>
      <c r="BR76" s="682"/>
      <c r="BS76" s="682"/>
      <c r="BT76" s="682"/>
      <c r="BU76" s="682"/>
      <c r="BV76" s="682"/>
      <c r="BW76" s="682"/>
      <c r="BX76" s="682"/>
      <c r="BY76" s="682"/>
      <c r="BZ76" s="682"/>
      <c r="CA76" s="682"/>
      <c r="CB76" s="682"/>
      <c r="CC76" s="682"/>
      <c r="CD76" s="682"/>
      <c r="CE76" s="682"/>
      <c r="CF76" s="682"/>
      <c r="CG76" s="682"/>
      <c r="CH76" s="682"/>
      <c r="CI76" s="682"/>
      <c r="CJ76" s="682"/>
      <c r="CK76" s="682"/>
      <c r="CL76" s="682"/>
      <c r="CM76" s="682"/>
      <c r="CN76" s="682"/>
      <c r="CO76" s="682"/>
    </row>
    <row r="77" spans="1:93" ht="13.5" thickTop="1">
      <c r="A77" s="1590"/>
      <c r="B77" s="708" t="s">
        <v>3959</v>
      </c>
      <c r="C77" s="708"/>
      <c r="D77" s="713"/>
      <c r="E77" s="670"/>
      <c r="F77" s="655"/>
      <c r="G77" s="670"/>
      <c r="H77" s="670"/>
      <c r="I77" s="670"/>
      <c r="J77" s="1439"/>
      <c r="K77" s="1355"/>
      <c r="L77" s="655"/>
      <c r="M77" s="655"/>
      <c r="N77" s="655"/>
      <c r="O77" s="655"/>
      <c r="P77" s="670"/>
      <c r="Q77" s="670"/>
      <c r="R77" s="655"/>
      <c r="S77" s="670"/>
      <c r="T77" s="670"/>
      <c r="U77" s="670"/>
      <c r="V77" s="670"/>
      <c r="W77" s="670"/>
      <c r="X77" s="670"/>
      <c r="Y77" s="670"/>
      <c r="Z77" s="670"/>
      <c r="AA77" s="670"/>
      <c r="AB77" s="670"/>
      <c r="AC77" s="670"/>
      <c r="AD77" s="670"/>
      <c r="AE77" s="670"/>
      <c r="AF77" s="670"/>
      <c r="AG77" s="670"/>
      <c r="AH77" s="670"/>
      <c r="AI77" s="670"/>
      <c r="AJ77" s="670"/>
      <c r="AK77" s="670"/>
      <c r="AL77" s="670"/>
      <c r="AM77" s="670"/>
      <c r="AN77" s="670"/>
      <c r="AO77" s="670"/>
      <c r="AP77" s="670"/>
      <c r="AQ77" s="670"/>
      <c r="AR77" s="670"/>
      <c r="AS77" s="670"/>
      <c r="AT77" s="670"/>
      <c r="AU77" s="670"/>
      <c r="AV77" s="670"/>
      <c r="AW77" s="670"/>
      <c r="AX77" s="670"/>
      <c r="AY77" s="670"/>
      <c r="AZ77" s="670"/>
      <c r="BA77" s="670"/>
      <c r="BB77" s="670"/>
      <c r="BC77" s="670"/>
      <c r="BD77" s="670"/>
      <c r="BE77" s="670"/>
      <c r="BF77" s="670"/>
      <c r="BG77" s="670"/>
      <c r="BH77" s="670"/>
      <c r="BI77" s="670"/>
      <c r="BJ77" s="670"/>
      <c r="BK77" s="670"/>
      <c r="BL77" s="670"/>
      <c r="BM77" s="670"/>
      <c r="BN77" s="670"/>
      <c r="BO77" s="670"/>
      <c r="BP77" s="670"/>
      <c r="BQ77" s="670"/>
      <c r="BR77" s="670"/>
      <c r="BS77" s="670"/>
      <c r="BT77" s="670"/>
      <c r="BU77" s="670"/>
      <c r="BV77" s="670"/>
      <c r="BW77" s="670"/>
      <c r="BX77" s="670"/>
      <c r="BY77" s="670"/>
      <c r="BZ77" s="670"/>
      <c r="CA77" s="670"/>
      <c r="CB77" s="670"/>
      <c r="CC77" s="670"/>
      <c r="CD77" s="670"/>
      <c r="CE77" s="670"/>
      <c r="CF77" s="670"/>
      <c r="CG77" s="670"/>
      <c r="CH77" s="670"/>
      <c r="CI77" s="670"/>
      <c r="CJ77" s="670"/>
      <c r="CK77" s="670"/>
      <c r="CL77" s="670"/>
      <c r="CM77" s="670"/>
      <c r="CN77" s="670"/>
      <c r="CO77" s="670"/>
    </row>
    <row r="78" spans="1:93" s="720" customFormat="1" ht="51">
      <c r="A78" s="1691"/>
      <c r="B78" s="615" t="s">
        <v>2276</v>
      </c>
      <c r="C78" s="615"/>
      <c r="D78" s="719"/>
      <c r="E78" s="615"/>
      <c r="F78" s="615"/>
      <c r="G78" s="615"/>
      <c r="H78" s="615"/>
      <c r="I78" s="615"/>
      <c r="J78" s="1692"/>
      <c r="K78" s="1360"/>
      <c r="L78" s="719"/>
      <c r="M78" s="719"/>
      <c r="N78" s="719"/>
      <c r="O78" s="719"/>
      <c r="P78" s="615"/>
      <c r="Q78" s="615"/>
      <c r="R78" s="719"/>
      <c r="S78" s="615"/>
      <c r="T78" s="615"/>
      <c r="U78" s="615"/>
      <c r="V78" s="615"/>
      <c r="W78" s="615"/>
      <c r="X78" s="615"/>
      <c r="Y78" s="615"/>
      <c r="Z78" s="615"/>
      <c r="AA78" s="615"/>
      <c r="AB78" s="615"/>
      <c r="AC78" s="615"/>
      <c r="AD78" s="615"/>
      <c r="AE78" s="615"/>
      <c r="AF78" s="615"/>
      <c r="AG78" s="615"/>
      <c r="AH78" s="615"/>
      <c r="AI78" s="615"/>
      <c r="AJ78" s="615"/>
      <c r="AK78" s="615"/>
      <c r="AL78" s="615"/>
      <c r="AM78" s="615"/>
      <c r="AN78" s="615"/>
      <c r="AO78" s="615"/>
      <c r="AP78" s="615"/>
      <c r="AQ78" s="615"/>
      <c r="AR78" s="615"/>
      <c r="AS78" s="615"/>
      <c r="AT78" s="615"/>
      <c r="AU78" s="615"/>
      <c r="AV78" s="615"/>
      <c r="AW78" s="615"/>
      <c r="AX78" s="615"/>
      <c r="AY78" s="615"/>
      <c r="AZ78" s="615"/>
      <c r="BA78" s="615"/>
      <c r="BB78" s="615"/>
      <c r="BC78" s="615"/>
      <c r="BD78" s="615"/>
      <c r="BE78" s="615"/>
      <c r="BF78" s="615"/>
      <c r="BG78" s="615"/>
      <c r="BH78" s="615"/>
      <c r="BI78" s="615"/>
      <c r="BJ78" s="615"/>
      <c r="BK78" s="615"/>
      <c r="BL78" s="615"/>
      <c r="BM78" s="615"/>
      <c r="BN78" s="615"/>
      <c r="BO78" s="615"/>
      <c r="BP78" s="615"/>
      <c r="BQ78" s="615"/>
      <c r="BR78" s="615"/>
      <c r="BS78" s="615"/>
      <c r="BT78" s="615"/>
      <c r="BU78" s="615"/>
      <c r="BV78" s="615"/>
      <c r="BW78" s="615"/>
      <c r="BX78" s="615"/>
      <c r="BY78" s="615"/>
      <c r="BZ78" s="615"/>
      <c r="CA78" s="615"/>
      <c r="CB78" s="615"/>
      <c r="CC78" s="615"/>
      <c r="CD78" s="615"/>
      <c r="CE78" s="615"/>
      <c r="CF78" s="615"/>
      <c r="CG78" s="615"/>
      <c r="CH78" s="615"/>
      <c r="CI78" s="615"/>
      <c r="CJ78" s="615"/>
      <c r="CK78" s="615"/>
      <c r="CL78" s="615"/>
      <c r="CM78" s="615"/>
      <c r="CN78" s="615"/>
      <c r="CO78" s="615"/>
    </row>
    <row r="79" spans="1:93">
      <c r="A79" s="1590"/>
      <c r="B79" s="670"/>
      <c r="C79" s="670"/>
      <c r="D79" s="655"/>
      <c r="E79" s="670"/>
      <c r="F79" s="655"/>
      <c r="G79" s="670"/>
      <c r="H79" s="670"/>
      <c r="I79" s="670"/>
      <c r="J79" s="1439"/>
      <c r="K79" s="1355"/>
      <c r="L79" s="655"/>
      <c r="M79" s="655"/>
      <c r="N79" s="655"/>
      <c r="O79" s="655"/>
      <c r="P79" s="670"/>
      <c r="Q79" s="670"/>
      <c r="R79" s="655"/>
      <c r="S79" s="670"/>
      <c r="T79" s="670"/>
      <c r="U79" s="670"/>
      <c r="V79" s="670"/>
      <c r="W79" s="670"/>
      <c r="X79" s="670"/>
      <c r="Y79" s="670"/>
      <c r="Z79" s="670"/>
      <c r="AA79" s="670"/>
      <c r="AB79" s="670"/>
      <c r="AC79" s="670"/>
      <c r="AD79" s="670"/>
      <c r="AE79" s="670"/>
      <c r="AF79" s="670"/>
      <c r="AG79" s="670"/>
      <c r="AH79" s="670"/>
      <c r="AI79" s="670"/>
      <c r="AJ79" s="670"/>
      <c r="AK79" s="670"/>
      <c r="AL79" s="670"/>
      <c r="AM79" s="670"/>
      <c r="AN79" s="670"/>
      <c r="AO79" s="670"/>
      <c r="AP79" s="670"/>
      <c r="AQ79" s="670"/>
      <c r="AR79" s="670"/>
      <c r="AS79" s="670"/>
      <c r="AT79" s="670"/>
      <c r="AU79" s="670"/>
      <c r="AV79" s="670"/>
      <c r="AW79" s="670"/>
      <c r="AX79" s="670"/>
      <c r="AY79" s="670"/>
      <c r="AZ79" s="670"/>
      <c r="BA79" s="670"/>
      <c r="BB79" s="670"/>
      <c r="BC79" s="670"/>
      <c r="BD79" s="670"/>
      <c r="BE79" s="670"/>
      <c r="BF79" s="670"/>
      <c r="BG79" s="670"/>
      <c r="BH79" s="670"/>
      <c r="BI79" s="670"/>
      <c r="BJ79" s="670"/>
      <c r="BK79" s="670"/>
      <c r="BL79" s="670"/>
      <c r="BM79" s="670"/>
      <c r="BN79" s="670"/>
      <c r="BO79" s="670"/>
      <c r="BP79" s="670"/>
      <c r="BQ79" s="670"/>
      <c r="BR79" s="670"/>
      <c r="BS79" s="670"/>
      <c r="BT79" s="670"/>
      <c r="BU79" s="670"/>
      <c r="BV79" s="670"/>
      <c r="BW79" s="670"/>
      <c r="BX79" s="670"/>
      <c r="BY79" s="670"/>
      <c r="BZ79" s="670"/>
      <c r="CA79" s="670"/>
      <c r="CB79" s="670"/>
      <c r="CC79" s="670"/>
      <c r="CD79" s="670"/>
      <c r="CE79" s="670"/>
      <c r="CF79" s="670"/>
      <c r="CG79" s="670"/>
      <c r="CH79" s="670"/>
      <c r="CI79" s="670"/>
      <c r="CJ79" s="670"/>
      <c r="CK79" s="670"/>
      <c r="CL79" s="670"/>
      <c r="CM79" s="670"/>
      <c r="CN79" s="670"/>
      <c r="CO79" s="670"/>
    </row>
    <row r="80" spans="1:93" ht="14.25" customHeight="1">
      <c r="A80" s="1590"/>
      <c r="B80" s="1851" t="s">
        <v>2277</v>
      </c>
      <c r="C80" s="1851"/>
      <c r="D80" s="1851"/>
      <c r="E80" s="1851"/>
      <c r="F80" s="713"/>
      <c r="G80" s="670"/>
      <c r="H80" s="670"/>
      <c r="I80" s="670"/>
      <c r="J80" s="1439"/>
      <c r="K80" s="1355"/>
      <c r="L80" s="655"/>
      <c r="M80" s="655"/>
      <c r="N80" s="655"/>
      <c r="O80" s="655"/>
      <c r="P80" s="670"/>
      <c r="Q80" s="670"/>
      <c r="R80" s="655"/>
      <c r="S80" s="670"/>
      <c r="T80" s="670"/>
      <c r="U80" s="670"/>
      <c r="V80" s="670"/>
      <c r="W80" s="670"/>
      <c r="X80" s="670"/>
      <c r="Y80" s="670"/>
      <c r="Z80" s="670"/>
      <c r="AA80" s="670"/>
      <c r="AB80" s="670"/>
      <c r="AC80" s="670"/>
      <c r="AD80" s="670"/>
      <c r="AE80" s="670"/>
      <c r="AF80" s="670"/>
      <c r="AG80" s="670"/>
      <c r="AH80" s="670"/>
      <c r="AI80" s="670"/>
      <c r="AJ80" s="670"/>
      <c r="AK80" s="670"/>
      <c r="AL80" s="670"/>
      <c r="AM80" s="670"/>
      <c r="AN80" s="670"/>
      <c r="AO80" s="670"/>
      <c r="AP80" s="670"/>
      <c r="AQ80" s="670"/>
      <c r="AR80" s="670"/>
      <c r="AS80" s="670"/>
      <c r="AT80" s="670"/>
      <c r="AU80" s="670"/>
      <c r="AV80" s="670"/>
      <c r="AW80" s="670"/>
      <c r="AX80" s="670"/>
      <c r="AY80" s="670"/>
      <c r="AZ80" s="670"/>
      <c r="BA80" s="670"/>
      <c r="BB80" s="670"/>
      <c r="BC80" s="670"/>
      <c r="BD80" s="670"/>
      <c r="BE80" s="670"/>
      <c r="BF80" s="670"/>
      <c r="BG80" s="670"/>
      <c r="BH80" s="670"/>
      <c r="BI80" s="670"/>
      <c r="BJ80" s="670"/>
      <c r="BK80" s="670"/>
      <c r="BL80" s="670"/>
      <c r="BM80" s="670"/>
      <c r="BN80" s="670"/>
      <c r="BO80" s="670"/>
      <c r="BP80" s="670"/>
      <c r="BQ80" s="670"/>
      <c r="BR80" s="670"/>
      <c r="BS80" s="670"/>
      <c r="BT80" s="670"/>
      <c r="BU80" s="670"/>
      <c r="BV80" s="670"/>
      <c r="BW80" s="670"/>
      <c r="BX80" s="670"/>
      <c r="BY80" s="670"/>
      <c r="BZ80" s="670"/>
      <c r="CA80" s="670"/>
      <c r="CB80" s="670"/>
      <c r="CC80" s="670"/>
      <c r="CD80" s="670"/>
      <c r="CE80" s="670"/>
      <c r="CF80" s="670"/>
      <c r="CG80" s="670"/>
      <c r="CH80" s="670"/>
      <c r="CI80" s="670"/>
      <c r="CJ80" s="670"/>
      <c r="CK80" s="670"/>
      <c r="CL80" s="670"/>
      <c r="CM80" s="670"/>
      <c r="CN80" s="670"/>
      <c r="CO80" s="670"/>
    </row>
    <row r="81" spans="1:93">
      <c r="A81" s="1590"/>
      <c r="B81" s="708" t="s">
        <v>2274</v>
      </c>
      <c r="C81" s="708"/>
      <c r="D81" s="713"/>
      <c r="E81" s="708"/>
      <c r="F81" s="713"/>
      <c r="G81" s="655"/>
      <c r="H81" s="655"/>
      <c r="I81" s="655"/>
      <c r="J81" s="1542"/>
      <c r="K81" s="1355"/>
      <c r="L81" s="655"/>
      <c r="M81" s="655"/>
      <c r="N81" s="655"/>
      <c r="O81" s="655"/>
      <c r="P81" s="670"/>
      <c r="Q81" s="670"/>
      <c r="R81" s="655"/>
      <c r="S81" s="670"/>
      <c r="T81" s="670"/>
      <c r="U81" s="670"/>
      <c r="V81" s="670"/>
      <c r="W81" s="670"/>
      <c r="X81" s="670"/>
      <c r="Y81" s="670"/>
      <c r="Z81" s="670"/>
      <c r="AA81" s="670"/>
      <c r="AB81" s="670"/>
      <c r="AC81" s="670"/>
      <c r="AD81" s="670"/>
      <c r="AE81" s="670"/>
      <c r="AF81" s="670"/>
      <c r="AG81" s="670"/>
      <c r="AH81" s="670"/>
      <c r="AI81" s="670"/>
      <c r="AJ81" s="670"/>
      <c r="AK81" s="670"/>
      <c r="AL81" s="670"/>
      <c r="AM81" s="670"/>
      <c r="AN81" s="670"/>
      <c r="AO81" s="670"/>
      <c r="AP81" s="670"/>
      <c r="AQ81" s="670"/>
      <c r="AR81" s="670"/>
      <c r="AS81" s="670"/>
      <c r="AT81" s="670"/>
      <c r="AU81" s="670"/>
      <c r="AV81" s="670"/>
      <c r="AW81" s="670"/>
      <c r="AX81" s="670"/>
      <c r="AY81" s="670"/>
      <c r="AZ81" s="670"/>
      <c r="BA81" s="670"/>
      <c r="BB81" s="670"/>
      <c r="BC81" s="670"/>
      <c r="BD81" s="670"/>
      <c r="BE81" s="670"/>
      <c r="BF81" s="670"/>
      <c r="BG81" s="670"/>
      <c r="BH81" s="670"/>
      <c r="BI81" s="670"/>
      <c r="BJ81" s="670"/>
      <c r="BK81" s="670"/>
      <c r="BL81" s="670"/>
      <c r="BM81" s="670"/>
      <c r="BN81" s="670"/>
      <c r="BO81" s="670"/>
      <c r="BP81" s="670"/>
      <c r="BQ81" s="670"/>
      <c r="BR81" s="670"/>
      <c r="BS81" s="670"/>
      <c r="BT81" s="670"/>
      <c r="BU81" s="670"/>
      <c r="BV81" s="670"/>
      <c r="BW81" s="670"/>
      <c r="BX81" s="670"/>
      <c r="BY81" s="670"/>
      <c r="BZ81" s="670"/>
      <c r="CA81" s="670"/>
      <c r="CB81" s="670"/>
      <c r="CC81" s="670"/>
      <c r="CD81" s="670"/>
      <c r="CE81" s="670"/>
      <c r="CF81" s="670"/>
      <c r="CG81" s="670"/>
      <c r="CH81" s="670"/>
      <c r="CI81" s="670"/>
      <c r="CJ81" s="670"/>
      <c r="CK81" s="670"/>
      <c r="CL81" s="670"/>
      <c r="CM81" s="670"/>
      <c r="CN81" s="670"/>
      <c r="CO81" s="670"/>
    </row>
    <row r="82" spans="1:93">
      <c r="A82" s="1590"/>
      <c r="B82" s="708" t="s">
        <v>2271</v>
      </c>
      <c r="C82" s="708"/>
      <c r="D82" s="715">
        <f>-'TRAIL BALANCE'!S344</f>
        <v>735000</v>
      </c>
      <c r="E82" s="708"/>
      <c r="F82" s="715">
        <f>-SUM('TRAIL BALANCE'!G345)</f>
        <v>735000</v>
      </c>
      <c r="G82" s="655"/>
      <c r="H82" s="655"/>
      <c r="I82" s="655"/>
      <c r="J82" s="1688">
        <f>-SUM('TRAIL BALANCE'!E345)</f>
        <v>734000</v>
      </c>
      <c r="K82" s="1355"/>
      <c r="L82" s="655"/>
      <c r="M82" s="655"/>
      <c r="N82" s="655"/>
      <c r="O82" s="655"/>
      <c r="P82" s="670"/>
      <c r="Q82" s="670"/>
      <c r="R82" s="655"/>
      <c r="S82" s="670"/>
      <c r="T82" s="670"/>
      <c r="U82" s="670"/>
      <c r="V82" s="670"/>
      <c r="W82" s="670"/>
      <c r="X82" s="670"/>
      <c r="Y82" s="670"/>
      <c r="Z82" s="670"/>
      <c r="AA82" s="670"/>
      <c r="AB82" s="670"/>
      <c r="AC82" s="670"/>
      <c r="AD82" s="670"/>
      <c r="AE82" s="670"/>
      <c r="AF82" s="670"/>
      <c r="AG82" s="670"/>
      <c r="AH82" s="670"/>
      <c r="AI82" s="670"/>
      <c r="AJ82" s="670"/>
      <c r="AK82" s="670"/>
      <c r="AL82" s="670"/>
      <c r="AM82" s="670"/>
      <c r="AN82" s="670"/>
      <c r="AO82" s="670"/>
      <c r="AP82" s="670"/>
      <c r="AQ82" s="670"/>
      <c r="AR82" s="670"/>
      <c r="AS82" s="670"/>
      <c r="AT82" s="670"/>
      <c r="AU82" s="670"/>
      <c r="AV82" s="670"/>
      <c r="AW82" s="670"/>
      <c r="AX82" s="670"/>
      <c r="AY82" s="670"/>
      <c r="AZ82" s="670"/>
      <c r="BA82" s="670"/>
      <c r="BB82" s="670"/>
      <c r="BC82" s="670"/>
      <c r="BD82" s="670"/>
      <c r="BE82" s="670"/>
      <c r="BF82" s="670"/>
      <c r="BG82" s="670"/>
      <c r="BH82" s="670"/>
      <c r="BI82" s="670"/>
      <c r="BJ82" s="670"/>
      <c r="BK82" s="670"/>
      <c r="BL82" s="670"/>
      <c r="BM82" s="670"/>
      <c r="BN82" s="670"/>
      <c r="BO82" s="670"/>
      <c r="BP82" s="670"/>
      <c r="BQ82" s="670"/>
      <c r="BR82" s="670"/>
      <c r="BS82" s="670"/>
      <c r="BT82" s="670"/>
      <c r="BU82" s="670"/>
      <c r="BV82" s="670"/>
      <c r="BW82" s="670"/>
      <c r="BX82" s="670"/>
      <c r="BY82" s="670"/>
      <c r="BZ82" s="670"/>
      <c r="CA82" s="670"/>
      <c r="CB82" s="670"/>
      <c r="CC82" s="670"/>
      <c r="CD82" s="670"/>
      <c r="CE82" s="670"/>
      <c r="CF82" s="670"/>
      <c r="CG82" s="670"/>
      <c r="CH82" s="670"/>
      <c r="CI82" s="670"/>
      <c r="CJ82" s="670"/>
      <c r="CK82" s="670"/>
      <c r="CL82" s="670"/>
      <c r="CM82" s="670"/>
      <c r="CN82" s="670"/>
      <c r="CO82" s="670"/>
    </row>
    <row r="83" spans="1:93">
      <c r="A83" s="1590"/>
      <c r="B83" s="708" t="s">
        <v>2272</v>
      </c>
      <c r="C83" s="708"/>
      <c r="D83" s="717">
        <v>-735000</v>
      </c>
      <c r="E83" s="708"/>
      <c r="F83" s="717">
        <f>SUM('TRAIL BALANCE'!G345)</f>
        <v>-735000</v>
      </c>
      <c r="G83" s="655"/>
      <c r="H83" s="655"/>
      <c r="I83" s="655"/>
      <c r="J83" s="1690">
        <f>SUM('TRAIL BALANCE'!E345)</f>
        <v>-734000</v>
      </c>
      <c r="K83" s="1355"/>
      <c r="L83" s="685" t="s">
        <v>45</v>
      </c>
      <c r="M83" s="655"/>
      <c r="N83" s="655"/>
      <c r="O83" s="655"/>
      <c r="P83" s="670"/>
      <c r="Q83" s="670"/>
      <c r="R83" s="655"/>
      <c r="S83" s="670"/>
      <c r="T83" s="670"/>
      <c r="U83" s="670"/>
      <c r="V83" s="670"/>
      <c r="W83" s="670"/>
      <c r="X83" s="670"/>
      <c r="Y83" s="670"/>
      <c r="Z83" s="670"/>
      <c r="AA83" s="670"/>
      <c r="AB83" s="670"/>
      <c r="AC83" s="670"/>
      <c r="AD83" s="670"/>
      <c r="AE83" s="670"/>
      <c r="AF83" s="670"/>
      <c r="AG83" s="670"/>
      <c r="AH83" s="670"/>
      <c r="AI83" s="670"/>
      <c r="AJ83" s="670"/>
      <c r="AK83" s="670"/>
      <c r="AL83" s="670"/>
      <c r="AM83" s="670"/>
      <c r="AN83" s="670"/>
      <c r="AO83" s="670"/>
      <c r="AP83" s="670"/>
      <c r="AQ83" s="670"/>
      <c r="AR83" s="670"/>
      <c r="AS83" s="670"/>
      <c r="AT83" s="670"/>
      <c r="AU83" s="670"/>
      <c r="AV83" s="670"/>
      <c r="AW83" s="670"/>
      <c r="AX83" s="670"/>
      <c r="AY83" s="670"/>
      <c r="AZ83" s="670"/>
      <c r="BA83" s="670"/>
      <c r="BB83" s="670"/>
      <c r="BC83" s="670"/>
      <c r="BD83" s="670"/>
      <c r="BE83" s="670"/>
      <c r="BF83" s="670"/>
      <c r="BG83" s="670"/>
      <c r="BH83" s="670"/>
      <c r="BI83" s="670"/>
      <c r="BJ83" s="670"/>
      <c r="BK83" s="670"/>
      <c r="BL83" s="670"/>
      <c r="BM83" s="670"/>
      <c r="BN83" s="670"/>
      <c r="BO83" s="670"/>
      <c r="BP83" s="670"/>
      <c r="BQ83" s="670"/>
      <c r="BR83" s="670"/>
      <c r="BS83" s="670"/>
      <c r="BT83" s="670"/>
      <c r="BU83" s="670"/>
      <c r="BV83" s="670"/>
      <c r="BW83" s="670"/>
      <c r="BX83" s="670"/>
      <c r="BY83" s="670"/>
      <c r="BZ83" s="670"/>
      <c r="CA83" s="670"/>
      <c r="CB83" s="670"/>
      <c r="CC83" s="670"/>
      <c r="CD83" s="670"/>
      <c r="CE83" s="670"/>
      <c r="CF83" s="670"/>
      <c r="CG83" s="670"/>
      <c r="CH83" s="670"/>
      <c r="CI83" s="670"/>
      <c r="CJ83" s="670"/>
      <c r="CK83" s="670"/>
      <c r="CL83" s="670"/>
      <c r="CM83" s="670"/>
      <c r="CN83" s="670"/>
      <c r="CO83" s="670"/>
    </row>
    <row r="84" spans="1:93" s="707" customFormat="1" ht="13.5" thickBot="1">
      <c r="A84" s="1590"/>
      <c r="B84" s="709" t="s">
        <v>2275</v>
      </c>
      <c r="C84" s="709"/>
      <c r="D84" s="721">
        <f>SUM(D81:D83)</f>
        <v>0</v>
      </c>
      <c r="E84" s="709"/>
      <c r="F84" s="721">
        <f>SUM(F81:F83)</f>
        <v>0</v>
      </c>
      <c r="G84" s="683"/>
      <c r="H84" s="683"/>
      <c r="I84" s="683"/>
      <c r="J84" s="1694">
        <f>SUM(J81:J83)</f>
        <v>0</v>
      </c>
      <c r="K84" s="1356"/>
      <c r="L84" s="683"/>
      <c r="M84" s="683"/>
      <c r="N84" s="683"/>
      <c r="O84" s="683"/>
      <c r="P84" s="682"/>
      <c r="Q84" s="682"/>
      <c r="R84" s="683"/>
      <c r="S84" s="682"/>
      <c r="T84" s="682"/>
      <c r="U84" s="682"/>
      <c r="V84" s="682"/>
      <c r="W84" s="682"/>
      <c r="X84" s="682"/>
      <c r="Y84" s="682"/>
      <c r="Z84" s="682"/>
      <c r="AA84" s="682"/>
      <c r="AB84" s="682"/>
      <c r="AC84" s="682"/>
      <c r="AD84" s="682"/>
      <c r="AE84" s="682"/>
      <c r="AF84" s="682"/>
      <c r="AG84" s="682"/>
      <c r="AH84" s="682"/>
      <c r="AI84" s="682"/>
      <c r="AJ84" s="682"/>
      <c r="AK84" s="682"/>
      <c r="AL84" s="682"/>
      <c r="AM84" s="682"/>
      <c r="AN84" s="682"/>
      <c r="AO84" s="682"/>
      <c r="AP84" s="682"/>
      <c r="AQ84" s="682"/>
      <c r="AR84" s="682"/>
      <c r="AS84" s="682"/>
      <c r="AT84" s="682"/>
      <c r="AU84" s="682"/>
      <c r="AV84" s="682"/>
      <c r="AW84" s="682"/>
      <c r="AX84" s="682"/>
      <c r="AY84" s="682"/>
      <c r="AZ84" s="682"/>
      <c r="BA84" s="682"/>
      <c r="BB84" s="682"/>
      <c r="BC84" s="682"/>
      <c r="BD84" s="682"/>
      <c r="BE84" s="682"/>
      <c r="BF84" s="682"/>
      <c r="BG84" s="682"/>
      <c r="BH84" s="682"/>
      <c r="BI84" s="682"/>
      <c r="BJ84" s="682"/>
      <c r="BK84" s="682"/>
      <c r="BL84" s="682"/>
      <c r="BM84" s="682"/>
      <c r="BN84" s="682"/>
      <c r="BO84" s="682"/>
      <c r="BP84" s="682"/>
      <c r="BQ84" s="682"/>
      <c r="BR84" s="682"/>
      <c r="BS84" s="682"/>
      <c r="BT84" s="682"/>
      <c r="BU84" s="682"/>
      <c r="BV84" s="682"/>
      <c r="BW84" s="682"/>
      <c r="BX84" s="682"/>
      <c r="BY84" s="682"/>
      <c r="BZ84" s="682"/>
      <c r="CA84" s="682"/>
      <c r="CB84" s="682"/>
      <c r="CC84" s="682"/>
      <c r="CD84" s="682"/>
      <c r="CE84" s="682"/>
      <c r="CF84" s="682"/>
      <c r="CG84" s="682"/>
      <c r="CH84" s="682"/>
      <c r="CI84" s="682"/>
      <c r="CJ84" s="682"/>
      <c r="CK84" s="682"/>
      <c r="CL84" s="682"/>
      <c r="CM84" s="682"/>
      <c r="CN84" s="682"/>
      <c r="CO84" s="682"/>
    </row>
    <row r="85" spans="1:93" ht="13.5" thickTop="1">
      <c r="A85" s="1590"/>
      <c r="B85" s="708" t="s">
        <v>3959</v>
      </c>
      <c r="C85" s="708"/>
      <c r="D85" s="713"/>
      <c r="E85" s="708"/>
      <c r="F85" s="713"/>
      <c r="G85" s="670"/>
      <c r="H85" s="670"/>
      <c r="I85" s="670"/>
      <c r="J85" s="1439"/>
      <c r="K85" s="1355"/>
      <c r="L85" s="655"/>
      <c r="M85" s="655"/>
      <c r="N85" s="655"/>
      <c r="O85" s="655"/>
      <c r="P85" s="670"/>
      <c r="Q85" s="670"/>
      <c r="R85" s="655"/>
      <c r="S85" s="670"/>
      <c r="T85" s="670"/>
      <c r="U85" s="670"/>
      <c r="V85" s="670"/>
      <c r="W85" s="670"/>
      <c r="X85" s="670"/>
      <c r="Y85" s="670"/>
      <c r="Z85" s="670"/>
      <c r="AA85" s="670"/>
      <c r="AB85" s="670"/>
      <c r="AC85" s="670"/>
      <c r="AD85" s="670"/>
      <c r="AE85" s="670"/>
      <c r="AF85" s="670"/>
      <c r="AG85" s="670"/>
      <c r="AH85" s="670"/>
      <c r="AI85" s="670"/>
      <c r="AJ85" s="670"/>
      <c r="AK85" s="670"/>
      <c r="AL85" s="670"/>
      <c r="AM85" s="670"/>
      <c r="AN85" s="670"/>
      <c r="AO85" s="670"/>
      <c r="AP85" s="670"/>
      <c r="AQ85" s="670"/>
      <c r="AR85" s="670"/>
      <c r="AS85" s="670"/>
      <c r="AT85" s="670"/>
      <c r="AU85" s="670"/>
      <c r="AV85" s="670"/>
      <c r="AW85" s="670"/>
      <c r="AX85" s="670"/>
      <c r="AY85" s="670"/>
      <c r="AZ85" s="670"/>
      <c r="BA85" s="670"/>
      <c r="BB85" s="670"/>
      <c r="BC85" s="670"/>
      <c r="BD85" s="670"/>
      <c r="BE85" s="670"/>
      <c r="BF85" s="670"/>
      <c r="BG85" s="670"/>
      <c r="BH85" s="670"/>
      <c r="BI85" s="670"/>
      <c r="BJ85" s="670"/>
      <c r="BK85" s="670"/>
      <c r="BL85" s="670"/>
      <c r="BM85" s="670"/>
      <c r="BN85" s="670"/>
      <c r="BO85" s="670"/>
      <c r="BP85" s="670"/>
      <c r="BQ85" s="670"/>
      <c r="BR85" s="670"/>
      <c r="BS85" s="670"/>
      <c r="BT85" s="670"/>
      <c r="BU85" s="670"/>
      <c r="BV85" s="670"/>
      <c r="BW85" s="670"/>
      <c r="BX85" s="670"/>
      <c r="BY85" s="670"/>
      <c r="BZ85" s="670"/>
      <c r="CA85" s="670"/>
      <c r="CB85" s="670"/>
      <c r="CC85" s="670"/>
      <c r="CD85" s="670"/>
      <c r="CE85" s="670"/>
      <c r="CF85" s="670"/>
      <c r="CG85" s="670"/>
      <c r="CH85" s="670"/>
      <c r="CI85" s="670"/>
      <c r="CJ85" s="670"/>
      <c r="CK85" s="670"/>
      <c r="CL85" s="670"/>
      <c r="CM85" s="670"/>
      <c r="CN85" s="670"/>
      <c r="CO85" s="670"/>
    </row>
    <row r="86" spans="1:93" s="720" customFormat="1" ht="51">
      <c r="A86" s="1691"/>
      <c r="B86" s="615" t="s">
        <v>2278</v>
      </c>
      <c r="C86" s="615"/>
      <c r="D86" s="719"/>
      <c r="E86" s="615"/>
      <c r="F86" s="615"/>
      <c r="G86" s="615"/>
      <c r="H86" s="615"/>
      <c r="I86" s="615"/>
      <c r="J86" s="1692"/>
      <c r="K86" s="1360"/>
      <c r="L86" s="719"/>
      <c r="M86" s="719" t="s">
        <v>45</v>
      </c>
      <c r="N86" s="719"/>
      <c r="O86" s="719"/>
      <c r="P86" s="615"/>
      <c r="Q86" s="615"/>
      <c r="R86" s="719"/>
      <c r="S86" s="615"/>
      <c r="T86" s="615"/>
      <c r="U86" s="615"/>
      <c r="V86" s="615"/>
      <c r="W86" s="615"/>
      <c r="X86" s="615"/>
      <c r="Y86" s="615"/>
      <c r="Z86" s="615"/>
      <c r="AA86" s="615"/>
      <c r="AB86" s="615"/>
      <c r="AC86" s="615"/>
      <c r="AD86" s="615"/>
      <c r="AE86" s="615"/>
      <c r="AF86" s="615"/>
      <c r="AG86" s="615"/>
      <c r="AH86" s="615"/>
      <c r="AI86" s="615"/>
      <c r="AJ86" s="615"/>
      <c r="AK86" s="615"/>
      <c r="AL86" s="615"/>
      <c r="AM86" s="615"/>
      <c r="AN86" s="615"/>
      <c r="AO86" s="615"/>
      <c r="AP86" s="615"/>
      <c r="AQ86" s="615"/>
      <c r="AR86" s="615"/>
      <c r="AS86" s="615"/>
      <c r="AT86" s="615"/>
      <c r="AU86" s="615"/>
      <c r="AV86" s="615"/>
      <c r="AW86" s="615"/>
      <c r="AX86" s="615"/>
      <c r="AY86" s="615"/>
      <c r="AZ86" s="615"/>
      <c r="BA86" s="615"/>
      <c r="BB86" s="615"/>
      <c r="BC86" s="615"/>
      <c r="BD86" s="615"/>
      <c r="BE86" s="615"/>
      <c r="BF86" s="615"/>
      <c r="BG86" s="615"/>
      <c r="BH86" s="615"/>
      <c r="BI86" s="615"/>
      <c r="BJ86" s="615"/>
      <c r="BK86" s="615"/>
      <c r="BL86" s="615"/>
      <c r="BM86" s="615"/>
      <c r="BN86" s="615"/>
      <c r="BO86" s="615"/>
      <c r="BP86" s="615"/>
      <c r="BQ86" s="615"/>
      <c r="BR86" s="615"/>
      <c r="BS86" s="615"/>
      <c r="BT86" s="615"/>
      <c r="BU86" s="615"/>
      <c r="BV86" s="615"/>
      <c r="BW86" s="615"/>
      <c r="BX86" s="615"/>
      <c r="BY86" s="615"/>
      <c r="BZ86" s="615"/>
      <c r="CA86" s="615"/>
      <c r="CB86" s="615"/>
      <c r="CC86" s="615"/>
      <c r="CD86" s="615"/>
      <c r="CE86" s="615"/>
      <c r="CF86" s="615"/>
      <c r="CG86" s="615"/>
      <c r="CH86" s="615"/>
      <c r="CI86" s="615"/>
      <c r="CJ86" s="615"/>
      <c r="CK86" s="615"/>
      <c r="CL86" s="615"/>
      <c r="CM86" s="615"/>
      <c r="CN86" s="615"/>
      <c r="CO86" s="615"/>
    </row>
    <row r="87" spans="1:93">
      <c r="A87" s="1590"/>
      <c r="B87" s="670"/>
      <c r="C87" s="670"/>
      <c r="D87" s="655"/>
      <c r="E87" s="670"/>
      <c r="F87" s="655"/>
      <c r="G87" s="670"/>
      <c r="H87" s="670"/>
      <c r="I87" s="670"/>
      <c r="J87" s="1439"/>
      <c r="K87" s="1355"/>
      <c r="L87" s="655"/>
      <c r="M87" s="655"/>
      <c r="N87" s="655"/>
      <c r="O87" s="655"/>
      <c r="P87" s="670"/>
      <c r="Q87" s="670"/>
      <c r="R87" s="655"/>
      <c r="S87" s="670"/>
      <c r="T87" s="670"/>
      <c r="U87" s="670"/>
      <c r="V87" s="670"/>
      <c r="W87" s="670"/>
      <c r="X87" s="670"/>
      <c r="Y87" s="670"/>
      <c r="Z87" s="670"/>
      <c r="AA87" s="670"/>
      <c r="AB87" s="670"/>
      <c r="AC87" s="670"/>
      <c r="AD87" s="670"/>
      <c r="AE87" s="670"/>
      <c r="AF87" s="670"/>
      <c r="AG87" s="670"/>
      <c r="AH87" s="670"/>
      <c r="AI87" s="670"/>
      <c r="AJ87" s="670"/>
      <c r="AK87" s="670"/>
      <c r="AL87" s="670"/>
      <c r="AM87" s="670"/>
      <c r="AN87" s="670"/>
      <c r="AO87" s="670"/>
      <c r="AP87" s="670"/>
      <c r="AQ87" s="670"/>
      <c r="AR87" s="670"/>
      <c r="AS87" s="670"/>
      <c r="AT87" s="670"/>
      <c r="AU87" s="670"/>
      <c r="AV87" s="670"/>
      <c r="AW87" s="670"/>
      <c r="AX87" s="670"/>
      <c r="AY87" s="670"/>
      <c r="AZ87" s="670"/>
      <c r="BA87" s="670"/>
      <c r="BB87" s="670"/>
      <c r="BC87" s="670"/>
      <c r="BD87" s="670"/>
      <c r="BE87" s="670"/>
      <c r="BF87" s="670"/>
      <c r="BG87" s="670"/>
      <c r="BH87" s="670"/>
      <c r="BI87" s="670"/>
      <c r="BJ87" s="670"/>
      <c r="BK87" s="670"/>
      <c r="BL87" s="670"/>
      <c r="BM87" s="670"/>
      <c r="BN87" s="670"/>
      <c r="BO87" s="670"/>
      <c r="BP87" s="670"/>
      <c r="BQ87" s="670"/>
      <c r="BR87" s="670"/>
      <c r="BS87" s="670"/>
      <c r="BT87" s="670"/>
      <c r="BU87" s="670"/>
      <c r="BV87" s="670"/>
      <c r="BW87" s="670"/>
      <c r="BX87" s="670"/>
      <c r="BY87" s="670"/>
      <c r="BZ87" s="670"/>
      <c r="CA87" s="670"/>
      <c r="CB87" s="670"/>
      <c r="CC87" s="670"/>
      <c r="CD87" s="670"/>
      <c r="CE87" s="670"/>
      <c r="CF87" s="670"/>
      <c r="CG87" s="670"/>
      <c r="CH87" s="670"/>
      <c r="CI87" s="670"/>
      <c r="CJ87" s="670"/>
      <c r="CK87" s="670"/>
      <c r="CL87" s="670"/>
      <c r="CM87" s="670"/>
      <c r="CN87" s="670"/>
      <c r="CO87" s="670"/>
    </row>
    <row r="88" spans="1:93" ht="14.25" customHeight="1">
      <c r="A88" s="1684"/>
      <c r="B88" s="1852" t="s">
        <v>2006</v>
      </c>
      <c r="C88" s="1852"/>
      <c r="D88" s="1852"/>
      <c r="E88" s="1852"/>
      <c r="F88" s="676"/>
      <c r="G88" s="677"/>
      <c r="H88" s="677"/>
      <c r="I88" s="677"/>
      <c r="J88" s="1572"/>
      <c r="K88" s="1353"/>
      <c r="L88" s="655"/>
      <c r="M88" s="655"/>
      <c r="N88" s="655"/>
      <c r="O88" s="655"/>
      <c r="P88" s="670"/>
      <c r="Q88" s="670"/>
      <c r="R88" s="655"/>
      <c r="S88" s="670"/>
      <c r="T88" s="670"/>
      <c r="U88" s="670"/>
      <c r="V88" s="670"/>
      <c r="W88" s="670"/>
      <c r="X88" s="670"/>
      <c r="Y88" s="670"/>
      <c r="Z88" s="670"/>
      <c r="AA88" s="670"/>
      <c r="AB88" s="670"/>
      <c r="AC88" s="670"/>
      <c r="AD88" s="670"/>
      <c r="AE88" s="670"/>
      <c r="AF88" s="670"/>
      <c r="AG88" s="670"/>
      <c r="AH88" s="670"/>
      <c r="AI88" s="670"/>
      <c r="AJ88" s="670"/>
      <c r="AK88" s="670"/>
      <c r="AL88" s="670"/>
      <c r="AM88" s="670"/>
      <c r="AN88" s="670"/>
      <c r="AO88" s="670"/>
      <c r="AP88" s="670"/>
      <c r="AQ88" s="670"/>
      <c r="AR88" s="670"/>
      <c r="AS88" s="670"/>
      <c r="AT88" s="670"/>
      <c r="AU88" s="670"/>
      <c r="AV88" s="670"/>
      <c r="AW88" s="670"/>
      <c r="AX88" s="670"/>
      <c r="AY88" s="670"/>
      <c r="AZ88" s="670"/>
      <c r="BA88" s="670"/>
      <c r="BB88" s="670"/>
      <c r="BC88" s="670"/>
      <c r="BD88" s="670"/>
      <c r="BE88" s="670"/>
      <c r="BF88" s="670"/>
      <c r="BG88" s="670"/>
      <c r="BH88" s="670"/>
      <c r="BI88" s="670"/>
      <c r="BJ88" s="670"/>
      <c r="BK88" s="670"/>
      <c r="BL88" s="670"/>
      <c r="BM88" s="670"/>
      <c r="BN88" s="670"/>
      <c r="BO88" s="670"/>
      <c r="BP88" s="670"/>
      <c r="BQ88" s="670"/>
      <c r="BR88" s="670"/>
      <c r="BS88" s="670"/>
      <c r="BT88" s="670"/>
      <c r="BU88" s="670"/>
      <c r="BV88" s="670"/>
      <c r="BW88" s="670"/>
      <c r="BX88" s="670"/>
      <c r="BY88" s="670"/>
      <c r="BZ88" s="670"/>
      <c r="CA88" s="670"/>
      <c r="CB88" s="670"/>
      <c r="CC88" s="670"/>
      <c r="CD88" s="670"/>
      <c r="CE88" s="670"/>
      <c r="CF88" s="670"/>
      <c r="CG88" s="670"/>
      <c r="CH88" s="670"/>
      <c r="CI88" s="670"/>
      <c r="CJ88" s="670"/>
      <c r="CK88" s="670"/>
      <c r="CL88" s="670"/>
      <c r="CM88" s="670"/>
      <c r="CN88" s="670"/>
      <c r="CO88" s="670"/>
    </row>
    <row r="89" spans="1:93">
      <c r="A89" s="1590"/>
      <c r="B89" s="708" t="s">
        <v>2274</v>
      </c>
      <c r="C89" s="708"/>
      <c r="D89" s="655">
        <f>F92</f>
        <v>4036451.29</v>
      </c>
      <c r="E89" s="708"/>
      <c r="F89" s="655">
        <f>J92</f>
        <v>2112320.17</v>
      </c>
      <c r="G89" s="670"/>
      <c r="H89" s="670"/>
      <c r="I89" s="670"/>
      <c r="J89" s="1439">
        <v>303596</v>
      </c>
      <c r="K89" s="1355"/>
      <c r="L89" s="655"/>
      <c r="M89" s="655"/>
      <c r="N89" s="655"/>
      <c r="O89" s="655"/>
      <c r="P89" s="670"/>
      <c r="Q89" s="670"/>
      <c r="R89" s="655"/>
      <c r="S89" s="670"/>
      <c r="T89" s="670"/>
      <c r="U89" s="670"/>
      <c r="V89" s="670"/>
      <c r="W89" s="670"/>
      <c r="X89" s="670"/>
      <c r="Y89" s="670"/>
      <c r="Z89" s="670"/>
      <c r="AA89" s="670"/>
      <c r="AB89" s="670"/>
      <c r="AC89" s="670"/>
      <c r="AD89" s="670"/>
      <c r="AE89" s="670"/>
      <c r="AF89" s="670"/>
      <c r="AG89" s="670"/>
      <c r="AH89" s="670"/>
      <c r="AI89" s="670"/>
      <c r="AJ89" s="670"/>
      <c r="AK89" s="670"/>
      <c r="AL89" s="670"/>
      <c r="AM89" s="670"/>
      <c r="AN89" s="670"/>
      <c r="AO89" s="670"/>
      <c r="AP89" s="670"/>
      <c r="AQ89" s="670"/>
      <c r="AR89" s="670"/>
      <c r="AS89" s="670"/>
      <c r="AT89" s="670"/>
      <c r="AU89" s="670"/>
      <c r="AV89" s="670"/>
      <c r="AW89" s="670"/>
      <c r="AX89" s="670"/>
      <c r="AY89" s="670"/>
      <c r="AZ89" s="670"/>
      <c r="BA89" s="670"/>
      <c r="BB89" s="670"/>
      <c r="BC89" s="670"/>
      <c r="BD89" s="670"/>
      <c r="BE89" s="670"/>
      <c r="BF89" s="670"/>
      <c r="BG89" s="670"/>
      <c r="BH89" s="670"/>
      <c r="BI89" s="670"/>
      <c r="BJ89" s="670"/>
      <c r="BK89" s="670"/>
      <c r="BL89" s="670"/>
      <c r="BM89" s="670"/>
      <c r="BN89" s="670"/>
      <c r="BO89" s="670"/>
      <c r="BP89" s="670"/>
      <c r="BQ89" s="670"/>
      <c r="BR89" s="670"/>
      <c r="BS89" s="670"/>
      <c r="BT89" s="670"/>
      <c r="BU89" s="670"/>
      <c r="BV89" s="670"/>
      <c r="BW89" s="670"/>
      <c r="BX89" s="670"/>
      <c r="BY89" s="670"/>
      <c r="BZ89" s="670"/>
      <c r="CA89" s="670"/>
      <c r="CB89" s="670"/>
      <c r="CC89" s="670"/>
      <c r="CD89" s="670"/>
      <c r="CE89" s="670"/>
      <c r="CF89" s="670"/>
      <c r="CG89" s="670"/>
      <c r="CH89" s="670"/>
      <c r="CI89" s="670"/>
      <c r="CJ89" s="670"/>
      <c r="CK89" s="670"/>
      <c r="CL89" s="670"/>
      <c r="CM89" s="670"/>
      <c r="CN89" s="670"/>
      <c r="CO89" s="670"/>
    </row>
    <row r="90" spans="1:93">
      <c r="A90" s="1590"/>
      <c r="B90" s="708" t="s">
        <v>2271</v>
      </c>
      <c r="C90" s="708"/>
      <c r="D90" s="713">
        <v>11402000</v>
      </c>
      <c r="E90" s="708"/>
      <c r="F90" s="655">
        <f>4891000+1500000</f>
        <v>6391000</v>
      </c>
      <c r="G90" s="670"/>
      <c r="H90" s="670"/>
      <c r="I90" s="670"/>
      <c r="J90" s="1439">
        <f>3161290.17+1000000-5680-303596</f>
        <v>3852014.17</v>
      </c>
      <c r="K90" s="1355"/>
      <c r="L90" s="695" t="s">
        <v>45</v>
      </c>
      <c r="M90" s="655"/>
      <c r="N90" s="655"/>
      <c r="O90" s="655"/>
      <c r="P90" s="670"/>
      <c r="Q90" s="670"/>
      <c r="R90" s="655"/>
      <c r="S90" s="670"/>
      <c r="T90" s="670"/>
      <c r="U90" s="670"/>
      <c r="V90" s="670"/>
      <c r="W90" s="670"/>
      <c r="X90" s="670"/>
      <c r="Y90" s="670"/>
      <c r="Z90" s="670"/>
      <c r="AA90" s="670"/>
      <c r="AB90" s="670"/>
      <c r="AC90" s="670"/>
      <c r="AD90" s="670"/>
      <c r="AE90" s="670"/>
      <c r="AF90" s="670"/>
      <c r="AG90" s="670"/>
      <c r="AH90" s="670"/>
      <c r="AI90" s="670"/>
      <c r="AJ90" s="670"/>
      <c r="AK90" s="670"/>
      <c r="AL90" s="670"/>
      <c r="AM90" s="670"/>
      <c r="AN90" s="670"/>
      <c r="AO90" s="670"/>
      <c r="AP90" s="670"/>
      <c r="AQ90" s="670"/>
      <c r="AR90" s="670"/>
      <c r="AS90" s="670"/>
      <c r="AT90" s="670"/>
      <c r="AU90" s="670"/>
      <c r="AV90" s="670"/>
      <c r="AW90" s="670"/>
      <c r="AX90" s="670"/>
      <c r="AY90" s="670"/>
      <c r="AZ90" s="670"/>
      <c r="BA90" s="670"/>
      <c r="BB90" s="670"/>
      <c r="BC90" s="670"/>
      <c r="BD90" s="670"/>
      <c r="BE90" s="670"/>
      <c r="BF90" s="670"/>
      <c r="BG90" s="670"/>
      <c r="BH90" s="670"/>
      <c r="BI90" s="670"/>
      <c r="BJ90" s="670"/>
      <c r="BK90" s="670"/>
      <c r="BL90" s="670"/>
      <c r="BM90" s="670"/>
      <c r="BN90" s="670"/>
      <c r="BO90" s="670"/>
      <c r="BP90" s="670"/>
      <c r="BQ90" s="670"/>
      <c r="BR90" s="670"/>
      <c r="BS90" s="670"/>
      <c r="BT90" s="670"/>
      <c r="BU90" s="670"/>
      <c r="BV90" s="670"/>
      <c r="BW90" s="670"/>
      <c r="BX90" s="670"/>
      <c r="BY90" s="670"/>
      <c r="BZ90" s="670"/>
      <c r="CA90" s="670"/>
      <c r="CB90" s="670"/>
      <c r="CC90" s="670"/>
      <c r="CD90" s="670"/>
      <c r="CE90" s="670"/>
      <c r="CF90" s="670"/>
      <c r="CG90" s="670"/>
      <c r="CH90" s="670"/>
      <c r="CI90" s="670"/>
      <c r="CJ90" s="670"/>
      <c r="CK90" s="670"/>
      <c r="CL90" s="670"/>
      <c r="CM90" s="670"/>
      <c r="CN90" s="670"/>
      <c r="CO90" s="670"/>
    </row>
    <row r="91" spans="1:93">
      <c r="A91" s="1590"/>
      <c r="B91" s="708" t="s">
        <v>2272</v>
      </c>
      <c r="C91" s="708"/>
      <c r="D91" s="713">
        <f>-5905737.27-1441055.51-275558.37-280444.8</f>
        <v>-7902795.9499999993</v>
      </c>
      <c r="E91" s="708"/>
      <c r="F91" s="655">
        <v>-4466868.88</v>
      </c>
      <c r="G91" s="670"/>
      <c r="H91" s="670"/>
      <c r="I91" s="670"/>
      <c r="J91" s="1446">
        <v>-2043290</v>
      </c>
      <c r="K91" s="1355"/>
      <c r="L91" s="655"/>
      <c r="M91" s="655"/>
      <c r="N91" s="655"/>
      <c r="O91" s="655"/>
      <c r="P91" s="670"/>
      <c r="Q91" s="670"/>
      <c r="R91" s="655"/>
      <c r="S91" s="670"/>
      <c r="T91" s="670"/>
      <c r="U91" s="670"/>
      <c r="V91" s="670"/>
      <c r="W91" s="670"/>
      <c r="X91" s="670"/>
      <c r="Y91" s="670"/>
      <c r="Z91" s="670"/>
      <c r="AA91" s="670"/>
      <c r="AB91" s="670"/>
      <c r="AC91" s="670"/>
      <c r="AD91" s="670"/>
      <c r="AE91" s="670"/>
      <c r="AF91" s="670"/>
      <c r="AG91" s="670"/>
      <c r="AH91" s="670"/>
      <c r="AI91" s="670"/>
      <c r="AJ91" s="670"/>
      <c r="AK91" s="670"/>
      <c r="AL91" s="670"/>
      <c r="AM91" s="670"/>
      <c r="AN91" s="670"/>
      <c r="AO91" s="670"/>
      <c r="AP91" s="670"/>
      <c r="AQ91" s="670"/>
      <c r="AR91" s="670"/>
      <c r="AS91" s="670"/>
      <c r="AT91" s="670"/>
      <c r="AU91" s="670"/>
      <c r="AV91" s="670"/>
      <c r="AW91" s="670"/>
      <c r="AX91" s="670"/>
      <c r="AY91" s="670"/>
      <c r="AZ91" s="670"/>
      <c r="BA91" s="670"/>
      <c r="BB91" s="670"/>
      <c r="BC91" s="670"/>
      <c r="BD91" s="670"/>
      <c r="BE91" s="670"/>
      <c r="BF91" s="670"/>
      <c r="BG91" s="670"/>
      <c r="BH91" s="670"/>
      <c r="BI91" s="670"/>
      <c r="BJ91" s="670"/>
      <c r="BK91" s="670"/>
      <c r="BL91" s="670"/>
      <c r="BM91" s="670"/>
      <c r="BN91" s="670"/>
      <c r="BO91" s="670"/>
      <c r="BP91" s="670"/>
      <c r="BQ91" s="670"/>
      <c r="BR91" s="670"/>
      <c r="BS91" s="670"/>
      <c r="BT91" s="670"/>
      <c r="BU91" s="670"/>
      <c r="BV91" s="670"/>
      <c r="BW91" s="670"/>
      <c r="BX91" s="670"/>
      <c r="BY91" s="670"/>
      <c r="BZ91" s="670"/>
      <c r="CA91" s="670"/>
      <c r="CB91" s="670"/>
      <c r="CC91" s="670"/>
      <c r="CD91" s="670"/>
      <c r="CE91" s="670"/>
      <c r="CF91" s="670"/>
      <c r="CG91" s="670"/>
      <c r="CH91" s="670"/>
      <c r="CI91" s="670"/>
      <c r="CJ91" s="670"/>
      <c r="CK91" s="670"/>
      <c r="CL91" s="670"/>
      <c r="CM91" s="670"/>
      <c r="CN91" s="670"/>
      <c r="CO91" s="670"/>
    </row>
    <row r="92" spans="1:93" ht="13.5" thickBot="1">
      <c r="A92" s="1590"/>
      <c r="B92" s="709" t="s">
        <v>2275</v>
      </c>
      <c r="C92" s="709"/>
      <c r="D92" s="710">
        <f>SUM(D89:D91)</f>
        <v>7535655.3399999999</v>
      </c>
      <c r="E92" s="708"/>
      <c r="F92" s="710">
        <f>SUM(F89:F91)</f>
        <v>4036451.29</v>
      </c>
      <c r="G92" s="670"/>
      <c r="H92" s="670"/>
      <c r="I92" s="670"/>
      <c r="J92" s="1685">
        <f>SUM(J89:J91)</f>
        <v>2112320.17</v>
      </c>
      <c r="K92" s="1355"/>
      <c r="L92" s="655"/>
      <c r="M92" s="655"/>
      <c r="N92" s="655"/>
      <c r="O92" s="655"/>
      <c r="P92" s="670"/>
      <c r="Q92" s="670"/>
      <c r="R92" s="655"/>
      <c r="S92" s="670"/>
      <c r="T92" s="670"/>
      <c r="U92" s="670"/>
      <c r="V92" s="670"/>
      <c r="W92" s="670"/>
      <c r="X92" s="670"/>
      <c r="Y92" s="670"/>
      <c r="Z92" s="670"/>
      <c r="AA92" s="670"/>
      <c r="AB92" s="670"/>
      <c r="AC92" s="670"/>
      <c r="AD92" s="670"/>
      <c r="AE92" s="670"/>
      <c r="AF92" s="670"/>
      <c r="AG92" s="670"/>
      <c r="AH92" s="670"/>
      <c r="AI92" s="670"/>
      <c r="AJ92" s="670"/>
      <c r="AK92" s="670"/>
      <c r="AL92" s="670"/>
      <c r="AM92" s="670"/>
      <c r="AN92" s="670"/>
      <c r="AO92" s="670"/>
      <c r="AP92" s="670"/>
      <c r="AQ92" s="670"/>
      <c r="AR92" s="670"/>
      <c r="AS92" s="670"/>
      <c r="AT92" s="670"/>
      <c r="AU92" s="670"/>
      <c r="AV92" s="670"/>
      <c r="AW92" s="670"/>
      <c r="AX92" s="670"/>
      <c r="AY92" s="670"/>
      <c r="AZ92" s="670"/>
      <c r="BA92" s="670"/>
      <c r="BB92" s="670"/>
      <c r="BC92" s="670"/>
      <c r="BD92" s="670"/>
      <c r="BE92" s="670"/>
      <c r="BF92" s="670"/>
      <c r="BG92" s="670"/>
      <c r="BH92" s="670"/>
      <c r="BI92" s="670"/>
      <c r="BJ92" s="670"/>
      <c r="BK92" s="670"/>
      <c r="BL92" s="670"/>
      <c r="BM92" s="670"/>
      <c r="BN92" s="670"/>
      <c r="BO92" s="670"/>
      <c r="BP92" s="670"/>
      <c r="BQ92" s="670"/>
      <c r="BR92" s="670"/>
      <c r="BS92" s="670"/>
      <c r="BT92" s="670"/>
      <c r="BU92" s="670"/>
      <c r="BV92" s="670"/>
      <c r="BW92" s="670"/>
      <c r="BX92" s="670"/>
      <c r="BY92" s="670"/>
      <c r="BZ92" s="670"/>
      <c r="CA92" s="670"/>
      <c r="CB92" s="670"/>
      <c r="CC92" s="670"/>
      <c r="CD92" s="670"/>
      <c r="CE92" s="670"/>
      <c r="CF92" s="670"/>
      <c r="CG92" s="670"/>
      <c r="CH92" s="670"/>
      <c r="CI92" s="670"/>
      <c r="CJ92" s="670"/>
      <c r="CK92" s="670"/>
      <c r="CL92" s="670"/>
      <c r="CM92" s="670"/>
      <c r="CN92" s="670"/>
      <c r="CO92" s="670"/>
    </row>
    <row r="93" spans="1:93" ht="13.5" thickTop="1">
      <c r="A93" s="1590"/>
      <c r="B93" s="708" t="s">
        <v>3959</v>
      </c>
      <c r="C93" s="708"/>
      <c r="D93" s="713"/>
      <c r="E93" s="708"/>
      <c r="F93" s="655"/>
      <c r="G93" s="670"/>
      <c r="H93" s="670"/>
      <c r="I93" s="670"/>
      <c r="J93" s="1439"/>
      <c r="K93" s="1355"/>
      <c r="L93" s="655"/>
      <c r="M93" s="655"/>
      <c r="N93" s="655"/>
      <c r="O93" s="655"/>
      <c r="P93" s="670"/>
      <c r="Q93" s="670"/>
      <c r="R93" s="655"/>
      <c r="S93" s="670"/>
      <c r="T93" s="670"/>
      <c r="U93" s="670"/>
      <c r="V93" s="670"/>
      <c r="W93" s="670"/>
      <c r="X93" s="670"/>
      <c r="Y93" s="670"/>
      <c r="Z93" s="670"/>
      <c r="AA93" s="670"/>
      <c r="AB93" s="670"/>
      <c r="AC93" s="670"/>
      <c r="AD93" s="670"/>
      <c r="AE93" s="670"/>
      <c r="AF93" s="670"/>
      <c r="AG93" s="670"/>
      <c r="AH93" s="670"/>
      <c r="AI93" s="670"/>
      <c r="AJ93" s="670"/>
      <c r="AK93" s="670"/>
      <c r="AL93" s="670"/>
      <c r="AM93" s="670"/>
      <c r="AN93" s="670"/>
      <c r="AO93" s="670"/>
      <c r="AP93" s="670"/>
      <c r="AQ93" s="670"/>
      <c r="AR93" s="670"/>
      <c r="AS93" s="670"/>
      <c r="AT93" s="670"/>
      <c r="AU93" s="670"/>
      <c r="AV93" s="670"/>
      <c r="AW93" s="670"/>
      <c r="AX93" s="670"/>
      <c r="AY93" s="670"/>
      <c r="AZ93" s="670"/>
      <c r="BA93" s="670"/>
      <c r="BB93" s="670"/>
      <c r="BC93" s="670"/>
      <c r="BD93" s="670"/>
      <c r="BE93" s="670"/>
      <c r="BF93" s="670"/>
      <c r="BG93" s="670"/>
      <c r="BH93" s="670"/>
      <c r="BI93" s="670"/>
      <c r="BJ93" s="670"/>
      <c r="BK93" s="670"/>
      <c r="BL93" s="670"/>
      <c r="BM93" s="670"/>
      <c r="BN93" s="670"/>
      <c r="BO93" s="670"/>
      <c r="BP93" s="670"/>
      <c r="BQ93" s="670"/>
      <c r="BR93" s="670"/>
      <c r="BS93" s="670"/>
      <c r="BT93" s="670"/>
      <c r="BU93" s="670"/>
      <c r="BV93" s="670"/>
      <c r="BW93" s="670"/>
      <c r="BX93" s="670"/>
      <c r="BY93" s="670"/>
      <c r="BZ93" s="670"/>
      <c r="CA93" s="670"/>
      <c r="CB93" s="670"/>
      <c r="CC93" s="670"/>
      <c r="CD93" s="670"/>
      <c r="CE93" s="670"/>
      <c r="CF93" s="670"/>
      <c r="CG93" s="670"/>
      <c r="CH93" s="670"/>
      <c r="CI93" s="670"/>
      <c r="CJ93" s="670"/>
      <c r="CK93" s="670"/>
      <c r="CL93" s="670"/>
      <c r="CM93" s="670"/>
      <c r="CN93" s="670"/>
      <c r="CO93" s="670"/>
    </row>
    <row r="94" spans="1:93" s="720" customFormat="1" ht="51">
      <c r="A94" s="1691"/>
      <c r="B94" s="615" t="s">
        <v>2074</v>
      </c>
      <c r="C94" s="615"/>
      <c r="D94" s="719"/>
      <c r="E94" s="615"/>
      <c r="F94" s="615"/>
      <c r="G94" s="615"/>
      <c r="H94" s="615"/>
      <c r="I94" s="615"/>
      <c r="J94" s="1692"/>
      <c r="K94" s="1360"/>
      <c r="L94" s="719"/>
      <c r="M94" s="719"/>
      <c r="N94" s="719"/>
      <c r="O94" s="719"/>
      <c r="P94" s="615"/>
      <c r="Q94" s="615"/>
      <c r="R94" s="719"/>
      <c r="S94" s="615"/>
      <c r="T94" s="615"/>
      <c r="U94" s="615"/>
      <c r="V94" s="615"/>
      <c r="W94" s="615"/>
      <c r="X94" s="615"/>
      <c r="Y94" s="615"/>
      <c r="Z94" s="615"/>
      <c r="AA94" s="615"/>
      <c r="AB94" s="615"/>
      <c r="AC94" s="615"/>
      <c r="AD94" s="615"/>
      <c r="AE94" s="615"/>
      <c r="AF94" s="615"/>
      <c r="AG94" s="615"/>
      <c r="AH94" s="615"/>
      <c r="AI94" s="615"/>
      <c r="AJ94" s="615"/>
      <c r="AK94" s="615"/>
      <c r="AL94" s="615"/>
      <c r="AM94" s="615"/>
      <c r="AN94" s="615"/>
      <c r="AO94" s="615"/>
      <c r="AP94" s="615"/>
      <c r="AQ94" s="615"/>
      <c r="AR94" s="615"/>
      <c r="AS94" s="615"/>
      <c r="AT94" s="615"/>
      <c r="AU94" s="615"/>
      <c r="AV94" s="615"/>
      <c r="AW94" s="615"/>
      <c r="AX94" s="615"/>
      <c r="AY94" s="615"/>
      <c r="AZ94" s="615"/>
      <c r="BA94" s="615"/>
      <c r="BB94" s="615"/>
      <c r="BC94" s="615"/>
      <c r="BD94" s="615"/>
      <c r="BE94" s="615"/>
      <c r="BF94" s="615"/>
      <c r="BG94" s="615"/>
      <c r="BH94" s="615"/>
      <c r="BI94" s="615"/>
      <c r="BJ94" s="615"/>
      <c r="BK94" s="615"/>
      <c r="BL94" s="615"/>
      <c r="BM94" s="615"/>
      <c r="BN94" s="615"/>
      <c r="BO94" s="615"/>
      <c r="BP94" s="615"/>
      <c r="BQ94" s="615"/>
      <c r="BR94" s="615"/>
      <c r="BS94" s="615"/>
      <c r="BT94" s="615"/>
      <c r="BU94" s="615"/>
      <c r="BV94" s="615"/>
      <c r="BW94" s="615"/>
      <c r="BX94" s="615"/>
      <c r="BY94" s="615"/>
      <c r="BZ94" s="615"/>
      <c r="CA94" s="615"/>
      <c r="CB94" s="615"/>
      <c r="CC94" s="615"/>
      <c r="CD94" s="615"/>
      <c r="CE94" s="615"/>
      <c r="CF94" s="615"/>
      <c r="CG94" s="615"/>
      <c r="CH94" s="615"/>
      <c r="CI94" s="615"/>
      <c r="CJ94" s="615"/>
      <c r="CK94" s="615"/>
      <c r="CL94" s="615"/>
      <c r="CM94" s="615"/>
      <c r="CN94" s="615"/>
      <c r="CO94" s="615"/>
    </row>
    <row r="95" spans="1:93">
      <c r="A95" s="1590"/>
      <c r="B95" s="670"/>
      <c r="C95" s="670"/>
      <c r="D95" s="655"/>
      <c r="E95" s="670"/>
      <c r="F95" s="655"/>
      <c r="G95" s="670"/>
      <c r="H95" s="670"/>
      <c r="I95" s="670"/>
      <c r="J95" s="1439"/>
      <c r="K95" s="1355"/>
      <c r="L95" s="655"/>
      <c r="M95" s="655"/>
      <c r="N95" s="655"/>
      <c r="O95" s="655"/>
      <c r="P95" s="670"/>
      <c r="Q95" s="670"/>
      <c r="R95" s="655"/>
      <c r="S95" s="670"/>
      <c r="T95" s="670"/>
      <c r="U95" s="670"/>
      <c r="V95" s="670"/>
      <c r="W95" s="670"/>
      <c r="X95" s="670"/>
      <c r="Y95" s="670"/>
      <c r="Z95" s="670"/>
      <c r="AA95" s="670"/>
      <c r="AB95" s="670"/>
      <c r="AC95" s="670"/>
      <c r="AD95" s="670"/>
      <c r="AE95" s="670"/>
      <c r="AF95" s="670"/>
      <c r="AG95" s="670"/>
      <c r="AH95" s="670"/>
      <c r="AI95" s="670"/>
      <c r="AJ95" s="670"/>
      <c r="AK95" s="670"/>
      <c r="AL95" s="670"/>
      <c r="AM95" s="670"/>
      <c r="AN95" s="670"/>
      <c r="AO95" s="670"/>
      <c r="AP95" s="670"/>
      <c r="AQ95" s="670"/>
      <c r="AR95" s="670"/>
      <c r="AS95" s="670"/>
      <c r="AT95" s="670"/>
      <c r="AU95" s="670"/>
      <c r="AV95" s="670"/>
      <c r="AW95" s="670"/>
      <c r="AX95" s="670"/>
      <c r="AY95" s="670"/>
      <c r="AZ95" s="670"/>
      <c r="BA95" s="670"/>
      <c r="BB95" s="670"/>
      <c r="BC95" s="670"/>
      <c r="BD95" s="670"/>
      <c r="BE95" s="670"/>
      <c r="BF95" s="670"/>
      <c r="BG95" s="670"/>
      <c r="BH95" s="670"/>
      <c r="BI95" s="670"/>
      <c r="BJ95" s="670"/>
      <c r="BK95" s="670"/>
      <c r="BL95" s="670"/>
      <c r="BM95" s="670"/>
      <c r="BN95" s="670"/>
      <c r="BO95" s="670"/>
      <c r="BP95" s="670"/>
      <c r="BQ95" s="670"/>
      <c r="BR95" s="670"/>
      <c r="BS95" s="670"/>
      <c r="BT95" s="670"/>
      <c r="BU95" s="670"/>
      <c r="BV95" s="670"/>
      <c r="BW95" s="670"/>
      <c r="BX95" s="670"/>
      <c r="BY95" s="670"/>
      <c r="BZ95" s="670"/>
      <c r="CA95" s="670"/>
      <c r="CB95" s="670"/>
      <c r="CC95" s="670"/>
      <c r="CD95" s="670"/>
      <c r="CE95" s="670"/>
      <c r="CF95" s="670"/>
      <c r="CG95" s="670"/>
      <c r="CH95" s="670"/>
      <c r="CI95" s="670"/>
      <c r="CJ95" s="670"/>
      <c r="CK95" s="670"/>
      <c r="CL95" s="670"/>
      <c r="CM95" s="670"/>
      <c r="CN95" s="670"/>
      <c r="CO95" s="670"/>
    </row>
    <row r="96" spans="1:93" ht="14.25" customHeight="1">
      <c r="A96" s="1590"/>
      <c r="B96" s="1851" t="s">
        <v>2075</v>
      </c>
      <c r="C96" s="1851"/>
      <c r="D96" s="1851"/>
      <c r="E96" s="1851"/>
      <c r="F96" s="655"/>
      <c r="G96" s="670"/>
      <c r="H96" s="670"/>
      <c r="I96" s="670"/>
      <c r="J96" s="1439"/>
      <c r="K96" s="1355"/>
      <c r="L96" s="655"/>
      <c r="M96" s="655"/>
      <c r="N96" s="655"/>
      <c r="O96" s="655"/>
      <c r="P96" s="670"/>
      <c r="Q96" s="670"/>
      <c r="R96" s="655"/>
      <c r="S96" s="670"/>
      <c r="T96" s="670"/>
      <c r="U96" s="670"/>
      <c r="V96" s="670"/>
      <c r="W96" s="670"/>
      <c r="X96" s="670"/>
      <c r="Y96" s="670"/>
      <c r="Z96" s="670"/>
      <c r="AA96" s="670"/>
      <c r="AB96" s="670"/>
      <c r="AC96" s="670"/>
      <c r="AD96" s="670"/>
      <c r="AE96" s="670"/>
      <c r="AF96" s="670"/>
      <c r="AG96" s="670"/>
      <c r="AH96" s="670"/>
      <c r="AI96" s="670"/>
      <c r="AJ96" s="670"/>
      <c r="AK96" s="670"/>
      <c r="AL96" s="670"/>
      <c r="AM96" s="670"/>
      <c r="AN96" s="670"/>
      <c r="AO96" s="670"/>
      <c r="AP96" s="670"/>
      <c r="AQ96" s="670"/>
      <c r="AR96" s="670"/>
      <c r="AS96" s="670"/>
      <c r="AT96" s="670"/>
      <c r="AU96" s="670"/>
      <c r="AV96" s="670"/>
      <c r="AW96" s="670"/>
      <c r="AX96" s="670"/>
      <c r="AY96" s="670"/>
      <c r="AZ96" s="670"/>
      <c r="BA96" s="670"/>
      <c r="BB96" s="670"/>
      <c r="BC96" s="670"/>
      <c r="BD96" s="670"/>
      <c r="BE96" s="670"/>
      <c r="BF96" s="670"/>
      <c r="BG96" s="670"/>
      <c r="BH96" s="670"/>
      <c r="BI96" s="670"/>
      <c r="BJ96" s="670"/>
      <c r="BK96" s="670"/>
      <c r="BL96" s="670"/>
      <c r="BM96" s="670"/>
      <c r="BN96" s="670"/>
      <c r="BO96" s="670"/>
      <c r="BP96" s="670"/>
      <c r="BQ96" s="670"/>
      <c r="BR96" s="670"/>
      <c r="BS96" s="670"/>
      <c r="BT96" s="670"/>
      <c r="BU96" s="670"/>
      <c r="BV96" s="670"/>
      <c r="BW96" s="670"/>
      <c r="BX96" s="670"/>
      <c r="BY96" s="670"/>
      <c r="BZ96" s="670"/>
      <c r="CA96" s="670"/>
      <c r="CB96" s="670"/>
      <c r="CC96" s="670"/>
      <c r="CD96" s="670"/>
      <c r="CE96" s="670"/>
      <c r="CF96" s="670"/>
      <c r="CG96" s="670"/>
      <c r="CH96" s="670"/>
      <c r="CI96" s="670"/>
      <c r="CJ96" s="670"/>
      <c r="CK96" s="670"/>
      <c r="CL96" s="670"/>
      <c r="CM96" s="670"/>
      <c r="CN96" s="670"/>
      <c r="CO96" s="670"/>
    </row>
    <row r="97" spans="1:93">
      <c r="A97" s="1590"/>
      <c r="B97" s="708" t="s">
        <v>2271</v>
      </c>
      <c r="C97" s="708"/>
      <c r="D97" s="713">
        <v>600000</v>
      </c>
      <c r="E97" s="708"/>
      <c r="F97" s="655">
        <v>3020000</v>
      </c>
      <c r="G97" s="670"/>
      <c r="H97" s="670"/>
      <c r="I97" s="670"/>
      <c r="J97" s="1439"/>
      <c r="K97" s="1355"/>
      <c r="L97" s="655"/>
      <c r="M97" s="655"/>
      <c r="N97" s="655"/>
      <c r="O97" s="655"/>
      <c r="P97" s="670"/>
      <c r="Q97" s="670"/>
      <c r="R97" s="655"/>
      <c r="S97" s="670"/>
      <c r="T97" s="670"/>
      <c r="U97" s="670"/>
      <c r="V97" s="670"/>
      <c r="W97" s="670"/>
      <c r="X97" s="670"/>
      <c r="Y97" s="670"/>
      <c r="Z97" s="670"/>
      <c r="AA97" s="670"/>
      <c r="AB97" s="670"/>
      <c r="AC97" s="670"/>
      <c r="AD97" s="670"/>
      <c r="AE97" s="670"/>
      <c r="AF97" s="670"/>
      <c r="AG97" s="670"/>
      <c r="AH97" s="670"/>
      <c r="AI97" s="670"/>
      <c r="AJ97" s="670"/>
      <c r="AK97" s="670"/>
      <c r="AL97" s="670"/>
      <c r="AM97" s="670"/>
      <c r="AN97" s="670"/>
      <c r="AO97" s="670"/>
      <c r="AP97" s="670"/>
      <c r="AQ97" s="670"/>
      <c r="AR97" s="670"/>
      <c r="AS97" s="670"/>
      <c r="AT97" s="670"/>
      <c r="AU97" s="670"/>
      <c r="AV97" s="670"/>
      <c r="AW97" s="670"/>
      <c r="AX97" s="670"/>
      <c r="AY97" s="670"/>
      <c r="AZ97" s="670"/>
      <c r="BA97" s="670"/>
      <c r="BB97" s="670"/>
      <c r="BC97" s="670"/>
      <c r="BD97" s="670"/>
      <c r="BE97" s="670"/>
      <c r="BF97" s="670"/>
      <c r="BG97" s="670"/>
      <c r="BH97" s="670"/>
      <c r="BI97" s="670"/>
      <c r="BJ97" s="670"/>
      <c r="BK97" s="670"/>
      <c r="BL97" s="670"/>
      <c r="BM97" s="670"/>
      <c r="BN97" s="670"/>
      <c r="BO97" s="670"/>
      <c r="BP97" s="670"/>
      <c r="BQ97" s="670"/>
      <c r="BR97" s="670"/>
      <c r="BS97" s="670"/>
      <c r="BT97" s="670"/>
      <c r="BU97" s="670"/>
      <c r="BV97" s="670"/>
      <c r="BW97" s="670"/>
      <c r="BX97" s="670"/>
      <c r="BY97" s="670"/>
      <c r="BZ97" s="670"/>
      <c r="CA97" s="670"/>
      <c r="CB97" s="670"/>
      <c r="CC97" s="670"/>
      <c r="CD97" s="670"/>
      <c r="CE97" s="670"/>
      <c r="CF97" s="670"/>
      <c r="CG97" s="670"/>
      <c r="CH97" s="670"/>
      <c r="CI97" s="670"/>
      <c r="CJ97" s="670"/>
      <c r="CK97" s="670"/>
      <c r="CL97" s="670"/>
      <c r="CM97" s="670"/>
      <c r="CN97" s="670"/>
      <c r="CO97" s="670"/>
    </row>
    <row r="98" spans="1:93">
      <c r="A98" s="1590"/>
      <c r="B98" s="708" t="s">
        <v>2272</v>
      </c>
      <c r="C98" s="708"/>
      <c r="D98" s="713"/>
      <c r="E98" s="708"/>
      <c r="F98" s="655">
        <v>-3020000</v>
      </c>
      <c r="G98" s="670"/>
      <c r="H98" s="670"/>
      <c r="I98" s="670"/>
      <c r="J98" s="1439"/>
      <c r="K98" s="1355"/>
      <c r="L98" s="655"/>
      <c r="M98" s="655"/>
      <c r="N98" s="655"/>
      <c r="O98" s="655"/>
      <c r="P98" s="670"/>
      <c r="Q98" s="670"/>
      <c r="R98" s="655"/>
      <c r="S98" s="670"/>
      <c r="T98" s="670"/>
      <c r="U98" s="670"/>
      <c r="V98" s="670"/>
      <c r="W98" s="670"/>
      <c r="X98" s="670"/>
      <c r="Y98" s="670"/>
      <c r="Z98" s="670"/>
      <c r="AA98" s="670"/>
      <c r="AB98" s="670"/>
      <c r="AC98" s="670"/>
      <c r="AD98" s="670"/>
      <c r="AE98" s="670"/>
      <c r="AF98" s="670"/>
      <c r="AG98" s="670"/>
      <c r="AH98" s="670"/>
      <c r="AI98" s="670"/>
      <c r="AJ98" s="670"/>
      <c r="AK98" s="670"/>
      <c r="AL98" s="670"/>
      <c r="AM98" s="670"/>
      <c r="AN98" s="670"/>
      <c r="AO98" s="670"/>
      <c r="AP98" s="670"/>
      <c r="AQ98" s="670"/>
      <c r="AR98" s="670"/>
      <c r="AS98" s="670"/>
      <c r="AT98" s="670"/>
      <c r="AU98" s="670"/>
      <c r="AV98" s="670"/>
      <c r="AW98" s="670"/>
      <c r="AX98" s="670"/>
      <c r="AY98" s="670"/>
      <c r="AZ98" s="670"/>
      <c r="BA98" s="670"/>
      <c r="BB98" s="670"/>
      <c r="BC98" s="670"/>
      <c r="BD98" s="670"/>
      <c r="BE98" s="670"/>
      <c r="BF98" s="670"/>
      <c r="BG98" s="670"/>
      <c r="BH98" s="670"/>
      <c r="BI98" s="670"/>
      <c r="BJ98" s="670"/>
      <c r="BK98" s="670"/>
      <c r="BL98" s="670"/>
      <c r="BM98" s="670"/>
      <c r="BN98" s="670"/>
      <c r="BO98" s="670"/>
      <c r="BP98" s="670"/>
      <c r="BQ98" s="670"/>
      <c r="BR98" s="670"/>
      <c r="BS98" s="670"/>
      <c r="BT98" s="670"/>
      <c r="BU98" s="670"/>
      <c r="BV98" s="670"/>
      <c r="BW98" s="670"/>
      <c r="BX98" s="670"/>
      <c r="BY98" s="670"/>
      <c r="BZ98" s="670"/>
      <c r="CA98" s="670"/>
      <c r="CB98" s="670"/>
      <c r="CC98" s="670"/>
      <c r="CD98" s="670"/>
      <c r="CE98" s="670"/>
      <c r="CF98" s="670"/>
      <c r="CG98" s="670"/>
      <c r="CH98" s="670"/>
      <c r="CI98" s="670"/>
      <c r="CJ98" s="670"/>
      <c r="CK98" s="670"/>
      <c r="CL98" s="670"/>
      <c r="CM98" s="670"/>
      <c r="CN98" s="670"/>
      <c r="CO98" s="670"/>
    </row>
    <row r="99" spans="1:93" ht="13.5" thickBot="1">
      <c r="A99" s="1590"/>
      <c r="B99" s="709" t="s">
        <v>2275</v>
      </c>
      <c r="C99" s="709"/>
      <c r="D99" s="710">
        <f>SUM(D97:D98)</f>
        <v>600000</v>
      </c>
      <c r="E99" s="708"/>
      <c r="F99" s="710">
        <f>SUM(F97:F98)</f>
        <v>0</v>
      </c>
      <c r="G99" s="670"/>
      <c r="H99" s="670"/>
      <c r="I99" s="670"/>
      <c r="J99" s="1685">
        <f>SUM(J97:J98)</f>
        <v>0</v>
      </c>
      <c r="K99" s="1355"/>
      <c r="L99" s="655"/>
      <c r="M99" s="655"/>
      <c r="N99" s="655"/>
      <c r="O99" s="655"/>
      <c r="P99" s="670"/>
      <c r="Q99" s="670"/>
      <c r="R99" s="655"/>
      <c r="S99" s="670"/>
      <c r="T99" s="670"/>
      <c r="U99" s="670"/>
      <c r="V99" s="670"/>
      <c r="W99" s="670"/>
      <c r="X99" s="670"/>
      <c r="Y99" s="670"/>
      <c r="Z99" s="670"/>
      <c r="AA99" s="670"/>
      <c r="AB99" s="670"/>
      <c r="AC99" s="670"/>
      <c r="AD99" s="670"/>
      <c r="AE99" s="670"/>
      <c r="AF99" s="670"/>
      <c r="AG99" s="670"/>
      <c r="AH99" s="670"/>
      <c r="AI99" s="670"/>
      <c r="AJ99" s="670"/>
      <c r="AK99" s="670"/>
      <c r="AL99" s="670"/>
      <c r="AM99" s="670"/>
      <c r="AN99" s="670"/>
      <c r="AO99" s="670"/>
      <c r="AP99" s="670"/>
      <c r="AQ99" s="670"/>
      <c r="AR99" s="670"/>
      <c r="AS99" s="670"/>
      <c r="AT99" s="670"/>
      <c r="AU99" s="670"/>
      <c r="AV99" s="670"/>
      <c r="AW99" s="670"/>
      <c r="AX99" s="670"/>
      <c r="AY99" s="670"/>
      <c r="AZ99" s="670"/>
      <c r="BA99" s="670"/>
      <c r="BB99" s="670"/>
      <c r="BC99" s="670"/>
      <c r="BD99" s="670"/>
      <c r="BE99" s="670"/>
      <c r="BF99" s="670"/>
      <c r="BG99" s="670"/>
      <c r="BH99" s="670"/>
      <c r="BI99" s="670"/>
      <c r="BJ99" s="670"/>
      <c r="BK99" s="670"/>
      <c r="BL99" s="670"/>
      <c r="BM99" s="670"/>
      <c r="BN99" s="670"/>
      <c r="BO99" s="670"/>
      <c r="BP99" s="670"/>
      <c r="BQ99" s="670"/>
      <c r="BR99" s="670"/>
      <c r="BS99" s="670"/>
      <c r="BT99" s="670"/>
      <c r="BU99" s="670"/>
      <c r="BV99" s="670"/>
      <c r="BW99" s="670"/>
      <c r="BX99" s="670"/>
      <c r="BY99" s="670"/>
      <c r="BZ99" s="670"/>
      <c r="CA99" s="670"/>
      <c r="CB99" s="670"/>
      <c r="CC99" s="670"/>
      <c r="CD99" s="670"/>
      <c r="CE99" s="670"/>
      <c r="CF99" s="670"/>
      <c r="CG99" s="670"/>
      <c r="CH99" s="670"/>
      <c r="CI99" s="670"/>
      <c r="CJ99" s="670"/>
      <c r="CK99" s="670"/>
      <c r="CL99" s="670"/>
      <c r="CM99" s="670"/>
      <c r="CN99" s="670"/>
      <c r="CO99" s="670"/>
    </row>
    <row r="100" spans="1:93" ht="13.5" thickTop="1">
      <c r="A100" s="1590"/>
      <c r="B100" s="708" t="s">
        <v>3959</v>
      </c>
      <c r="C100" s="708"/>
      <c r="D100" s="713"/>
      <c r="E100" s="708"/>
      <c r="F100" s="655"/>
      <c r="G100" s="670"/>
      <c r="H100" s="670"/>
      <c r="I100" s="670"/>
      <c r="J100" s="1439"/>
      <c r="K100" s="1355"/>
      <c r="L100" s="655"/>
      <c r="M100" s="655">
        <f>D111+D66</f>
        <v>31677125.789999999</v>
      </c>
      <c r="N100" s="655"/>
      <c r="O100" s="655"/>
      <c r="P100" s="670"/>
      <c r="Q100" s="670"/>
      <c r="R100" s="655"/>
      <c r="S100" s="670"/>
      <c r="T100" s="670"/>
      <c r="U100" s="670"/>
      <c r="V100" s="670"/>
      <c r="W100" s="670"/>
      <c r="X100" s="670"/>
      <c r="Y100" s="670"/>
      <c r="Z100" s="670"/>
      <c r="AA100" s="670"/>
      <c r="AB100" s="670"/>
      <c r="AC100" s="670"/>
      <c r="AD100" s="670"/>
      <c r="AE100" s="670"/>
      <c r="AF100" s="670"/>
      <c r="AG100" s="670"/>
      <c r="AH100" s="670"/>
      <c r="AI100" s="670"/>
      <c r="AJ100" s="670"/>
      <c r="AK100" s="670"/>
      <c r="AL100" s="670"/>
      <c r="AM100" s="670"/>
      <c r="AN100" s="670"/>
      <c r="AO100" s="670"/>
      <c r="AP100" s="670"/>
      <c r="AQ100" s="670"/>
      <c r="AR100" s="670"/>
      <c r="AS100" s="670"/>
      <c r="AT100" s="670"/>
      <c r="AU100" s="670"/>
      <c r="AV100" s="670"/>
      <c r="AW100" s="670"/>
      <c r="AX100" s="670"/>
      <c r="AY100" s="670"/>
      <c r="AZ100" s="670"/>
      <c r="BA100" s="670"/>
      <c r="BB100" s="670"/>
      <c r="BC100" s="670"/>
      <c r="BD100" s="670"/>
      <c r="BE100" s="670"/>
      <c r="BF100" s="670"/>
      <c r="BG100" s="670"/>
      <c r="BH100" s="670"/>
      <c r="BI100" s="670"/>
      <c r="BJ100" s="670"/>
      <c r="BK100" s="670"/>
      <c r="BL100" s="670"/>
      <c r="BM100" s="670"/>
      <c r="BN100" s="670"/>
      <c r="BO100" s="670"/>
      <c r="BP100" s="670"/>
      <c r="BQ100" s="670"/>
      <c r="BR100" s="670"/>
      <c r="BS100" s="670"/>
      <c r="BT100" s="670"/>
      <c r="BU100" s="670"/>
      <c r="BV100" s="670"/>
      <c r="BW100" s="670"/>
      <c r="BX100" s="670"/>
      <c r="BY100" s="670"/>
      <c r="BZ100" s="670"/>
      <c r="CA100" s="670"/>
      <c r="CB100" s="670"/>
      <c r="CC100" s="670"/>
      <c r="CD100" s="670"/>
      <c r="CE100" s="670"/>
      <c r="CF100" s="670"/>
      <c r="CG100" s="670"/>
      <c r="CH100" s="670"/>
      <c r="CI100" s="670"/>
      <c r="CJ100" s="670"/>
      <c r="CK100" s="670"/>
      <c r="CL100" s="670"/>
      <c r="CM100" s="670"/>
      <c r="CN100" s="670"/>
      <c r="CO100" s="670"/>
    </row>
    <row r="101" spans="1:93" s="720" customFormat="1" ht="38.25">
      <c r="A101" s="1691"/>
      <c r="B101" s="615" t="s">
        <v>2076</v>
      </c>
      <c r="C101" s="615"/>
      <c r="D101" s="719"/>
      <c r="E101" s="615"/>
      <c r="F101" s="615"/>
      <c r="G101" s="615"/>
      <c r="H101" s="615"/>
      <c r="I101" s="615"/>
      <c r="J101" s="1692"/>
      <c r="K101" s="1360"/>
      <c r="L101" s="719"/>
      <c r="M101" s="719"/>
      <c r="N101" s="719"/>
      <c r="O101" s="719"/>
      <c r="P101" s="615"/>
      <c r="Q101" s="615"/>
      <c r="R101" s="719"/>
      <c r="S101" s="615"/>
      <c r="T101" s="615"/>
      <c r="U101" s="615"/>
      <c r="V101" s="615"/>
      <c r="W101" s="615"/>
      <c r="X101" s="615"/>
      <c r="Y101" s="615"/>
      <c r="Z101" s="615"/>
      <c r="AA101" s="615"/>
      <c r="AB101" s="615"/>
      <c r="AC101" s="615"/>
      <c r="AD101" s="615"/>
      <c r="AE101" s="615"/>
      <c r="AF101" s="615"/>
      <c r="AG101" s="615"/>
      <c r="AH101" s="615"/>
      <c r="AI101" s="615"/>
      <c r="AJ101" s="615"/>
      <c r="AK101" s="615"/>
      <c r="AL101" s="615"/>
      <c r="AM101" s="615"/>
      <c r="AN101" s="615"/>
      <c r="AO101" s="615"/>
      <c r="AP101" s="615"/>
      <c r="AQ101" s="615"/>
      <c r="AR101" s="615"/>
      <c r="AS101" s="615"/>
      <c r="AT101" s="615"/>
      <c r="AU101" s="615"/>
      <c r="AV101" s="615"/>
      <c r="AW101" s="615"/>
      <c r="AX101" s="615"/>
      <c r="AY101" s="615"/>
      <c r="AZ101" s="615"/>
      <c r="BA101" s="615"/>
      <c r="BB101" s="615"/>
      <c r="BC101" s="615"/>
      <c r="BD101" s="615"/>
      <c r="BE101" s="615"/>
      <c r="BF101" s="615"/>
      <c r="BG101" s="615"/>
      <c r="BH101" s="615"/>
      <c r="BI101" s="615"/>
      <c r="BJ101" s="615"/>
      <c r="BK101" s="615"/>
      <c r="BL101" s="615"/>
      <c r="BM101" s="615"/>
      <c r="BN101" s="615"/>
      <c r="BO101" s="615"/>
      <c r="BP101" s="615"/>
      <c r="BQ101" s="615"/>
      <c r="BR101" s="615"/>
      <c r="BS101" s="615"/>
      <c r="BT101" s="615"/>
      <c r="BU101" s="615"/>
      <c r="BV101" s="615"/>
      <c r="BW101" s="615"/>
      <c r="BX101" s="615"/>
      <c r="BY101" s="615"/>
      <c r="BZ101" s="615"/>
      <c r="CA101" s="615"/>
      <c r="CB101" s="615"/>
      <c r="CC101" s="615"/>
      <c r="CD101" s="615"/>
      <c r="CE101" s="615"/>
      <c r="CF101" s="615"/>
      <c r="CG101" s="615"/>
      <c r="CH101" s="615"/>
      <c r="CI101" s="615"/>
      <c r="CJ101" s="615"/>
      <c r="CK101" s="615"/>
      <c r="CL101" s="615"/>
      <c r="CM101" s="615"/>
      <c r="CN101" s="615"/>
      <c r="CO101" s="615"/>
    </row>
    <row r="102" spans="1:93">
      <c r="A102" s="1590"/>
      <c r="B102" s="670"/>
      <c r="C102" s="670"/>
      <c r="D102" s="655"/>
      <c r="E102" s="670"/>
      <c r="F102" s="655"/>
      <c r="G102" s="670"/>
      <c r="H102" s="670"/>
      <c r="I102" s="670"/>
      <c r="J102" s="1439"/>
      <c r="K102" s="1355"/>
      <c r="L102" s="655"/>
      <c r="M102" s="655"/>
      <c r="N102" s="655"/>
      <c r="O102" s="655"/>
      <c r="P102" s="670"/>
      <c r="Q102" s="670"/>
      <c r="R102" s="655"/>
      <c r="S102" s="670"/>
      <c r="T102" s="670"/>
      <c r="U102" s="670"/>
      <c r="V102" s="670"/>
      <c r="W102" s="670"/>
      <c r="X102" s="670"/>
      <c r="Y102" s="670"/>
      <c r="Z102" s="670"/>
      <c r="AA102" s="670"/>
      <c r="AB102" s="670"/>
      <c r="AC102" s="670"/>
      <c r="AD102" s="670"/>
      <c r="AE102" s="670"/>
      <c r="AF102" s="670"/>
      <c r="AG102" s="670"/>
      <c r="AH102" s="670"/>
      <c r="AI102" s="670"/>
      <c r="AJ102" s="670"/>
      <c r="AK102" s="670"/>
      <c r="AL102" s="670"/>
      <c r="AM102" s="670"/>
      <c r="AN102" s="670"/>
      <c r="AO102" s="670"/>
      <c r="AP102" s="670"/>
      <c r="AQ102" s="670"/>
      <c r="AR102" s="670"/>
      <c r="AS102" s="670"/>
      <c r="AT102" s="670"/>
      <c r="AU102" s="670"/>
      <c r="AV102" s="670"/>
      <c r="AW102" s="670"/>
      <c r="AX102" s="670"/>
      <c r="AY102" s="670"/>
      <c r="AZ102" s="670"/>
      <c r="BA102" s="670"/>
      <c r="BB102" s="670"/>
      <c r="BC102" s="670"/>
      <c r="BD102" s="670"/>
      <c r="BE102" s="670"/>
      <c r="BF102" s="670"/>
      <c r="BG102" s="670"/>
      <c r="BH102" s="670"/>
      <c r="BI102" s="670"/>
      <c r="BJ102" s="670"/>
      <c r="BK102" s="670"/>
      <c r="BL102" s="670"/>
      <c r="BM102" s="670"/>
      <c r="BN102" s="670"/>
      <c r="BO102" s="670"/>
      <c r="BP102" s="670"/>
      <c r="BQ102" s="670"/>
      <c r="BR102" s="670"/>
      <c r="BS102" s="670"/>
      <c r="BT102" s="670"/>
      <c r="BU102" s="670"/>
      <c r="BV102" s="670"/>
      <c r="BW102" s="670"/>
      <c r="BX102" s="670"/>
      <c r="BY102" s="670"/>
      <c r="BZ102" s="670"/>
      <c r="CA102" s="670"/>
      <c r="CB102" s="670"/>
      <c r="CC102" s="670"/>
      <c r="CD102" s="670"/>
      <c r="CE102" s="670"/>
      <c r="CF102" s="670"/>
      <c r="CG102" s="670"/>
      <c r="CH102" s="670"/>
      <c r="CI102" s="670"/>
      <c r="CJ102" s="670"/>
      <c r="CK102" s="670"/>
      <c r="CL102" s="670"/>
      <c r="CM102" s="670"/>
      <c r="CN102" s="670"/>
      <c r="CO102" s="670"/>
    </row>
    <row r="103" spans="1:93">
      <c r="A103" s="1590"/>
      <c r="B103" s="1336" t="s">
        <v>420</v>
      </c>
      <c r="C103" s="1336"/>
      <c r="D103" s="718"/>
      <c r="E103" s="670"/>
      <c r="F103" s="655"/>
      <c r="G103" s="670"/>
      <c r="H103" s="670"/>
      <c r="I103" s="670"/>
      <c r="J103" s="1439"/>
      <c r="K103" s="1355"/>
      <c r="L103" s="655"/>
      <c r="M103" s="655"/>
      <c r="N103" s="655"/>
      <c r="O103" s="655"/>
      <c r="P103" s="670"/>
      <c r="Q103" s="670"/>
      <c r="R103" s="655"/>
      <c r="S103" s="670"/>
      <c r="T103" s="670"/>
      <c r="U103" s="670"/>
      <c r="V103" s="670"/>
      <c r="W103" s="670"/>
      <c r="X103" s="670"/>
      <c r="Y103" s="670"/>
      <c r="Z103" s="670"/>
      <c r="AA103" s="670"/>
      <c r="AB103" s="670"/>
      <c r="AC103" s="670"/>
      <c r="AD103" s="670"/>
      <c r="AE103" s="670"/>
      <c r="AF103" s="670"/>
      <c r="AG103" s="670"/>
      <c r="AH103" s="670"/>
      <c r="AI103" s="670"/>
      <c r="AJ103" s="670"/>
      <c r="AK103" s="670"/>
      <c r="AL103" s="670"/>
      <c r="AM103" s="670"/>
      <c r="AN103" s="670"/>
      <c r="AO103" s="670"/>
      <c r="AP103" s="670"/>
      <c r="AQ103" s="670"/>
      <c r="AR103" s="670"/>
      <c r="AS103" s="670"/>
      <c r="AT103" s="670"/>
      <c r="AU103" s="670"/>
      <c r="AV103" s="670"/>
      <c r="AW103" s="670"/>
      <c r="AX103" s="670"/>
      <c r="AY103" s="670"/>
      <c r="AZ103" s="670"/>
      <c r="BA103" s="670"/>
      <c r="BB103" s="670"/>
      <c r="BC103" s="670"/>
      <c r="BD103" s="670"/>
      <c r="BE103" s="670"/>
      <c r="BF103" s="670"/>
      <c r="BG103" s="670"/>
      <c r="BH103" s="670"/>
      <c r="BI103" s="670"/>
      <c r="BJ103" s="670"/>
      <c r="BK103" s="670"/>
      <c r="BL103" s="670"/>
      <c r="BM103" s="670"/>
      <c r="BN103" s="670"/>
      <c r="BO103" s="670"/>
      <c r="BP103" s="670"/>
      <c r="BQ103" s="670"/>
      <c r="BR103" s="670"/>
      <c r="BS103" s="670"/>
      <c r="BT103" s="670"/>
      <c r="BU103" s="670"/>
      <c r="BV103" s="670"/>
      <c r="BW103" s="670"/>
      <c r="BX103" s="670"/>
      <c r="BY103" s="670"/>
      <c r="BZ103" s="670"/>
      <c r="CA103" s="670"/>
      <c r="CB103" s="670"/>
      <c r="CC103" s="670"/>
      <c r="CD103" s="670"/>
      <c r="CE103" s="670"/>
      <c r="CF103" s="670"/>
      <c r="CG103" s="670"/>
      <c r="CH103" s="670"/>
      <c r="CI103" s="670"/>
      <c r="CJ103" s="670"/>
      <c r="CK103" s="670"/>
      <c r="CL103" s="670"/>
      <c r="CM103" s="670"/>
      <c r="CN103" s="670"/>
      <c r="CO103" s="670"/>
    </row>
    <row r="104" spans="1:93">
      <c r="A104" s="1590"/>
      <c r="B104" s="708" t="s">
        <v>2271</v>
      </c>
      <c r="C104" s="708"/>
      <c r="D104" s="715"/>
      <c r="E104" s="670"/>
      <c r="F104" s="715">
        <f>-SUM('TRAIL BALANCE'!G156)</f>
        <v>333000</v>
      </c>
      <c r="G104" s="670"/>
      <c r="H104" s="670"/>
      <c r="I104" s="670"/>
      <c r="J104" s="1688">
        <f>-SUM('TRAIL BALANCE'!E156)</f>
        <v>567000</v>
      </c>
      <c r="K104" s="1355"/>
      <c r="L104" s="655"/>
      <c r="M104" s="655"/>
      <c r="N104" s="655"/>
      <c r="O104" s="655"/>
      <c r="P104" s="670"/>
      <c r="Q104" s="670"/>
      <c r="R104" s="655"/>
      <c r="S104" s="670"/>
      <c r="T104" s="670"/>
      <c r="U104" s="670"/>
      <c r="V104" s="670"/>
      <c r="W104" s="670"/>
      <c r="X104" s="670"/>
      <c r="Y104" s="670"/>
      <c r="Z104" s="670"/>
      <c r="AA104" s="670"/>
      <c r="AB104" s="670"/>
      <c r="AC104" s="670"/>
      <c r="AD104" s="670"/>
      <c r="AE104" s="670"/>
      <c r="AF104" s="670"/>
      <c r="AG104" s="670"/>
      <c r="AH104" s="670"/>
      <c r="AI104" s="670"/>
      <c r="AJ104" s="670"/>
      <c r="AK104" s="670"/>
      <c r="AL104" s="670"/>
      <c r="AM104" s="670"/>
      <c r="AN104" s="670"/>
      <c r="AO104" s="670"/>
      <c r="AP104" s="670"/>
      <c r="AQ104" s="670"/>
      <c r="AR104" s="670"/>
      <c r="AS104" s="670"/>
      <c r="AT104" s="670"/>
      <c r="AU104" s="670"/>
      <c r="AV104" s="670"/>
      <c r="AW104" s="670"/>
      <c r="AX104" s="670"/>
      <c r="AY104" s="670"/>
      <c r="AZ104" s="670"/>
      <c r="BA104" s="670"/>
      <c r="BB104" s="670"/>
      <c r="BC104" s="670"/>
      <c r="BD104" s="670"/>
      <c r="BE104" s="670"/>
      <c r="BF104" s="670"/>
      <c r="BG104" s="670"/>
      <c r="BH104" s="670"/>
      <c r="BI104" s="670"/>
      <c r="BJ104" s="670"/>
      <c r="BK104" s="670"/>
      <c r="BL104" s="670"/>
      <c r="BM104" s="670"/>
      <c r="BN104" s="670"/>
      <c r="BO104" s="670"/>
      <c r="BP104" s="670"/>
      <c r="BQ104" s="670"/>
      <c r="BR104" s="670"/>
      <c r="BS104" s="670"/>
      <c r="BT104" s="670"/>
      <c r="BU104" s="670"/>
      <c r="BV104" s="670"/>
      <c r="BW104" s="670"/>
      <c r="BX104" s="670"/>
      <c r="BY104" s="670"/>
      <c r="BZ104" s="670"/>
      <c r="CA104" s="670"/>
      <c r="CB104" s="670"/>
      <c r="CC104" s="670"/>
      <c r="CD104" s="670"/>
      <c r="CE104" s="670"/>
      <c r="CF104" s="670"/>
      <c r="CG104" s="670"/>
      <c r="CH104" s="670"/>
      <c r="CI104" s="670"/>
      <c r="CJ104" s="670"/>
      <c r="CK104" s="670"/>
      <c r="CL104" s="670"/>
      <c r="CM104" s="670"/>
      <c r="CN104" s="670"/>
      <c r="CO104" s="670"/>
    </row>
    <row r="105" spans="1:93">
      <c r="A105" s="1590"/>
      <c r="B105" s="708" t="s">
        <v>2272</v>
      </c>
      <c r="C105" s="708"/>
      <c r="D105" s="717"/>
      <c r="E105" s="670"/>
      <c r="F105" s="717">
        <f>SUM('TRAIL BALANCE'!G156)</f>
        <v>-333000</v>
      </c>
      <c r="G105" s="670"/>
      <c r="H105" s="670"/>
      <c r="I105" s="670"/>
      <c r="J105" s="1690">
        <f>SUM('TRAIL BALANCE'!E156)</f>
        <v>-567000</v>
      </c>
      <c r="K105" s="1355"/>
      <c r="L105" s="685" t="s">
        <v>45</v>
      </c>
      <c r="M105" s="655"/>
      <c r="N105" s="655"/>
      <c r="O105" s="655"/>
      <c r="P105" s="670"/>
      <c r="Q105" s="670"/>
      <c r="R105" s="655"/>
      <c r="S105" s="670"/>
      <c r="T105" s="670"/>
      <c r="U105" s="670"/>
      <c r="V105" s="670"/>
      <c r="W105" s="670"/>
      <c r="X105" s="670"/>
      <c r="Y105" s="670"/>
      <c r="Z105" s="670"/>
      <c r="AA105" s="670"/>
      <c r="AB105" s="670"/>
      <c r="AC105" s="670"/>
      <c r="AD105" s="670"/>
      <c r="AE105" s="670"/>
      <c r="AF105" s="670"/>
      <c r="AG105" s="670"/>
      <c r="AH105" s="670"/>
      <c r="AI105" s="670"/>
      <c r="AJ105" s="670"/>
      <c r="AK105" s="670"/>
      <c r="AL105" s="670"/>
      <c r="AM105" s="670"/>
      <c r="AN105" s="670"/>
      <c r="AO105" s="670"/>
      <c r="AP105" s="670"/>
      <c r="AQ105" s="670"/>
      <c r="AR105" s="670"/>
      <c r="AS105" s="670"/>
      <c r="AT105" s="670"/>
      <c r="AU105" s="670"/>
      <c r="AV105" s="670"/>
      <c r="AW105" s="670"/>
      <c r="AX105" s="670"/>
      <c r="AY105" s="670"/>
      <c r="AZ105" s="670"/>
      <c r="BA105" s="670"/>
      <c r="BB105" s="670"/>
      <c r="BC105" s="670"/>
      <c r="BD105" s="670"/>
      <c r="BE105" s="670"/>
      <c r="BF105" s="670"/>
      <c r="BG105" s="670"/>
      <c r="BH105" s="670"/>
      <c r="BI105" s="670"/>
      <c r="BJ105" s="670"/>
      <c r="BK105" s="670"/>
      <c r="BL105" s="670"/>
      <c r="BM105" s="670"/>
      <c r="BN105" s="670"/>
      <c r="BO105" s="670"/>
      <c r="BP105" s="670"/>
      <c r="BQ105" s="670"/>
      <c r="BR105" s="670"/>
      <c r="BS105" s="670"/>
      <c r="BT105" s="670"/>
      <c r="BU105" s="670"/>
      <c r="BV105" s="670"/>
      <c r="BW105" s="670"/>
      <c r="BX105" s="670"/>
      <c r="BY105" s="670"/>
      <c r="BZ105" s="670"/>
      <c r="CA105" s="670"/>
      <c r="CB105" s="670"/>
      <c r="CC105" s="670"/>
      <c r="CD105" s="670"/>
      <c r="CE105" s="670"/>
      <c r="CF105" s="670"/>
      <c r="CG105" s="670"/>
      <c r="CH105" s="670"/>
      <c r="CI105" s="670"/>
      <c r="CJ105" s="670"/>
      <c r="CK105" s="670"/>
      <c r="CL105" s="670"/>
      <c r="CM105" s="670"/>
      <c r="CN105" s="670"/>
      <c r="CO105" s="670"/>
    </row>
    <row r="106" spans="1:93" ht="13.5" thickBot="1">
      <c r="A106" s="1590"/>
      <c r="B106" s="709" t="s">
        <v>2275</v>
      </c>
      <c r="C106" s="709"/>
      <c r="D106" s="722">
        <f>SUM(D104:D105)</f>
        <v>0</v>
      </c>
      <c r="E106" s="670"/>
      <c r="F106" s="722">
        <f>SUM(F104:F105)</f>
        <v>0</v>
      </c>
      <c r="G106" s="670"/>
      <c r="H106" s="670"/>
      <c r="I106" s="670"/>
      <c r="J106" s="1693">
        <f>SUM(J104:J105)</f>
        <v>0</v>
      </c>
      <c r="K106" s="1355"/>
      <c r="L106" s="655"/>
      <c r="M106" s="655"/>
      <c r="N106" s="655"/>
      <c r="O106" s="655"/>
      <c r="P106" s="670"/>
      <c r="Q106" s="670"/>
      <c r="R106" s="655"/>
      <c r="S106" s="670"/>
      <c r="T106" s="670"/>
      <c r="U106" s="670"/>
      <c r="V106" s="670"/>
      <c r="W106" s="670"/>
      <c r="X106" s="670"/>
      <c r="Y106" s="670"/>
      <c r="Z106" s="670"/>
      <c r="AA106" s="670"/>
      <c r="AB106" s="670"/>
      <c r="AC106" s="670"/>
      <c r="AD106" s="670"/>
      <c r="AE106" s="670"/>
      <c r="AF106" s="670"/>
      <c r="AG106" s="670"/>
      <c r="AH106" s="670"/>
      <c r="AI106" s="670"/>
      <c r="AJ106" s="670"/>
      <c r="AK106" s="670"/>
      <c r="AL106" s="670"/>
      <c r="AM106" s="670"/>
      <c r="AN106" s="670"/>
      <c r="AO106" s="670"/>
      <c r="AP106" s="670"/>
      <c r="AQ106" s="670"/>
      <c r="AR106" s="670"/>
      <c r="AS106" s="670"/>
      <c r="AT106" s="670"/>
      <c r="AU106" s="670"/>
      <c r="AV106" s="670"/>
      <c r="AW106" s="670"/>
      <c r="AX106" s="670"/>
      <c r="AY106" s="670"/>
      <c r="AZ106" s="670"/>
      <c r="BA106" s="670"/>
      <c r="BB106" s="670"/>
      <c r="BC106" s="670"/>
      <c r="BD106" s="670"/>
      <c r="BE106" s="670"/>
      <c r="BF106" s="670"/>
      <c r="BG106" s="670"/>
      <c r="BH106" s="670"/>
      <c r="BI106" s="670"/>
      <c r="BJ106" s="670"/>
      <c r="BK106" s="670"/>
      <c r="BL106" s="670"/>
      <c r="BM106" s="670"/>
      <c r="BN106" s="670"/>
      <c r="BO106" s="670"/>
      <c r="BP106" s="670"/>
      <c r="BQ106" s="670"/>
      <c r="BR106" s="670"/>
      <c r="BS106" s="670"/>
      <c r="BT106" s="670"/>
      <c r="BU106" s="670"/>
      <c r="BV106" s="670"/>
      <c r="BW106" s="670"/>
      <c r="BX106" s="670"/>
      <c r="BY106" s="670"/>
      <c r="BZ106" s="670"/>
      <c r="CA106" s="670"/>
      <c r="CB106" s="670"/>
      <c r="CC106" s="670"/>
      <c r="CD106" s="670"/>
      <c r="CE106" s="670"/>
      <c r="CF106" s="670"/>
      <c r="CG106" s="670"/>
      <c r="CH106" s="670"/>
      <c r="CI106" s="670"/>
      <c r="CJ106" s="670"/>
      <c r="CK106" s="670"/>
      <c r="CL106" s="670"/>
      <c r="CM106" s="670"/>
      <c r="CN106" s="670"/>
      <c r="CO106" s="670"/>
    </row>
    <row r="107" spans="1:93" ht="13.5" thickTop="1">
      <c r="A107" s="1590"/>
      <c r="B107" s="708" t="s">
        <v>3959</v>
      </c>
      <c r="C107" s="708"/>
      <c r="D107" s="713"/>
      <c r="E107" s="670"/>
      <c r="F107" s="655"/>
      <c r="G107" s="670"/>
      <c r="H107" s="670"/>
      <c r="I107" s="670"/>
      <c r="J107" s="1439"/>
      <c r="K107" s="1355"/>
      <c r="L107" s="655"/>
      <c r="M107" s="655"/>
      <c r="N107" s="655"/>
      <c r="O107" s="655"/>
      <c r="P107" s="670"/>
      <c r="Q107" s="670"/>
      <c r="R107" s="655"/>
      <c r="S107" s="670"/>
      <c r="T107" s="670"/>
      <c r="U107" s="670"/>
      <c r="V107" s="670"/>
      <c r="W107" s="670"/>
      <c r="X107" s="670"/>
      <c r="Y107" s="670"/>
      <c r="Z107" s="670"/>
      <c r="AA107" s="670"/>
      <c r="AB107" s="670"/>
      <c r="AC107" s="670"/>
      <c r="AD107" s="670"/>
      <c r="AE107" s="670"/>
      <c r="AF107" s="670"/>
      <c r="AG107" s="670"/>
      <c r="AH107" s="670"/>
      <c r="AI107" s="670"/>
      <c r="AJ107" s="670"/>
      <c r="AK107" s="670"/>
      <c r="AL107" s="670"/>
      <c r="AM107" s="670"/>
      <c r="AN107" s="670"/>
      <c r="AO107" s="670"/>
      <c r="AP107" s="670"/>
      <c r="AQ107" s="670"/>
      <c r="AR107" s="670"/>
      <c r="AS107" s="670"/>
      <c r="AT107" s="670"/>
      <c r="AU107" s="670"/>
      <c r="AV107" s="670"/>
      <c r="AW107" s="670"/>
      <c r="AX107" s="670"/>
      <c r="AY107" s="670"/>
      <c r="AZ107" s="670"/>
      <c r="BA107" s="670"/>
      <c r="BB107" s="670"/>
      <c r="BC107" s="670"/>
      <c r="BD107" s="670"/>
      <c r="BE107" s="670"/>
      <c r="BF107" s="670"/>
      <c r="BG107" s="670"/>
      <c r="BH107" s="670"/>
      <c r="BI107" s="670"/>
      <c r="BJ107" s="670"/>
      <c r="BK107" s="670"/>
      <c r="BL107" s="670"/>
      <c r="BM107" s="670"/>
      <c r="BN107" s="670"/>
      <c r="BO107" s="670"/>
      <c r="BP107" s="670"/>
      <c r="BQ107" s="670"/>
      <c r="BR107" s="670"/>
      <c r="BS107" s="670"/>
      <c r="BT107" s="670"/>
      <c r="BU107" s="670"/>
      <c r="BV107" s="670"/>
      <c r="BW107" s="670"/>
      <c r="BX107" s="670"/>
      <c r="BY107" s="670"/>
      <c r="BZ107" s="670"/>
      <c r="CA107" s="670"/>
      <c r="CB107" s="670"/>
      <c r="CC107" s="670"/>
      <c r="CD107" s="670"/>
      <c r="CE107" s="670"/>
      <c r="CF107" s="670"/>
      <c r="CG107" s="670"/>
      <c r="CH107" s="670"/>
      <c r="CI107" s="670"/>
      <c r="CJ107" s="670"/>
      <c r="CK107" s="670"/>
      <c r="CL107" s="670"/>
      <c r="CM107" s="670"/>
      <c r="CN107" s="670"/>
      <c r="CO107" s="670"/>
    </row>
    <row r="108" spans="1:93" s="720" customFormat="1" ht="38.25">
      <c r="A108" s="1691"/>
      <c r="B108" s="615" t="s">
        <v>421</v>
      </c>
      <c r="C108" s="615"/>
      <c r="D108" s="719"/>
      <c r="E108" s="615"/>
      <c r="F108" s="615"/>
      <c r="G108" s="615"/>
      <c r="H108" s="615"/>
      <c r="I108" s="615"/>
      <c r="J108" s="1692"/>
      <c r="K108" s="1360"/>
      <c r="L108" s="719"/>
      <c r="M108" s="719"/>
      <c r="N108" s="719"/>
      <c r="O108" s="719"/>
      <c r="P108" s="615"/>
      <c r="Q108" s="615"/>
      <c r="R108" s="719"/>
      <c r="S108" s="615"/>
      <c r="T108" s="615"/>
      <c r="U108" s="615"/>
      <c r="V108" s="615"/>
      <c r="W108" s="615"/>
      <c r="X108" s="615"/>
      <c r="Y108" s="615"/>
      <c r="Z108" s="615"/>
      <c r="AA108" s="615"/>
      <c r="AB108" s="615"/>
      <c r="AC108" s="615"/>
      <c r="AD108" s="615"/>
      <c r="AE108" s="615"/>
      <c r="AF108" s="615"/>
      <c r="AG108" s="615"/>
      <c r="AH108" s="615"/>
      <c r="AI108" s="615"/>
      <c r="AJ108" s="615"/>
      <c r="AK108" s="615"/>
      <c r="AL108" s="615"/>
      <c r="AM108" s="615"/>
      <c r="AN108" s="615"/>
      <c r="AO108" s="615"/>
      <c r="AP108" s="615"/>
      <c r="AQ108" s="615"/>
      <c r="AR108" s="615"/>
      <c r="AS108" s="615"/>
      <c r="AT108" s="615"/>
      <c r="AU108" s="615"/>
      <c r="AV108" s="615"/>
      <c r="AW108" s="615"/>
      <c r="AX108" s="615"/>
      <c r="AY108" s="615"/>
      <c r="AZ108" s="615"/>
      <c r="BA108" s="615"/>
      <c r="BB108" s="615"/>
      <c r="BC108" s="615"/>
      <c r="BD108" s="615"/>
      <c r="BE108" s="615"/>
      <c r="BF108" s="615"/>
      <c r="BG108" s="615"/>
      <c r="BH108" s="615"/>
      <c r="BI108" s="615"/>
      <c r="BJ108" s="615"/>
      <c r="BK108" s="615"/>
      <c r="BL108" s="615"/>
      <c r="BM108" s="615"/>
      <c r="BN108" s="615"/>
      <c r="BO108" s="615"/>
      <c r="BP108" s="615"/>
      <c r="BQ108" s="615"/>
      <c r="BR108" s="615"/>
      <c r="BS108" s="615"/>
      <c r="BT108" s="615"/>
      <c r="BU108" s="615"/>
      <c r="BV108" s="615"/>
      <c r="BW108" s="615"/>
      <c r="BX108" s="615"/>
      <c r="BY108" s="615"/>
      <c r="BZ108" s="615"/>
      <c r="CA108" s="615"/>
      <c r="CB108" s="615"/>
      <c r="CC108" s="615"/>
      <c r="CD108" s="615"/>
      <c r="CE108" s="615"/>
      <c r="CF108" s="615"/>
      <c r="CG108" s="615"/>
      <c r="CH108" s="615"/>
      <c r="CI108" s="615"/>
      <c r="CJ108" s="615"/>
      <c r="CK108" s="615"/>
      <c r="CL108" s="615"/>
      <c r="CM108" s="615"/>
      <c r="CN108" s="615"/>
      <c r="CO108" s="615"/>
    </row>
    <row r="109" spans="1:93" s="720" customFormat="1">
      <c r="A109" s="1691"/>
      <c r="B109" s="615"/>
      <c r="C109" s="615"/>
      <c r="D109" s="719"/>
      <c r="E109" s="615"/>
      <c r="F109" s="615"/>
      <c r="G109" s="615"/>
      <c r="H109" s="615"/>
      <c r="I109" s="615"/>
      <c r="J109" s="1692"/>
      <c r="K109" s="1360"/>
      <c r="L109" s="719"/>
      <c r="M109" s="719"/>
      <c r="N109" s="719"/>
      <c r="O109" s="719"/>
      <c r="P109" s="615"/>
      <c r="Q109" s="615"/>
      <c r="R109" s="719"/>
      <c r="S109" s="615"/>
      <c r="T109" s="615"/>
      <c r="U109" s="615"/>
      <c r="V109" s="615"/>
      <c r="W109" s="615"/>
      <c r="X109" s="615"/>
      <c r="Y109" s="615"/>
      <c r="Z109" s="615"/>
      <c r="AA109" s="615"/>
      <c r="AB109" s="615"/>
      <c r="AC109" s="615"/>
      <c r="AD109" s="615"/>
      <c r="AE109" s="615"/>
      <c r="AF109" s="615"/>
      <c r="AG109" s="615"/>
      <c r="AH109" s="615"/>
      <c r="AI109" s="615"/>
      <c r="AJ109" s="615"/>
      <c r="AK109" s="615"/>
      <c r="AL109" s="615"/>
      <c r="AM109" s="615"/>
      <c r="AN109" s="615"/>
      <c r="AO109" s="615"/>
      <c r="AP109" s="615"/>
      <c r="AQ109" s="615"/>
      <c r="AR109" s="615"/>
      <c r="AS109" s="615"/>
      <c r="AT109" s="615"/>
      <c r="AU109" s="615"/>
      <c r="AV109" s="615"/>
      <c r="AW109" s="615"/>
      <c r="AX109" s="615"/>
      <c r="AY109" s="615"/>
      <c r="AZ109" s="615"/>
      <c r="BA109" s="615"/>
      <c r="BB109" s="615"/>
      <c r="BC109" s="615"/>
      <c r="BD109" s="615"/>
      <c r="BE109" s="615"/>
      <c r="BF109" s="615"/>
      <c r="BG109" s="615"/>
      <c r="BH109" s="615"/>
      <c r="BI109" s="615"/>
      <c r="BJ109" s="615"/>
      <c r="BK109" s="615"/>
      <c r="BL109" s="615"/>
      <c r="BM109" s="615"/>
      <c r="BN109" s="615"/>
      <c r="BO109" s="615"/>
      <c r="BP109" s="615"/>
      <c r="BQ109" s="615"/>
      <c r="BR109" s="615"/>
      <c r="BS109" s="615"/>
      <c r="BT109" s="615"/>
      <c r="BU109" s="615"/>
      <c r="BV109" s="615"/>
      <c r="BW109" s="615"/>
      <c r="BX109" s="615"/>
      <c r="BY109" s="615"/>
      <c r="BZ109" s="615"/>
      <c r="CA109" s="615"/>
      <c r="CB109" s="615"/>
      <c r="CC109" s="615"/>
      <c r="CD109" s="615"/>
      <c r="CE109" s="615"/>
      <c r="CF109" s="615"/>
      <c r="CG109" s="615"/>
      <c r="CH109" s="615"/>
      <c r="CI109" s="615"/>
      <c r="CJ109" s="615"/>
      <c r="CK109" s="615"/>
      <c r="CL109" s="615"/>
      <c r="CM109" s="615"/>
      <c r="CN109" s="615"/>
      <c r="CO109" s="615"/>
    </row>
    <row r="110" spans="1:93" s="720" customFormat="1">
      <c r="A110" s="1691"/>
      <c r="B110" s="709" t="s">
        <v>3962</v>
      </c>
      <c r="C110" s="709"/>
      <c r="D110" s="711">
        <f>SUM(D111:D112)</f>
        <v>0</v>
      </c>
      <c r="E110" s="670"/>
      <c r="F110" s="655"/>
      <c r="G110" s="670"/>
      <c r="H110" s="670"/>
      <c r="I110" s="670"/>
      <c r="J110" s="1439"/>
      <c r="K110" s="1360"/>
      <c r="L110" s="719"/>
      <c r="M110" s="719"/>
      <c r="N110" s="719"/>
      <c r="O110" s="719"/>
      <c r="P110" s="615"/>
      <c r="Q110" s="615"/>
      <c r="R110" s="719"/>
      <c r="S110" s="615"/>
      <c r="T110" s="615"/>
      <c r="U110" s="615"/>
      <c r="V110" s="615"/>
      <c r="W110" s="615"/>
      <c r="X110" s="615"/>
      <c r="Y110" s="615"/>
      <c r="Z110" s="615"/>
      <c r="AA110" s="615"/>
      <c r="AB110" s="615"/>
      <c r="AC110" s="615"/>
      <c r="AD110" s="615"/>
      <c r="AE110" s="615"/>
      <c r="AF110" s="615"/>
      <c r="AG110" s="615"/>
      <c r="AH110" s="615"/>
      <c r="AI110" s="615"/>
      <c r="AJ110" s="615"/>
      <c r="AK110" s="615"/>
      <c r="AL110" s="615"/>
      <c r="AM110" s="615"/>
      <c r="AN110" s="615"/>
      <c r="AO110" s="615"/>
      <c r="AP110" s="615"/>
      <c r="AQ110" s="615"/>
      <c r="AR110" s="615"/>
      <c r="AS110" s="615"/>
      <c r="AT110" s="615"/>
      <c r="AU110" s="615"/>
      <c r="AV110" s="615"/>
      <c r="AW110" s="615"/>
      <c r="AX110" s="615"/>
      <c r="AY110" s="615"/>
      <c r="AZ110" s="615"/>
      <c r="BA110" s="615"/>
      <c r="BB110" s="615"/>
      <c r="BC110" s="615"/>
      <c r="BD110" s="615"/>
      <c r="BE110" s="615"/>
      <c r="BF110" s="615"/>
      <c r="BG110" s="615"/>
      <c r="BH110" s="615"/>
      <c r="BI110" s="615"/>
      <c r="BJ110" s="615"/>
      <c r="BK110" s="615"/>
      <c r="BL110" s="615"/>
      <c r="BM110" s="615"/>
      <c r="BN110" s="615"/>
      <c r="BO110" s="615"/>
      <c r="BP110" s="615"/>
      <c r="BQ110" s="615"/>
      <c r="BR110" s="615"/>
      <c r="BS110" s="615"/>
      <c r="BT110" s="615"/>
      <c r="BU110" s="615"/>
      <c r="BV110" s="615"/>
      <c r="BW110" s="615"/>
      <c r="BX110" s="615"/>
      <c r="BY110" s="615"/>
      <c r="BZ110" s="615"/>
      <c r="CA110" s="615"/>
      <c r="CB110" s="615"/>
      <c r="CC110" s="615"/>
      <c r="CD110" s="615"/>
      <c r="CE110" s="615"/>
      <c r="CF110" s="615"/>
      <c r="CG110" s="615"/>
      <c r="CH110" s="615"/>
      <c r="CI110" s="615"/>
      <c r="CJ110" s="615"/>
      <c r="CK110" s="615"/>
      <c r="CL110" s="615"/>
      <c r="CM110" s="615"/>
      <c r="CN110" s="615"/>
      <c r="CO110" s="615"/>
    </row>
    <row r="111" spans="1:93" s="720" customFormat="1">
      <c r="A111" s="1691"/>
      <c r="B111" s="708" t="s">
        <v>2271</v>
      </c>
      <c r="C111" s="709"/>
      <c r="D111" s="1288">
        <v>350000</v>
      </c>
      <c r="E111" s="670"/>
      <c r="F111" s="658"/>
      <c r="G111" s="670"/>
      <c r="H111" s="670"/>
      <c r="I111" s="670"/>
      <c r="J111" s="1448"/>
      <c r="K111" s="1360"/>
      <c r="L111" s="719"/>
      <c r="M111" s="719"/>
      <c r="N111" s="719"/>
      <c r="O111" s="719"/>
      <c r="P111" s="615"/>
      <c r="Q111" s="615"/>
      <c r="R111" s="719"/>
      <c r="S111" s="615"/>
      <c r="T111" s="615"/>
      <c r="U111" s="615"/>
      <c r="V111" s="615"/>
      <c r="W111" s="615"/>
      <c r="X111" s="615"/>
      <c r="Y111" s="615"/>
      <c r="Z111" s="615"/>
      <c r="AA111" s="615"/>
      <c r="AB111" s="615"/>
      <c r="AC111" s="615"/>
      <c r="AD111" s="615"/>
      <c r="AE111" s="615"/>
      <c r="AF111" s="615"/>
      <c r="AG111" s="615"/>
      <c r="AH111" s="615"/>
      <c r="AI111" s="615"/>
      <c r="AJ111" s="615"/>
      <c r="AK111" s="615"/>
      <c r="AL111" s="615"/>
      <c r="AM111" s="615"/>
      <c r="AN111" s="615"/>
      <c r="AO111" s="615"/>
      <c r="AP111" s="615"/>
      <c r="AQ111" s="615"/>
      <c r="AR111" s="615"/>
      <c r="AS111" s="615"/>
      <c r="AT111" s="615"/>
      <c r="AU111" s="615"/>
      <c r="AV111" s="615"/>
      <c r="AW111" s="615"/>
      <c r="AX111" s="615"/>
      <c r="AY111" s="615"/>
      <c r="AZ111" s="615"/>
      <c r="BA111" s="615"/>
      <c r="BB111" s="615"/>
      <c r="BC111" s="615"/>
      <c r="BD111" s="615"/>
      <c r="BE111" s="615"/>
      <c r="BF111" s="615"/>
      <c r="BG111" s="615"/>
      <c r="BH111" s="615"/>
      <c r="BI111" s="615"/>
      <c r="BJ111" s="615"/>
      <c r="BK111" s="615"/>
      <c r="BL111" s="615"/>
      <c r="BM111" s="615"/>
      <c r="BN111" s="615"/>
      <c r="BO111" s="615"/>
      <c r="BP111" s="615"/>
      <c r="BQ111" s="615"/>
      <c r="BR111" s="615"/>
      <c r="BS111" s="615"/>
      <c r="BT111" s="615"/>
      <c r="BU111" s="615"/>
      <c r="BV111" s="615"/>
      <c r="BW111" s="615"/>
      <c r="BX111" s="615"/>
      <c r="BY111" s="615"/>
      <c r="BZ111" s="615"/>
      <c r="CA111" s="615"/>
      <c r="CB111" s="615"/>
      <c r="CC111" s="615"/>
      <c r="CD111" s="615"/>
      <c r="CE111" s="615"/>
      <c r="CF111" s="615"/>
      <c r="CG111" s="615"/>
      <c r="CH111" s="615"/>
      <c r="CI111" s="615"/>
      <c r="CJ111" s="615"/>
      <c r="CK111" s="615"/>
      <c r="CL111" s="615"/>
      <c r="CM111" s="615"/>
      <c r="CN111" s="615"/>
      <c r="CO111" s="615"/>
    </row>
    <row r="112" spans="1:93" s="720" customFormat="1">
      <c r="A112" s="1691"/>
      <c r="B112" s="708" t="s">
        <v>2272</v>
      </c>
      <c r="C112" s="709"/>
      <c r="D112" s="716">
        <v>-350000</v>
      </c>
      <c r="E112" s="670"/>
      <c r="F112" s="659"/>
      <c r="G112" s="670"/>
      <c r="H112" s="670"/>
      <c r="I112" s="670"/>
      <c r="J112" s="1444"/>
      <c r="K112" s="1360"/>
      <c r="L112" s="719"/>
      <c r="M112" s="719"/>
      <c r="N112" s="719"/>
      <c r="O112" s="719"/>
      <c r="P112" s="615"/>
      <c r="Q112" s="615"/>
      <c r="R112" s="719"/>
      <c r="S112" s="615"/>
      <c r="T112" s="615"/>
      <c r="U112" s="615"/>
      <c r="V112" s="615"/>
      <c r="W112" s="615"/>
      <c r="X112" s="615"/>
      <c r="Y112" s="615"/>
      <c r="Z112" s="615"/>
      <c r="AA112" s="615"/>
      <c r="AB112" s="615"/>
      <c r="AC112" s="615"/>
      <c r="AD112" s="615"/>
      <c r="AE112" s="615"/>
      <c r="AF112" s="615"/>
      <c r="AG112" s="615"/>
      <c r="AH112" s="615"/>
      <c r="AI112" s="615"/>
      <c r="AJ112" s="615"/>
      <c r="AK112" s="615"/>
      <c r="AL112" s="615"/>
      <c r="AM112" s="615"/>
      <c r="AN112" s="615"/>
      <c r="AO112" s="615"/>
      <c r="AP112" s="615"/>
      <c r="AQ112" s="615"/>
      <c r="AR112" s="615"/>
      <c r="AS112" s="615"/>
      <c r="AT112" s="615"/>
      <c r="AU112" s="615"/>
      <c r="AV112" s="615"/>
      <c r="AW112" s="615"/>
      <c r="AX112" s="615"/>
      <c r="AY112" s="615"/>
      <c r="AZ112" s="615"/>
      <c r="BA112" s="615"/>
      <c r="BB112" s="615"/>
      <c r="BC112" s="615"/>
      <c r="BD112" s="615"/>
      <c r="BE112" s="615"/>
      <c r="BF112" s="615"/>
      <c r="BG112" s="615"/>
      <c r="BH112" s="615"/>
      <c r="BI112" s="615"/>
      <c r="BJ112" s="615"/>
      <c r="BK112" s="615"/>
      <c r="BL112" s="615"/>
      <c r="BM112" s="615"/>
      <c r="BN112" s="615"/>
      <c r="BO112" s="615"/>
      <c r="BP112" s="615"/>
      <c r="BQ112" s="615"/>
      <c r="BR112" s="615"/>
      <c r="BS112" s="615"/>
      <c r="BT112" s="615"/>
      <c r="BU112" s="615"/>
      <c r="BV112" s="615"/>
      <c r="BW112" s="615"/>
      <c r="BX112" s="615"/>
      <c r="BY112" s="615"/>
      <c r="BZ112" s="615"/>
      <c r="CA112" s="615"/>
      <c r="CB112" s="615"/>
      <c r="CC112" s="615"/>
      <c r="CD112" s="615"/>
      <c r="CE112" s="615"/>
      <c r="CF112" s="615"/>
      <c r="CG112" s="615"/>
      <c r="CH112" s="615"/>
      <c r="CI112" s="615"/>
      <c r="CJ112" s="615"/>
      <c r="CK112" s="615"/>
      <c r="CL112" s="615"/>
      <c r="CM112" s="615"/>
      <c r="CN112" s="615"/>
      <c r="CO112" s="615"/>
    </row>
    <row r="113" spans="1:93" s="720" customFormat="1">
      <c r="A113" s="1691"/>
      <c r="B113" s="1332"/>
      <c r="C113" s="709"/>
      <c r="D113" s="1289"/>
      <c r="E113" s="670"/>
      <c r="F113" s="482"/>
      <c r="G113" s="670"/>
      <c r="H113" s="670"/>
      <c r="I113" s="670"/>
      <c r="J113" s="1445"/>
      <c r="K113" s="1360"/>
      <c r="L113" s="719"/>
      <c r="M113" s="719"/>
      <c r="N113" s="719"/>
      <c r="O113" s="719"/>
      <c r="P113" s="615"/>
      <c r="Q113" s="615"/>
      <c r="R113" s="719"/>
      <c r="S113" s="615"/>
      <c r="T113" s="615"/>
      <c r="U113" s="615"/>
      <c r="V113" s="615"/>
      <c r="W113" s="615"/>
      <c r="X113" s="615"/>
      <c r="Y113" s="615"/>
      <c r="Z113" s="615"/>
      <c r="AA113" s="615"/>
      <c r="AB113" s="615"/>
      <c r="AC113" s="615"/>
      <c r="AD113" s="615"/>
      <c r="AE113" s="615"/>
      <c r="AF113" s="615"/>
      <c r="AG113" s="615"/>
      <c r="AH113" s="615"/>
      <c r="AI113" s="615"/>
      <c r="AJ113" s="615"/>
      <c r="AK113" s="615"/>
      <c r="AL113" s="615"/>
      <c r="AM113" s="615"/>
      <c r="AN113" s="615"/>
      <c r="AO113" s="615"/>
      <c r="AP113" s="615"/>
      <c r="AQ113" s="615"/>
      <c r="AR113" s="615"/>
      <c r="AS113" s="615"/>
      <c r="AT113" s="615"/>
      <c r="AU113" s="615"/>
      <c r="AV113" s="615"/>
      <c r="AW113" s="615"/>
      <c r="AX113" s="615"/>
      <c r="AY113" s="615"/>
      <c r="AZ113" s="615"/>
      <c r="BA113" s="615"/>
      <c r="BB113" s="615"/>
      <c r="BC113" s="615"/>
      <c r="BD113" s="615"/>
      <c r="BE113" s="615"/>
      <c r="BF113" s="615"/>
      <c r="BG113" s="615"/>
      <c r="BH113" s="615"/>
      <c r="BI113" s="615"/>
      <c r="BJ113" s="615"/>
      <c r="BK113" s="615"/>
      <c r="BL113" s="615"/>
      <c r="BM113" s="615"/>
      <c r="BN113" s="615"/>
      <c r="BO113" s="615"/>
      <c r="BP113" s="615"/>
      <c r="BQ113" s="615"/>
      <c r="BR113" s="615"/>
      <c r="BS113" s="615"/>
      <c r="BT113" s="615"/>
      <c r="BU113" s="615"/>
      <c r="BV113" s="615"/>
      <c r="BW113" s="615"/>
      <c r="BX113" s="615"/>
      <c r="BY113" s="615"/>
      <c r="BZ113" s="615"/>
      <c r="CA113" s="615"/>
      <c r="CB113" s="615"/>
      <c r="CC113" s="615"/>
      <c r="CD113" s="615"/>
      <c r="CE113" s="615"/>
      <c r="CF113" s="615"/>
      <c r="CG113" s="615"/>
      <c r="CH113" s="615"/>
      <c r="CI113" s="615"/>
      <c r="CJ113" s="615"/>
      <c r="CK113" s="615"/>
      <c r="CL113" s="615"/>
      <c r="CM113" s="615"/>
      <c r="CN113" s="615"/>
      <c r="CO113" s="615"/>
    </row>
    <row r="114" spans="1:93" s="720" customFormat="1">
      <c r="A114" s="1691"/>
      <c r="B114" s="1284" t="s">
        <v>3961</v>
      </c>
      <c r="C114" s="615"/>
      <c r="D114" s="719"/>
      <c r="E114" s="615"/>
      <c r="F114" s="615"/>
      <c r="G114" s="615"/>
      <c r="H114" s="615"/>
      <c r="I114" s="615"/>
      <c r="J114" s="1692"/>
      <c r="K114" s="1360"/>
      <c r="L114" s="719"/>
      <c r="M114" s="719"/>
      <c r="N114" s="719"/>
      <c r="O114" s="719"/>
      <c r="P114" s="615"/>
      <c r="Q114" s="615"/>
      <c r="R114" s="719"/>
      <c r="S114" s="615"/>
      <c r="T114" s="615"/>
      <c r="U114" s="615"/>
      <c r="V114" s="615"/>
      <c r="W114" s="615"/>
      <c r="X114" s="615"/>
      <c r="Y114" s="615"/>
      <c r="Z114" s="615"/>
      <c r="AA114" s="615"/>
      <c r="AB114" s="615"/>
      <c r="AC114" s="615"/>
      <c r="AD114" s="615"/>
      <c r="AE114" s="615"/>
      <c r="AF114" s="615"/>
      <c r="AG114" s="615"/>
      <c r="AH114" s="615"/>
      <c r="AI114" s="615"/>
      <c r="AJ114" s="615"/>
      <c r="AK114" s="615"/>
      <c r="AL114" s="615"/>
      <c r="AM114" s="615"/>
      <c r="AN114" s="615"/>
      <c r="AO114" s="615"/>
      <c r="AP114" s="615"/>
      <c r="AQ114" s="615"/>
      <c r="AR114" s="615"/>
      <c r="AS114" s="615"/>
      <c r="AT114" s="615"/>
      <c r="AU114" s="615"/>
      <c r="AV114" s="615"/>
      <c r="AW114" s="615"/>
      <c r="AX114" s="615"/>
      <c r="AY114" s="615"/>
      <c r="AZ114" s="615"/>
      <c r="BA114" s="615"/>
      <c r="BB114" s="615"/>
      <c r="BC114" s="615"/>
      <c r="BD114" s="615"/>
      <c r="BE114" s="615"/>
      <c r="BF114" s="615"/>
      <c r="BG114" s="615"/>
      <c r="BH114" s="615"/>
      <c r="BI114" s="615"/>
      <c r="BJ114" s="615"/>
      <c r="BK114" s="615"/>
      <c r="BL114" s="615"/>
      <c r="BM114" s="615"/>
      <c r="BN114" s="615"/>
      <c r="BO114" s="615"/>
      <c r="BP114" s="615"/>
      <c r="BQ114" s="615"/>
      <c r="BR114" s="615"/>
      <c r="BS114" s="615"/>
      <c r="BT114" s="615"/>
      <c r="BU114" s="615"/>
      <c r="BV114" s="615"/>
      <c r="BW114" s="615"/>
      <c r="BX114" s="615"/>
      <c r="BY114" s="615"/>
      <c r="BZ114" s="615"/>
      <c r="CA114" s="615"/>
      <c r="CB114" s="615"/>
      <c r="CC114" s="615"/>
      <c r="CD114" s="615"/>
      <c r="CE114" s="615"/>
      <c r="CF114" s="615"/>
      <c r="CG114" s="615"/>
      <c r="CH114" s="615"/>
      <c r="CI114" s="615"/>
      <c r="CJ114" s="615"/>
      <c r="CK114" s="615"/>
      <c r="CL114" s="615"/>
      <c r="CM114" s="615"/>
      <c r="CN114" s="615"/>
      <c r="CO114" s="615"/>
    </row>
    <row r="115" spans="1:93">
      <c r="A115" s="1596"/>
      <c r="B115" s="699"/>
      <c r="C115" s="699"/>
      <c r="D115" s="700"/>
      <c r="E115" s="699"/>
      <c r="F115" s="700"/>
      <c r="G115" s="699"/>
      <c r="H115" s="699"/>
      <c r="I115" s="699"/>
      <c r="J115" s="1570"/>
      <c r="K115" s="1352"/>
      <c r="L115" s="655"/>
      <c r="M115" s="655"/>
      <c r="N115" s="655"/>
      <c r="O115" s="655"/>
      <c r="P115" s="670"/>
      <c r="Q115" s="670"/>
      <c r="R115" s="655"/>
      <c r="S115" s="670"/>
      <c r="T115" s="670"/>
      <c r="U115" s="670"/>
      <c r="V115" s="670"/>
      <c r="W115" s="670"/>
      <c r="X115" s="670"/>
      <c r="Y115" s="670"/>
      <c r="Z115" s="670"/>
      <c r="AA115" s="670"/>
      <c r="AB115" s="670"/>
      <c r="AC115" s="670"/>
      <c r="AD115" s="670"/>
      <c r="AE115" s="670"/>
      <c r="AF115" s="670"/>
      <c r="AG115" s="670"/>
      <c r="AH115" s="670"/>
      <c r="AI115" s="670"/>
      <c r="AJ115" s="670"/>
      <c r="AK115" s="670"/>
      <c r="AL115" s="670"/>
      <c r="AM115" s="670"/>
      <c r="AN115" s="670"/>
      <c r="AO115" s="670"/>
      <c r="AP115" s="670"/>
      <c r="AQ115" s="670"/>
      <c r="AR115" s="670"/>
      <c r="AS115" s="670"/>
      <c r="AT115" s="670"/>
      <c r="AU115" s="670"/>
      <c r="AV115" s="670"/>
      <c r="AW115" s="670"/>
      <c r="AX115" s="670"/>
      <c r="AY115" s="670"/>
      <c r="AZ115" s="670"/>
      <c r="BA115" s="670"/>
      <c r="BB115" s="670"/>
      <c r="BC115" s="670"/>
      <c r="BD115" s="670"/>
      <c r="BE115" s="670"/>
      <c r="BF115" s="670"/>
      <c r="BG115" s="670"/>
      <c r="BH115" s="670"/>
      <c r="BI115" s="670"/>
      <c r="BJ115" s="670"/>
      <c r="BK115" s="670"/>
      <c r="BL115" s="670"/>
      <c r="BM115" s="670"/>
      <c r="BN115" s="670"/>
      <c r="BO115" s="670"/>
      <c r="BP115" s="670"/>
      <c r="BQ115" s="670"/>
      <c r="BR115" s="670"/>
      <c r="BS115" s="670"/>
      <c r="BT115" s="670"/>
      <c r="BU115" s="670"/>
      <c r="BV115" s="670"/>
      <c r="BW115" s="670"/>
      <c r="BX115" s="670"/>
      <c r="BY115" s="670"/>
      <c r="BZ115" s="670"/>
      <c r="CA115" s="670"/>
      <c r="CB115" s="670"/>
      <c r="CC115" s="670"/>
      <c r="CD115" s="670"/>
      <c r="CE115" s="670"/>
      <c r="CF115" s="670"/>
      <c r="CG115" s="670"/>
      <c r="CH115" s="670"/>
      <c r="CI115" s="670"/>
      <c r="CJ115" s="670"/>
      <c r="CK115" s="670"/>
      <c r="CL115" s="670"/>
      <c r="CM115" s="670"/>
      <c r="CN115" s="670"/>
      <c r="CO115" s="670"/>
    </row>
    <row r="116" spans="1:93">
      <c r="A116" s="1684"/>
      <c r="B116" s="677"/>
      <c r="C116" s="677"/>
      <c r="D116" s="676"/>
      <c r="E116" s="677"/>
      <c r="F116" s="676"/>
      <c r="G116" s="677"/>
      <c r="H116" s="677"/>
      <c r="I116" s="677"/>
      <c r="J116" s="1572"/>
      <c r="K116" s="1353"/>
      <c r="L116" s="655"/>
      <c r="M116" s="655"/>
      <c r="N116" s="655"/>
      <c r="O116" s="655"/>
      <c r="P116" s="655"/>
      <c r="Q116" s="670"/>
      <c r="R116" s="655"/>
      <c r="S116" s="670"/>
      <c r="T116" s="670"/>
      <c r="U116" s="670"/>
      <c r="V116" s="670"/>
      <c r="W116" s="670"/>
      <c r="X116" s="670"/>
      <c r="Y116" s="670"/>
      <c r="Z116" s="670"/>
      <c r="AA116" s="670"/>
      <c r="AB116" s="670"/>
      <c r="AC116" s="670"/>
      <c r="AD116" s="670"/>
      <c r="AE116" s="670"/>
      <c r="AF116" s="670"/>
      <c r="AG116" s="670"/>
      <c r="AH116" s="670"/>
      <c r="AI116" s="670"/>
      <c r="AJ116" s="670"/>
      <c r="AK116" s="670"/>
      <c r="AL116" s="670"/>
      <c r="AM116" s="670"/>
      <c r="AN116" s="670"/>
      <c r="AO116" s="670"/>
      <c r="AP116" s="670"/>
      <c r="AQ116" s="670"/>
      <c r="AR116" s="670"/>
      <c r="AS116" s="670"/>
      <c r="AT116" s="670"/>
      <c r="AU116" s="670"/>
      <c r="AV116" s="670"/>
      <c r="AW116" s="670"/>
      <c r="AX116" s="670"/>
      <c r="AY116" s="670"/>
      <c r="AZ116" s="670"/>
      <c r="BA116" s="670"/>
      <c r="BB116" s="670"/>
      <c r="BC116" s="670"/>
      <c r="BD116" s="670"/>
      <c r="BE116" s="670"/>
      <c r="BF116" s="670"/>
      <c r="BG116" s="670"/>
      <c r="BH116" s="670"/>
      <c r="BI116" s="670"/>
      <c r="BJ116" s="670"/>
      <c r="BK116" s="670"/>
      <c r="BL116" s="670"/>
      <c r="BM116" s="670"/>
      <c r="BN116" s="670"/>
      <c r="BO116" s="670"/>
      <c r="BP116" s="670"/>
      <c r="BQ116" s="670"/>
      <c r="BR116" s="670"/>
      <c r="BS116" s="670"/>
      <c r="BT116" s="670"/>
      <c r="BU116" s="670"/>
      <c r="BV116" s="670"/>
      <c r="BW116" s="670"/>
      <c r="BX116" s="670"/>
      <c r="BY116" s="670"/>
      <c r="BZ116" s="670"/>
      <c r="CA116" s="670"/>
      <c r="CB116" s="670"/>
      <c r="CC116" s="670"/>
      <c r="CD116" s="670"/>
      <c r="CE116" s="670"/>
      <c r="CF116" s="670"/>
      <c r="CG116" s="670"/>
      <c r="CH116" s="670"/>
      <c r="CI116" s="670"/>
      <c r="CJ116" s="670"/>
      <c r="CK116" s="670"/>
      <c r="CL116" s="670"/>
      <c r="CM116" s="670"/>
      <c r="CN116" s="670"/>
      <c r="CO116" s="670"/>
    </row>
    <row r="117" spans="1:93">
      <c r="A117" s="1590"/>
      <c r="B117" s="703"/>
      <c r="C117" s="703"/>
      <c r="D117" s="704" t="s">
        <v>3484</v>
      </c>
      <c r="E117" s="703"/>
      <c r="F117" s="704" t="s">
        <v>2651</v>
      </c>
      <c r="G117" s="703"/>
      <c r="H117" s="703"/>
      <c r="I117" s="703"/>
      <c r="J117" s="1440" t="s">
        <v>1634</v>
      </c>
      <c r="K117" s="1354"/>
      <c r="L117" s="655"/>
      <c r="M117" s="655"/>
      <c r="N117" s="655"/>
      <c r="O117" s="655"/>
      <c r="P117" s="655"/>
      <c r="Q117" s="670"/>
      <c r="R117" s="655"/>
      <c r="S117" s="670"/>
      <c r="T117" s="670"/>
      <c r="U117" s="670"/>
      <c r="V117" s="670"/>
      <c r="W117" s="670"/>
      <c r="X117" s="670"/>
      <c r="Y117" s="670"/>
      <c r="Z117" s="670"/>
      <c r="AA117" s="670"/>
      <c r="AB117" s="670"/>
      <c r="AC117" s="670"/>
      <c r="AD117" s="670"/>
      <c r="AE117" s="670"/>
      <c r="AF117" s="670"/>
      <c r="AG117" s="670"/>
      <c r="AH117" s="670"/>
      <c r="AI117" s="670"/>
      <c r="AJ117" s="670"/>
      <c r="AK117" s="670"/>
      <c r="AL117" s="670"/>
      <c r="AM117" s="670"/>
      <c r="AN117" s="670"/>
      <c r="AO117" s="670"/>
      <c r="AP117" s="670"/>
      <c r="AQ117" s="670"/>
      <c r="AR117" s="670"/>
      <c r="AS117" s="670"/>
      <c r="AT117" s="670"/>
      <c r="AU117" s="670"/>
      <c r="AV117" s="670"/>
      <c r="AW117" s="670"/>
      <c r="AX117" s="670"/>
      <c r="AY117" s="670"/>
      <c r="AZ117" s="670"/>
      <c r="BA117" s="670"/>
      <c r="BB117" s="670"/>
      <c r="BC117" s="670"/>
      <c r="BD117" s="670"/>
      <c r="BE117" s="670"/>
      <c r="BF117" s="670"/>
      <c r="BG117" s="670"/>
      <c r="BH117" s="670"/>
      <c r="BI117" s="670"/>
      <c r="BJ117" s="670"/>
      <c r="BK117" s="670"/>
      <c r="BL117" s="670"/>
      <c r="BM117" s="670"/>
      <c r="BN117" s="670"/>
      <c r="BO117" s="670"/>
      <c r="BP117" s="670"/>
      <c r="BQ117" s="670"/>
      <c r="BR117" s="670"/>
      <c r="BS117" s="670"/>
      <c r="BT117" s="670"/>
      <c r="BU117" s="670"/>
      <c r="BV117" s="670"/>
      <c r="BW117" s="670"/>
      <c r="BX117" s="670"/>
      <c r="BY117" s="670"/>
      <c r="BZ117" s="670"/>
      <c r="CA117" s="670"/>
      <c r="CB117" s="670"/>
      <c r="CC117" s="670"/>
      <c r="CD117" s="670"/>
      <c r="CE117" s="670"/>
      <c r="CF117" s="670"/>
      <c r="CG117" s="670"/>
      <c r="CH117" s="670"/>
      <c r="CI117" s="670"/>
      <c r="CJ117" s="670"/>
      <c r="CK117" s="670"/>
      <c r="CL117" s="670"/>
      <c r="CM117" s="670"/>
      <c r="CN117" s="670"/>
      <c r="CO117" s="670"/>
    </row>
    <row r="118" spans="1:93">
      <c r="A118" s="1590"/>
      <c r="B118" s="703"/>
      <c r="C118" s="703"/>
      <c r="D118" s="706"/>
      <c r="E118" s="703"/>
      <c r="F118" s="706" t="s">
        <v>2422</v>
      </c>
      <c r="G118" s="703"/>
      <c r="H118" s="703"/>
      <c r="I118" s="703"/>
      <c r="J118" s="1441" t="s">
        <v>2422</v>
      </c>
      <c r="K118" s="1354"/>
      <c r="L118" s="655"/>
      <c r="M118" s="655"/>
      <c r="N118" s="655"/>
      <c r="O118" s="655"/>
      <c r="P118" s="655"/>
      <c r="Q118" s="670"/>
      <c r="R118" s="655"/>
      <c r="S118" s="670"/>
      <c r="T118" s="670"/>
      <c r="U118" s="670"/>
      <c r="V118" s="670"/>
      <c r="W118" s="670"/>
      <c r="X118" s="670"/>
      <c r="Y118" s="670"/>
      <c r="Z118" s="670"/>
      <c r="AA118" s="670"/>
      <c r="AB118" s="670"/>
      <c r="AC118" s="670"/>
      <c r="AD118" s="670"/>
      <c r="AE118" s="670"/>
      <c r="AF118" s="670"/>
      <c r="AG118" s="670"/>
      <c r="AH118" s="670"/>
      <c r="AI118" s="670"/>
      <c r="AJ118" s="670"/>
      <c r="AK118" s="670"/>
      <c r="AL118" s="670"/>
      <c r="AM118" s="670"/>
      <c r="AN118" s="670"/>
      <c r="AO118" s="670"/>
      <c r="AP118" s="670"/>
      <c r="AQ118" s="670"/>
      <c r="AR118" s="670"/>
      <c r="AS118" s="670"/>
      <c r="AT118" s="670"/>
      <c r="AU118" s="670"/>
      <c r="AV118" s="670"/>
      <c r="AW118" s="670"/>
      <c r="AX118" s="670"/>
      <c r="AY118" s="670"/>
      <c r="AZ118" s="670"/>
      <c r="BA118" s="670"/>
      <c r="BB118" s="670"/>
      <c r="BC118" s="670"/>
      <c r="BD118" s="670"/>
      <c r="BE118" s="670"/>
      <c r="BF118" s="670"/>
      <c r="BG118" s="670"/>
      <c r="BH118" s="670"/>
      <c r="BI118" s="670"/>
      <c r="BJ118" s="670"/>
      <c r="BK118" s="670"/>
      <c r="BL118" s="670"/>
      <c r="BM118" s="670"/>
      <c r="BN118" s="670"/>
      <c r="BO118" s="670"/>
      <c r="BP118" s="670"/>
      <c r="BQ118" s="670"/>
      <c r="BR118" s="670"/>
      <c r="BS118" s="670"/>
      <c r="BT118" s="670"/>
      <c r="BU118" s="670"/>
      <c r="BV118" s="670"/>
      <c r="BW118" s="670"/>
      <c r="BX118" s="670"/>
      <c r="BY118" s="670"/>
      <c r="BZ118" s="670"/>
      <c r="CA118" s="670"/>
      <c r="CB118" s="670"/>
      <c r="CC118" s="670"/>
      <c r="CD118" s="670"/>
      <c r="CE118" s="670"/>
      <c r="CF118" s="670"/>
      <c r="CG118" s="670"/>
      <c r="CH118" s="670"/>
      <c r="CI118" s="670"/>
      <c r="CJ118" s="670"/>
      <c r="CK118" s="670"/>
      <c r="CL118" s="670"/>
      <c r="CM118" s="670"/>
      <c r="CN118" s="670"/>
      <c r="CO118" s="670"/>
    </row>
    <row r="119" spans="1:93" ht="25.5">
      <c r="A119" s="1679" t="s">
        <v>720</v>
      </c>
      <c r="B119" s="709" t="s">
        <v>422</v>
      </c>
      <c r="C119" s="709"/>
      <c r="D119" s="711"/>
      <c r="E119" s="682"/>
      <c r="F119" s="655"/>
      <c r="G119" s="670"/>
      <c r="H119" s="670"/>
      <c r="I119" s="670"/>
      <c r="J119" s="1439"/>
      <c r="K119" s="1356"/>
      <c r="L119" s="655"/>
      <c r="M119" s="655"/>
      <c r="N119" s="655"/>
      <c r="O119" s="655"/>
      <c r="P119" s="655"/>
      <c r="Q119" s="670"/>
      <c r="R119" s="655"/>
      <c r="S119" s="670"/>
      <c r="T119" s="670"/>
      <c r="U119" s="670"/>
      <c r="V119" s="670"/>
      <c r="W119" s="670"/>
      <c r="X119" s="670"/>
      <c r="Y119" s="670"/>
      <c r="Z119" s="670"/>
      <c r="AA119" s="670"/>
      <c r="AB119" s="670"/>
      <c r="AC119" s="670"/>
      <c r="AD119" s="670"/>
      <c r="AE119" s="670"/>
      <c r="AF119" s="670"/>
      <c r="AG119" s="670"/>
      <c r="AH119" s="670"/>
      <c r="AI119" s="670"/>
      <c r="AJ119" s="670"/>
      <c r="AK119" s="670"/>
      <c r="AL119" s="670"/>
      <c r="AM119" s="670"/>
      <c r="AN119" s="670"/>
      <c r="AO119" s="670"/>
      <c r="AP119" s="670"/>
      <c r="AQ119" s="670"/>
      <c r="AR119" s="670"/>
      <c r="AS119" s="670"/>
      <c r="AT119" s="670"/>
      <c r="AU119" s="670"/>
      <c r="AV119" s="670"/>
      <c r="AW119" s="670"/>
      <c r="AX119" s="670"/>
      <c r="AY119" s="670"/>
      <c r="AZ119" s="670"/>
      <c r="BA119" s="670"/>
      <c r="BB119" s="670"/>
      <c r="BC119" s="670"/>
      <c r="BD119" s="670"/>
      <c r="BE119" s="670"/>
      <c r="BF119" s="670"/>
      <c r="BG119" s="670"/>
      <c r="BH119" s="670"/>
      <c r="BI119" s="670"/>
      <c r="BJ119" s="670"/>
      <c r="BK119" s="670"/>
      <c r="BL119" s="670"/>
      <c r="BM119" s="670"/>
      <c r="BN119" s="670"/>
      <c r="BO119" s="670"/>
      <c r="BP119" s="670"/>
      <c r="BQ119" s="670"/>
      <c r="BR119" s="670"/>
      <c r="BS119" s="670"/>
      <c r="BT119" s="670"/>
      <c r="BU119" s="670"/>
      <c r="BV119" s="670"/>
      <c r="BW119" s="670"/>
      <c r="BX119" s="670"/>
      <c r="BY119" s="670"/>
      <c r="BZ119" s="670"/>
      <c r="CA119" s="670"/>
      <c r="CB119" s="670"/>
      <c r="CC119" s="670"/>
      <c r="CD119" s="670"/>
      <c r="CE119" s="670"/>
      <c r="CF119" s="670"/>
      <c r="CG119" s="670"/>
      <c r="CH119" s="670"/>
      <c r="CI119" s="670"/>
      <c r="CJ119" s="670"/>
      <c r="CK119" s="670"/>
      <c r="CL119" s="670"/>
      <c r="CM119" s="670"/>
      <c r="CN119" s="670"/>
      <c r="CO119" s="670"/>
    </row>
    <row r="120" spans="1:93">
      <c r="A120" s="1590"/>
      <c r="B120" s="708" t="s">
        <v>2449</v>
      </c>
      <c r="C120" s="708"/>
      <c r="D120" s="715"/>
      <c r="E120" s="670"/>
      <c r="F120" s="658"/>
      <c r="G120" s="670"/>
      <c r="H120" s="670"/>
      <c r="I120" s="670"/>
      <c r="J120" s="1448"/>
      <c r="K120" s="1355"/>
      <c r="L120" s="655"/>
      <c r="M120" s="655"/>
      <c r="N120" s="655"/>
      <c r="O120" s="655"/>
      <c r="P120" s="655"/>
      <c r="Q120" s="670"/>
      <c r="R120" s="655"/>
      <c r="S120" s="670"/>
      <c r="T120" s="670"/>
      <c r="U120" s="670"/>
      <c r="V120" s="670"/>
      <c r="W120" s="670"/>
      <c r="X120" s="670"/>
      <c r="Y120" s="670"/>
      <c r="Z120" s="670"/>
      <c r="AA120" s="670"/>
      <c r="AB120" s="670"/>
      <c r="AC120" s="670"/>
      <c r="AD120" s="670"/>
      <c r="AE120" s="670"/>
      <c r="AF120" s="670"/>
      <c r="AG120" s="670"/>
      <c r="AH120" s="670"/>
      <c r="AI120" s="670"/>
      <c r="AJ120" s="670"/>
      <c r="AK120" s="670"/>
      <c r="AL120" s="670"/>
      <c r="AM120" s="670"/>
      <c r="AN120" s="670"/>
      <c r="AO120" s="670"/>
      <c r="AP120" s="670"/>
      <c r="AQ120" s="670"/>
      <c r="AR120" s="670"/>
      <c r="AS120" s="670"/>
      <c r="AT120" s="670"/>
      <c r="AU120" s="670"/>
      <c r="AV120" s="670"/>
      <c r="AW120" s="670"/>
      <c r="AX120" s="670"/>
      <c r="AY120" s="670"/>
      <c r="AZ120" s="670"/>
      <c r="BA120" s="670"/>
      <c r="BB120" s="670"/>
      <c r="BC120" s="670"/>
      <c r="BD120" s="670"/>
      <c r="BE120" s="670"/>
      <c r="BF120" s="670"/>
      <c r="BG120" s="670"/>
      <c r="BH120" s="670"/>
      <c r="BI120" s="670"/>
      <c r="BJ120" s="670"/>
      <c r="BK120" s="670"/>
      <c r="BL120" s="670"/>
      <c r="BM120" s="670"/>
      <c r="BN120" s="670"/>
      <c r="BO120" s="670"/>
      <c r="BP120" s="670"/>
      <c r="BQ120" s="670"/>
      <c r="BR120" s="670"/>
      <c r="BS120" s="670"/>
      <c r="BT120" s="670"/>
      <c r="BU120" s="670"/>
      <c r="BV120" s="670"/>
      <c r="BW120" s="670"/>
      <c r="BX120" s="670"/>
      <c r="BY120" s="670"/>
      <c r="BZ120" s="670"/>
      <c r="CA120" s="670"/>
      <c r="CB120" s="670"/>
      <c r="CC120" s="670"/>
      <c r="CD120" s="670"/>
      <c r="CE120" s="670"/>
      <c r="CF120" s="670"/>
      <c r="CG120" s="670"/>
      <c r="CH120" s="670"/>
      <c r="CI120" s="670"/>
      <c r="CJ120" s="670"/>
      <c r="CK120" s="670"/>
      <c r="CL120" s="670"/>
      <c r="CM120" s="670"/>
      <c r="CN120" s="670"/>
      <c r="CO120" s="670"/>
    </row>
    <row r="121" spans="1:93">
      <c r="A121" s="1590"/>
      <c r="B121" s="708" t="s">
        <v>423</v>
      </c>
      <c r="C121" s="708"/>
      <c r="D121" s="716"/>
      <c r="E121" s="670"/>
      <c r="F121" s="659"/>
      <c r="G121" s="670"/>
      <c r="H121" s="670"/>
      <c r="I121" s="670"/>
      <c r="J121" s="1444"/>
      <c r="K121" s="1355"/>
      <c r="L121" s="655"/>
      <c r="M121" s="655"/>
      <c r="N121" s="655"/>
      <c r="O121" s="655"/>
      <c r="P121" s="655"/>
      <c r="Q121" s="670"/>
      <c r="R121" s="655"/>
      <c r="S121" s="670"/>
      <c r="T121" s="670"/>
      <c r="U121" s="670"/>
      <c r="V121" s="670"/>
      <c r="W121" s="670"/>
      <c r="X121" s="670"/>
      <c r="Y121" s="670"/>
      <c r="Z121" s="670"/>
      <c r="AA121" s="670"/>
      <c r="AB121" s="670"/>
      <c r="AC121" s="670"/>
      <c r="AD121" s="670"/>
      <c r="AE121" s="670"/>
      <c r="AF121" s="670"/>
      <c r="AG121" s="670"/>
      <c r="AH121" s="670"/>
      <c r="AI121" s="670"/>
      <c r="AJ121" s="670"/>
      <c r="AK121" s="670"/>
      <c r="AL121" s="670"/>
      <c r="AM121" s="670"/>
      <c r="AN121" s="670"/>
      <c r="AO121" s="670"/>
      <c r="AP121" s="670"/>
      <c r="AQ121" s="670"/>
      <c r="AR121" s="670"/>
      <c r="AS121" s="670"/>
      <c r="AT121" s="670"/>
      <c r="AU121" s="670"/>
      <c r="AV121" s="670"/>
      <c r="AW121" s="670"/>
      <c r="AX121" s="670"/>
      <c r="AY121" s="670"/>
      <c r="AZ121" s="670"/>
      <c r="BA121" s="670"/>
      <c r="BB121" s="670"/>
      <c r="BC121" s="670"/>
      <c r="BD121" s="670"/>
      <c r="BE121" s="670"/>
      <c r="BF121" s="670"/>
      <c r="BG121" s="670"/>
      <c r="BH121" s="670"/>
      <c r="BI121" s="670"/>
      <c r="BJ121" s="670"/>
      <c r="BK121" s="670"/>
      <c r="BL121" s="670"/>
      <c r="BM121" s="670"/>
      <c r="BN121" s="670"/>
      <c r="BO121" s="670"/>
      <c r="BP121" s="670"/>
      <c r="BQ121" s="670"/>
      <c r="BR121" s="670"/>
      <c r="BS121" s="670"/>
      <c r="BT121" s="670"/>
      <c r="BU121" s="670"/>
      <c r="BV121" s="670"/>
      <c r="BW121" s="670"/>
      <c r="BX121" s="670"/>
      <c r="BY121" s="670"/>
      <c r="BZ121" s="670"/>
      <c r="CA121" s="670"/>
      <c r="CB121" s="670"/>
      <c r="CC121" s="670"/>
      <c r="CD121" s="670"/>
      <c r="CE121" s="670"/>
      <c r="CF121" s="670"/>
      <c r="CG121" s="670"/>
      <c r="CH121" s="670"/>
      <c r="CI121" s="670"/>
      <c r="CJ121" s="670"/>
      <c r="CK121" s="670"/>
      <c r="CL121" s="670"/>
      <c r="CM121" s="670"/>
      <c r="CN121" s="670"/>
      <c r="CO121" s="670"/>
    </row>
    <row r="122" spans="1:93">
      <c r="A122" s="1590"/>
      <c r="B122" s="708" t="s">
        <v>424</v>
      </c>
      <c r="C122" s="708"/>
      <c r="D122" s="717"/>
      <c r="E122" s="670"/>
      <c r="F122" s="482"/>
      <c r="G122" s="670"/>
      <c r="H122" s="670"/>
      <c r="I122" s="670"/>
      <c r="J122" s="1445"/>
      <c r="K122" s="1355"/>
      <c r="L122" s="655"/>
      <c r="M122" s="655"/>
      <c r="N122" s="655"/>
      <c r="O122" s="655"/>
      <c r="P122" s="655"/>
      <c r="Q122" s="670"/>
      <c r="R122" s="655"/>
      <c r="S122" s="670"/>
      <c r="T122" s="670"/>
      <c r="U122" s="670"/>
      <c r="V122" s="670"/>
      <c r="W122" s="670"/>
      <c r="X122" s="670"/>
      <c r="Y122" s="670"/>
      <c r="Z122" s="670"/>
      <c r="AA122" s="670"/>
      <c r="AB122" s="670"/>
      <c r="AC122" s="670"/>
      <c r="AD122" s="670"/>
      <c r="AE122" s="670"/>
      <c r="AF122" s="670"/>
      <c r="AG122" s="670"/>
      <c r="AH122" s="670"/>
      <c r="AI122" s="670"/>
      <c r="AJ122" s="670"/>
      <c r="AK122" s="670"/>
      <c r="AL122" s="670"/>
      <c r="AM122" s="670"/>
      <c r="AN122" s="670"/>
      <c r="AO122" s="670"/>
      <c r="AP122" s="670"/>
      <c r="AQ122" s="670"/>
      <c r="AR122" s="670"/>
      <c r="AS122" s="670"/>
      <c r="AT122" s="670"/>
      <c r="AU122" s="670"/>
      <c r="AV122" s="670"/>
      <c r="AW122" s="670"/>
      <c r="AX122" s="670"/>
      <c r="AY122" s="670"/>
      <c r="AZ122" s="670"/>
      <c r="BA122" s="670"/>
      <c r="BB122" s="670"/>
      <c r="BC122" s="670"/>
      <c r="BD122" s="670"/>
      <c r="BE122" s="670"/>
      <c r="BF122" s="670"/>
      <c r="BG122" s="670"/>
      <c r="BH122" s="670"/>
      <c r="BI122" s="670"/>
      <c r="BJ122" s="670"/>
      <c r="BK122" s="670"/>
      <c r="BL122" s="670"/>
      <c r="BM122" s="670"/>
      <c r="BN122" s="670"/>
      <c r="BO122" s="670"/>
      <c r="BP122" s="670"/>
      <c r="BQ122" s="670"/>
      <c r="BR122" s="670"/>
      <c r="BS122" s="670"/>
      <c r="BT122" s="670"/>
      <c r="BU122" s="670"/>
      <c r="BV122" s="670"/>
      <c r="BW122" s="670"/>
      <c r="BX122" s="670"/>
      <c r="BY122" s="670"/>
      <c r="BZ122" s="670"/>
      <c r="CA122" s="670"/>
      <c r="CB122" s="670"/>
      <c r="CC122" s="670"/>
      <c r="CD122" s="670"/>
      <c r="CE122" s="670"/>
      <c r="CF122" s="670"/>
      <c r="CG122" s="670"/>
      <c r="CH122" s="670"/>
      <c r="CI122" s="670"/>
      <c r="CJ122" s="670"/>
      <c r="CK122" s="670"/>
      <c r="CL122" s="670"/>
      <c r="CM122" s="670"/>
      <c r="CN122" s="670"/>
      <c r="CO122" s="670"/>
    </row>
    <row r="123" spans="1:93" ht="13.5" thickBot="1">
      <c r="A123" s="1590"/>
      <c r="B123" s="709" t="s">
        <v>425</v>
      </c>
      <c r="C123" s="709"/>
      <c r="D123" s="710">
        <f>SUM(D120:D122)</f>
        <v>0</v>
      </c>
      <c r="E123" s="670"/>
      <c r="F123" s="710">
        <f>SUM(F120:F122)</f>
        <v>0</v>
      </c>
      <c r="G123" s="682"/>
      <c r="H123" s="682"/>
      <c r="I123" s="682"/>
      <c r="J123" s="1685">
        <f>SUM(J120:J122)</f>
        <v>0</v>
      </c>
      <c r="K123" s="1355"/>
      <c r="L123" s="655"/>
      <c r="M123" s="655"/>
      <c r="N123" s="655"/>
      <c r="O123" s="655"/>
      <c r="P123" s="655"/>
      <c r="Q123" s="670"/>
      <c r="R123" s="655"/>
      <c r="S123" s="670"/>
      <c r="T123" s="670"/>
      <c r="U123" s="670"/>
      <c r="V123" s="670"/>
      <c r="W123" s="670"/>
      <c r="X123" s="670"/>
      <c r="Y123" s="670"/>
      <c r="Z123" s="670"/>
      <c r="AA123" s="670"/>
      <c r="AB123" s="670"/>
      <c r="AC123" s="670"/>
      <c r="AD123" s="670"/>
      <c r="AE123" s="670"/>
      <c r="AF123" s="670"/>
      <c r="AG123" s="670"/>
      <c r="AH123" s="670"/>
      <c r="AI123" s="670"/>
      <c r="AJ123" s="670"/>
      <c r="AK123" s="670"/>
      <c r="AL123" s="670"/>
      <c r="AM123" s="670"/>
      <c r="AN123" s="670"/>
      <c r="AO123" s="670"/>
      <c r="AP123" s="670"/>
      <c r="AQ123" s="670"/>
      <c r="AR123" s="670"/>
      <c r="AS123" s="670"/>
      <c r="AT123" s="670"/>
      <c r="AU123" s="670"/>
      <c r="AV123" s="670"/>
      <c r="AW123" s="670"/>
      <c r="AX123" s="670"/>
      <c r="AY123" s="670"/>
      <c r="AZ123" s="670"/>
      <c r="BA123" s="670"/>
      <c r="BB123" s="670"/>
      <c r="BC123" s="670"/>
      <c r="BD123" s="670"/>
      <c r="BE123" s="670"/>
      <c r="BF123" s="670"/>
      <c r="BG123" s="670"/>
      <c r="BH123" s="670"/>
      <c r="BI123" s="670"/>
      <c r="BJ123" s="670"/>
      <c r="BK123" s="670"/>
      <c r="BL123" s="670"/>
      <c r="BM123" s="670"/>
      <c r="BN123" s="670"/>
      <c r="BO123" s="670"/>
      <c r="BP123" s="670"/>
      <c r="BQ123" s="670"/>
      <c r="BR123" s="670"/>
      <c r="BS123" s="670"/>
      <c r="BT123" s="670"/>
      <c r="BU123" s="670"/>
      <c r="BV123" s="670"/>
      <c r="BW123" s="670"/>
      <c r="BX123" s="670"/>
      <c r="BY123" s="670"/>
      <c r="BZ123" s="670"/>
      <c r="CA123" s="670"/>
      <c r="CB123" s="670"/>
      <c r="CC123" s="670"/>
      <c r="CD123" s="670"/>
      <c r="CE123" s="670"/>
      <c r="CF123" s="670"/>
      <c r="CG123" s="670"/>
      <c r="CH123" s="670"/>
      <c r="CI123" s="670"/>
      <c r="CJ123" s="670"/>
      <c r="CK123" s="670"/>
      <c r="CL123" s="670"/>
      <c r="CM123" s="670"/>
      <c r="CN123" s="670"/>
      <c r="CO123" s="670"/>
    </row>
    <row r="124" spans="1:93" ht="13.5" thickTop="1">
      <c r="A124" s="1596"/>
      <c r="B124" s="699"/>
      <c r="C124" s="699"/>
      <c r="D124" s="700"/>
      <c r="E124" s="699"/>
      <c r="F124" s="700"/>
      <c r="G124" s="699"/>
      <c r="H124" s="699"/>
      <c r="I124" s="699"/>
      <c r="J124" s="1570"/>
      <c r="K124" s="1352"/>
      <c r="L124" s="655"/>
      <c r="M124" s="655"/>
      <c r="N124" s="655"/>
      <c r="O124" s="655"/>
      <c r="P124" s="655"/>
      <c r="Q124" s="670"/>
      <c r="R124" s="655"/>
      <c r="S124" s="670"/>
      <c r="T124" s="670"/>
      <c r="U124" s="670"/>
      <c r="V124" s="670"/>
      <c r="W124" s="670"/>
      <c r="X124" s="670"/>
      <c r="Y124" s="670"/>
      <c r="Z124" s="670"/>
      <c r="AA124" s="670"/>
      <c r="AB124" s="670"/>
      <c r="AC124" s="670"/>
      <c r="AD124" s="670"/>
      <c r="AE124" s="670"/>
      <c r="AF124" s="670"/>
      <c r="AG124" s="670"/>
      <c r="AH124" s="670"/>
      <c r="AI124" s="670"/>
      <c r="AJ124" s="670"/>
      <c r="AK124" s="670"/>
      <c r="AL124" s="670"/>
      <c r="AM124" s="670"/>
      <c r="AN124" s="670"/>
      <c r="AO124" s="670"/>
      <c r="AP124" s="670"/>
      <c r="AQ124" s="670"/>
      <c r="AR124" s="670"/>
      <c r="AS124" s="670"/>
      <c r="AT124" s="670"/>
      <c r="AU124" s="670"/>
      <c r="AV124" s="670"/>
      <c r="AW124" s="670"/>
      <c r="AX124" s="670"/>
      <c r="AY124" s="670"/>
      <c r="AZ124" s="670"/>
      <c r="BA124" s="670"/>
      <c r="BB124" s="670"/>
      <c r="BC124" s="670"/>
      <c r="BD124" s="670"/>
      <c r="BE124" s="670"/>
      <c r="BF124" s="670"/>
      <c r="BG124" s="670"/>
      <c r="BH124" s="670"/>
      <c r="BI124" s="670"/>
      <c r="BJ124" s="670"/>
      <c r="BK124" s="670"/>
      <c r="BL124" s="670"/>
      <c r="BM124" s="670"/>
      <c r="BN124" s="670"/>
      <c r="BO124" s="670"/>
      <c r="BP124" s="670"/>
      <c r="BQ124" s="670"/>
      <c r="BR124" s="670"/>
      <c r="BS124" s="670"/>
      <c r="BT124" s="670"/>
      <c r="BU124" s="670"/>
      <c r="BV124" s="670"/>
      <c r="BW124" s="670"/>
      <c r="BX124" s="670"/>
      <c r="BY124" s="670"/>
      <c r="BZ124" s="670"/>
      <c r="CA124" s="670"/>
      <c r="CB124" s="670"/>
      <c r="CC124" s="670"/>
      <c r="CD124" s="670"/>
      <c r="CE124" s="670"/>
      <c r="CF124" s="670"/>
      <c r="CG124" s="670"/>
      <c r="CH124" s="670"/>
      <c r="CI124" s="670"/>
      <c r="CJ124" s="670"/>
      <c r="CK124" s="670"/>
      <c r="CL124" s="670"/>
      <c r="CM124" s="670"/>
      <c r="CN124" s="670"/>
      <c r="CO124" s="670"/>
    </row>
    <row r="125" spans="1:93">
      <c r="A125" s="1684"/>
      <c r="B125" s="677"/>
      <c r="C125" s="677"/>
      <c r="D125" s="676"/>
      <c r="E125" s="677"/>
      <c r="F125" s="676"/>
      <c r="G125" s="677"/>
      <c r="H125" s="677"/>
      <c r="I125" s="677"/>
      <c r="J125" s="1572"/>
      <c r="K125" s="1353"/>
      <c r="L125" s="655"/>
      <c r="M125" s="655"/>
      <c r="N125" s="655"/>
      <c r="O125" s="655"/>
      <c r="P125" s="655"/>
      <c r="Q125" s="670"/>
      <c r="R125" s="655"/>
      <c r="S125" s="670"/>
      <c r="T125" s="670"/>
      <c r="U125" s="670"/>
      <c r="V125" s="670"/>
      <c r="W125" s="670"/>
      <c r="X125" s="670"/>
      <c r="Y125" s="670"/>
      <c r="Z125" s="670"/>
      <c r="AA125" s="670"/>
      <c r="AB125" s="670"/>
      <c r="AC125" s="670"/>
      <c r="AD125" s="670"/>
      <c r="AE125" s="670"/>
      <c r="AF125" s="670"/>
      <c r="AG125" s="670"/>
      <c r="AH125" s="670"/>
      <c r="AI125" s="670"/>
      <c r="AJ125" s="670"/>
      <c r="AK125" s="670"/>
      <c r="AL125" s="670"/>
      <c r="AM125" s="670"/>
      <c r="AN125" s="670"/>
      <c r="AO125" s="670"/>
      <c r="AP125" s="670"/>
      <c r="AQ125" s="670"/>
      <c r="AR125" s="670"/>
      <c r="AS125" s="670"/>
      <c r="AT125" s="670"/>
      <c r="AU125" s="670"/>
      <c r="AV125" s="670"/>
      <c r="AW125" s="670"/>
      <c r="AX125" s="670"/>
      <c r="AY125" s="670"/>
      <c r="AZ125" s="670"/>
      <c r="BA125" s="670"/>
      <c r="BB125" s="670"/>
      <c r="BC125" s="670"/>
      <c r="BD125" s="670"/>
      <c r="BE125" s="670"/>
      <c r="BF125" s="670"/>
      <c r="BG125" s="670"/>
      <c r="BH125" s="670"/>
      <c r="BI125" s="670"/>
      <c r="BJ125" s="670"/>
      <c r="BK125" s="670"/>
      <c r="BL125" s="670"/>
      <c r="BM125" s="670"/>
      <c r="BN125" s="670"/>
      <c r="BO125" s="670"/>
      <c r="BP125" s="670"/>
      <c r="BQ125" s="670"/>
      <c r="BR125" s="670"/>
      <c r="BS125" s="670"/>
      <c r="BT125" s="670"/>
      <c r="BU125" s="670"/>
      <c r="BV125" s="670"/>
      <c r="BW125" s="670"/>
      <c r="BX125" s="670"/>
      <c r="BY125" s="670"/>
      <c r="BZ125" s="670"/>
      <c r="CA125" s="670"/>
      <c r="CB125" s="670"/>
      <c r="CC125" s="670"/>
      <c r="CD125" s="670"/>
      <c r="CE125" s="670"/>
      <c r="CF125" s="670"/>
      <c r="CG125" s="670"/>
      <c r="CH125" s="670"/>
      <c r="CI125" s="670"/>
      <c r="CJ125" s="670"/>
      <c r="CK125" s="670"/>
      <c r="CL125" s="670"/>
      <c r="CM125" s="670"/>
      <c r="CN125" s="670"/>
      <c r="CO125" s="670"/>
    </row>
    <row r="126" spans="1:93">
      <c r="A126" s="1679" t="s">
        <v>721</v>
      </c>
      <c r="B126" s="709" t="s">
        <v>2464</v>
      </c>
      <c r="C126" s="709"/>
      <c r="D126" s="711"/>
      <c r="E126" s="670"/>
      <c r="F126" s="723"/>
      <c r="G126" s="657"/>
      <c r="H126" s="657"/>
      <c r="I126" s="657"/>
      <c r="J126" s="1695"/>
      <c r="K126" s="1355"/>
      <c r="L126" s="655"/>
      <c r="M126" s="655"/>
      <c r="N126" s="655"/>
      <c r="O126" s="655"/>
      <c r="P126" s="655"/>
      <c r="Q126" s="670"/>
      <c r="R126" s="655"/>
      <c r="S126" s="670"/>
      <c r="T126" s="670"/>
      <c r="U126" s="670"/>
      <c r="V126" s="670"/>
      <c r="W126" s="670"/>
      <c r="X126" s="670"/>
      <c r="Y126" s="670"/>
      <c r="Z126" s="670"/>
      <c r="AA126" s="670"/>
      <c r="AB126" s="670"/>
      <c r="AC126" s="670"/>
      <c r="AD126" s="670"/>
      <c r="AE126" s="670"/>
      <c r="AF126" s="670"/>
      <c r="AG126" s="670"/>
      <c r="AH126" s="670"/>
      <c r="AI126" s="670"/>
      <c r="AJ126" s="670"/>
      <c r="AK126" s="670"/>
      <c r="AL126" s="670"/>
      <c r="AM126" s="670"/>
      <c r="AN126" s="670"/>
      <c r="AO126" s="670"/>
      <c r="AP126" s="670"/>
      <c r="AQ126" s="670"/>
      <c r="AR126" s="670"/>
      <c r="AS126" s="670"/>
      <c r="AT126" s="670"/>
      <c r="AU126" s="670"/>
      <c r="AV126" s="670"/>
      <c r="AW126" s="670"/>
      <c r="AX126" s="670"/>
      <c r="AY126" s="670"/>
      <c r="AZ126" s="670"/>
      <c r="BA126" s="670"/>
      <c r="BB126" s="670"/>
      <c r="BC126" s="670"/>
      <c r="BD126" s="670"/>
      <c r="BE126" s="670"/>
      <c r="BF126" s="670"/>
      <c r="BG126" s="670"/>
      <c r="BH126" s="670"/>
      <c r="BI126" s="670"/>
      <c r="BJ126" s="670"/>
      <c r="BK126" s="670"/>
      <c r="BL126" s="670"/>
      <c r="BM126" s="670"/>
      <c r="BN126" s="670"/>
      <c r="BO126" s="670"/>
      <c r="BP126" s="670"/>
      <c r="BQ126" s="670"/>
      <c r="BR126" s="670"/>
      <c r="BS126" s="670"/>
      <c r="BT126" s="670"/>
      <c r="BU126" s="670"/>
      <c r="BV126" s="670"/>
      <c r="BW126" s="670"/>
      <c r="BX126" s="670"/>
      <c r="BY126" s="670"/>
      <c r="BZ126" s="670"/>
      <c r="CA126" s="670"/>
      <c r="CB126" s="670"/>
      <c r="CC126" s="670"/>
      <c r="CD126" s="670"/>
      <c r="CE126" s="670"/>
      <c r="CF126" s="670"/>
      <c r="CG126" s="670"/>
      <c r="CH126" s="670"/>
      <c r="CI126" s="670"/>
      <c r="CJ126" s="670"/>
      <c r="CK126" s="670"/>
      <c r="CL126" s="670"/>
      <c r="CM126" s="670"/>
      <c r="CN126" s="670"/>
      <c r="CO126" s="670"/>
    </row>
    <row r="127" spans="1:93">
      <c r="A127" s="1590"/>
      <c r="B127" s="709" t="s">
        <v>426</v>
      </c>
      <c r="C127" s="709"/>
      <c r="D127" s="706">
        <f>SUM(D128:D129)</f>
        <v>67228</v>
      </c>
      <c r="E127" s="670"/>
      <c r="F127" s="706">
        <f>SUM(F128:F129)</f>
        <v>259851.12</v>
      </c>
      <c r="G127" s="657"/>
      <c r="H127" s="657"/>
      <c r="I127" s="657"/>
      <c r="J127" s="1441">
        <f>SUM(J128:J129)</f>
        <v>549044.5</v>
      </c>
      <c r="K127" s="1355"/>
      <c r="L127" s="655"/>
      <c r="M127" s="655"/>
      <c r="N127" s="655"/>
      <c r="O127" s="655"/>
      <c r="P127" s="655"/>
      <c r="Q127" s="670"/>
      <c r="R127" s="655"/>
      <c r="S127" s="670"/>
      <c r="T127" s="670"/>
      <c r="U127" s="670"/>
      <c r="V127" s="670"/>
      <c r="W127" s="670"/>
      <c r="X127" s="670"/>
      <c r="Y127" s="670"/>
      <c r="Z127" s="670"/>
      <c r="AA127" s="670"/>
      <c r="AB127" s="670"/>
      <c r="AC127" s="670"/>
      <c r="AD127" s="670"/>
      <c r="AE127" s="670"/>
      <c r="AF127" s="670"/>
      <c r="AG127" s="670"/>
      <c r="AH127" s="670"/>
      <c r="AI127" s="670"/>
      <c r="AJ127" s="670"/>
      <c r="AK127" s="670"/>
      <c r="AL127" s="670"/>
      <c r="AM127" s="670"/>
      <c r="AN127" s="670"/>
      <c r="AO127" s="670"/>
      <c r="AP127" s="670"/>
      <c r="AQ127" s="670"/>
      <c r="AR127" s="670"/>
      <c r="AS127" s="670"/>
      <c r="AT127" s="670"/>
      <c r="AU127" s="670"/>
      <c r="AV127" s="670"/>
      <c r="AW127" s="670"/>
      <c r="AX127" s="670"/>
      <c r="AY127" s="670"/>
      <c r="AZ127" s="670"/>
      <c r="BA127" s="670"/>
      <c r="BB127" s="670"/>
      <c r="BC127" s="670"/>
      <c r="BD127" s="670"/>
      <c r="BE127" s="670"/>
      <c r="BF127" s="670"/>
      <c r="BG127" s="670"/>
      <c r="BH127" s="670"/>
      <c r="BI127" s="670"/>
      <c r="BJ127" s="670"/>
      <c r="BK127" s="670"/>
      <c r="BL127" s="670"/>
      <c r="BM127" s="670"/>
      <c r="BN127" s="670"/>
      <c r="BO127" s="670"/>
      <c r="BP127" s="670"/>
      <c r="BQ127" s="670"/>
      <c r="BR127" s="670"/>
      <c r="BS127" s="670"/>
      <c r="BT127" s="670"/>
      <c r="BU127" s="670"/>
      <c r="BV127" s="670"/>
      <c r="BW127" s="670"/>
      <c r="BX127" s="670"/>
      <c r="BY127" s="670"/>
      <c r="BZ127" s="670"/>
      <c r="CA127" s="670"/>
      <c r="CB127" s="670"/>
      <c r="CC127" s="670"/>
      <c r="CD127" s="670"/>
      <c r="CE127" s="670"/>
      <c r="CF127" s="670"/>
      <c r="CG127" s="670"/>
      <c r="CH127" s="670"/>
      <c r="CI127" s="670"/>
      <c r="CJ127" s="670"/>
      <c r="CK127" s="670"/>
      <c r="CL127" s="670"/>
      <c r="CM127" s="670"/>
      <c r="CN127" s="670"/>
      <c r="CO127" s="670"/>
    </row>
    <row r="128" spans="1:93">
      <c r="A128" s="1590"/>
      <c r="B128" s="708" t="s">
        <v>427</v>
      </c>
      <c r="C128" s="708"/>
      <c r="D128" s="715">
        <v>51072.72</v>
      </c>
      <c r="E128" s="682"/>
      <c r="F128" s="658">
        <v>0</v>
      </c>
      <c r="G128" s="670"/>
      <c r="H128" s="670"/>
      <c r="I128" s="670"/>
      <c r="J128" s="1448">
        <v>0</v>
      </c>
      <c r="K128" s="1356"/>
      <c r="L128" s="655"/>
      <c r="M128" s="655"/>
      <c r="N128" s="655"/>
      <c r="O128" s="655"/>
      <c r="P128" s="655"/>
      <c r="Q128" s="670"/>
      <c r="R128" s="655"/>
      <c r="S128" s="670"/>
      <c r="T128" s="670"/>
      <c r="U128" s="670"/>
      <c r="V128" s="670"/>
      <c r="W128" s="670"/>
      <c r="X128" s="670"/>
      <c r="Y128" s="670"/>
      <c r="Z128" s="670"/>
      <c r="AA128" s="670"/>
      <c r="AB128" s="670"/>
      <c r="AC128" s="670"/>
      <c r="AD128" s="670"/>
      <c r="AE128" s="670"/>
      <c r="AF128" s="670"/>
      <c r="AG128" s="670"/>
      <c r="AH128" s="670"/>
      <c r="AI128" s="670"/>
      <c r="AJ128" s="670"/>
      <c r="AK128" s="670"/>
      <c r="AL128" s="670"/>
      <c r="AM128" s="670"/>
      <c r="AN128" s="670"/>
      <c r="AO128" s="670"/>
      <c r="AP128" s="670"/>
      <c r="AQ128" s="670"/>
      <c r="AR128" s="670"/>
      <c r="AS128" s="670"/>
      <c r="AT128" s="670"/>
      <c r="AU128" s="670"/>
      <c r="AV128" s="670"/>
      <c r="AW128" s="670"/>
      <c r="AX128" s="670"/>
      <c r="AY128" s="670"/>
      <c r="AZ128" s="670"/>
      <c r="BA128" s="670"/>
      <c r="BB128" s="670"/>
      <c r="BC128" s="670"/>
      <c r="BD128" s="670"/>
      <c r="BE128" s="670"/>
      <c r="BF128" s="670"/>
      <c r="BG128" s="670"/>
      <c r="BH128" s="670"/>
      <c r="BI128" s="670"/>
      <c r="BJ128" s="670"/>
      <c r="BK128" s="670"/>
      <c r="BL128" s="670"/>
      <c r="BM128" s="670"/>
      <c r="BN128" s="670"/>
      <c r="BO128" s="670"/>
      <c r="BP128" s="670"/>
      <c r="BQ128" s="670"/>
      <c r="BR128" s="670"/>
      <c r="BS128" s="670"/>
      <c r="BT128" s="670"/>
      <c r="BU128" s="670"/>
      <c r="BV128" s="670"/>
      <c r="BW128" s="670"/>
      <c r="BX128" s="670"/>
      <c r="BY128" s="670"/>
      <c r="BZ128" s="670"/>
      <c r="CA128" s="670"/>
      <c r="CB128" s="670"/>
      <c r="CC128" s="670"/>
      <c r="CD128" s="670"/>
      <c r="CE128" s="670"/>
      <c r="CF128" s="670"/>
      <c r="CG128" s="670"/>
      <c r="CH128" s="670"/>
      <c r="CI128" s="670"/>
      <c r="CJ128" s="670"/>
      <c r="CK128" s="670"/>
      <c r="CL128" s="670"/>
      <c r="CM128" s="670"/>
      <c r="CN128" s="670"/>
      <c r="CO128" s="670"/>
    </row>
    <row r="129" spans="1:93">
      <c r="A129" s="1590"/>
      <c r="B129" s="708" t="s">
        <v>428</v>
      </c>
      <c r="C129" s="708"/>
      <c r="D129" s="482">
        <v>16155.28</v>
      </c>
      <c r="E129" s="670"/>
      <c r="F129" s="482">
        <f>-SUM('TRAIL BALANCE'!G272)</f>
        <v>259851.12</v>
      </c>
      <c r="G129" s="670"/>
      <c r="H129" s="670"/>
      <c r="I129" s="670"/>
      <c r="J129" s="1445">
        <f>-SUM('TRAIL BALANCE'!E272)</f>
        <v>549044.5</v>
      </c>
      <c r="K129" s="1355"/>
      <c r="L129" s="685" t="s">
        <v>45</v>
      </c>
      <c r="M129" s="655"/>
      <c r="N129" s="655"/>
      <c r="O129" s="655" t="s">
        <v>45</v>
      </c>
      <c r="P129" s="655"/>
      <c r="Q129" s="670"/>
      <c r="R129" s="655"/>
      <c r="S129" s="670"/>
      <c r="T129" s="670"/>
      <c r="U129" s="670"/>
      <c r="V129" s="670"/>
      <c r="W129" s="670"/>
      <c r="X129" s="670"/>
      <c r="Y129" s="670"/>
      <c r="Z129" s="670"/>
      <c r="AA129" s="670"/>
      <c r="AB129" s="670"/>
      <c r="AC129" s="670"/>
      <c r="AD129" s="670"/>
      <c r="AE129" s="670"/>
      <c r="AF129" s="670"/>
      <c r="AG129" s="670"/>
      <c r="AH129" s="670"/>
      <c r="AI129" s="670"/>
      <c r="AJ129" s="670"/>
      <c r="AK129" s="670"/>
      <c r="AL129" s="670"/>
      <c r="AM129" s="670"/>
      <c r="AN129" s="670"/>
      <c r="AO129" s="670"/>
      <c r="AP129" s="670"/>
      <c r="AQ129" s="670"/>
      <c r="AR129" s="670"/>
      <c r="AS129" s="670"/>
      <c r="AT129" s="670"/>
      <c r="AU129" s="670"/>
      <c r="AV129" s="670"/>
      <c r="AW129" s="670"/>
      <c r="AX129" s="670"/>
      <c r="AY129" s="670"/>
      <c r="AZ129" s="670"/>
      <c r="BA129" s="670"/>
      <c r="BB129" s="670"/>
      <c r="BC129" s="670"/>
      <c r="BD129" s="670"/>
      <c r="BE129" s="670"/>
      <c r="BF129" s="670"/>
      <c r="BG129" s="670"/>
      <c r="BH129" s="670"/>
      <c r="BI129" s="670"/>
      <c r="BJ129" s="670"/>
      <c r="BK129" s="670"/>
      <c r="BL129" s="670"/>
      <c r="BM129" s="670"/>
      <c r="BN129" s="670"/>
      <c r="BO129" s="670"/>
      <c r="BP129" s="670"/>
      <c r="BQ129" s="670"/>
      <c r="BR129" s="670"/>
      <c r="BS129" s="670"/>
      <c r="BT129" s="670"/>
      <c r="BU129" s="670"/>
      <c r="BV129" s="670"/>
      <c r="BW129" s="670"/>
      <c r="BX129" s="670"/>
      <c r="BY129" s="670"/>
      <c r="BZ129" s="670"/>
      <c r="CA129" s="670"/>
      <c r="CB129" s="670"/>
      <c r="CC129" s="670"/>
      <c r="CD129" s="670"/>
      <c r="CE129" s="670"/>
      <c r="CF129" s="670"/>
      <c r="CG129" s="670"/>
      <c r="CH129" s="670"/>
      <c r="CI129" s="670"/>
      <c r="CJ129" s="670"/>
      <c r="CK129" s="670"/>
      <c r="CL129" s="670"/>
      <c r="CM129" s="670"/>
      <c r="CN129" s="670"/>
      <c r="CO129" s="670"/>
    </row>
    <row r="130" spans="1:93">
      <c r="A130" s="1596"/>
      <c r="B130" s="724"/>
      <c r="C130" s="724"/>
      <c r="D130" s="725"/>
      <c r="E130" s="699"/>
      <c r="F130" s="700"/>
      <c r="G130" s="699"/>
      <c r="H130" s="699"/>
      <c r="I130" s="699"/>
      <c r="J130" s="1570"/>
      <c r="K130" s="1352"/>
      <c r="L130" s="655"/>
      <c r="M130" s="655"/>
      <c r="N130" s="655"/>
      <c r="O130" s="655"/>
      <c r="P130" s="655"/>
      <c r="Q130" s="670"/>
      <c r="R130" s="655"/>
      <c r="S130" s="670"/>
      <c r="T130" s="670"/>
      <c r="U130" s="670"/>
      <c r="V130" s="670"/>
      <c r="W130" s="670"/>
      <c r="X130" s="670"/>
      <c r="Y130" s="670"/>
      <c r="Z130" s="670"/>
      <c r="AA130" s="670"/>
      <c r="AB130" s="670"/>
      <c r="AC130" s="670"/>
      <c r="AD130" s="670"/>
      <c r="AE130" s="670"/>
      <c r="AF130" s="670"/>
      <c r="AG130" s="670"/>
      <c r="AH130" s="670"/>
      <c r="AI130" s="670"/>
      <c r="AJ130" s="670"/>
      <c r="AK130" s="670"/>
      <c r="AL130" s="670"/>
      <c r="AM130" s="670"/>
      <c r="AN130" s="670"/>
      <c r="AO130" s="670"/>
      <c r="AP130" s="670"/>
      <c r="AQ130" s="670"/>
      <c r="AR130" s="670"/>
      <c r="AS130" s="670"/>
      <c r="AT130" s="670"/>
      <c r="AU130" s="670"/>
      <c r="AV130" s="670"/>
      <c r="AW130" s="670"/>
      <c r="AX130" s="670"/>
      <c r="AY130" s="670"/>
      <c r="AZ130" s="670"/>
      <c r="BA130" s="670"/>
      <c r="BB130" s="670"/>
      <c r="BC130" s="670"/>
      <c r="BD130" s="670"/>
      <c r="BE130" s="670"/>
      <c r="BF130" s="670"/>
      <c r="BG130" s="670"/>
      <c r="BH130" s="670"/>
      <c r="BI130" s="670"/>
      <c r="BJ130" s="670"/>
      <c r="BK130" s="670"/>
      <c r="BL130" s="670"/>
      <c r="BM130" s="670"/>
      <c r="BN130" s="670"/>
      <c r="BO130" s="670"/>
      <c r="BP130" s="670"/>
      <c r="BQ130" s="670"/>
      <c r="BR130" s="670"/>
      <c r="BS130" s="670"/>
      <c r="BT130" s="670"/>
      <c r="BU130" s="670"/>
      <c r="BV130" s="670"/>
      <c r="BW130" s="670"/>
      <c r="BX130" s="670"/>
      <c r="BY130" s="670"/>
      <c r="BZ130" s="670"/>
      <c r="CA130" s="670"/>
      <c r="CB130" s="670"/>
      <c r="CC130" s="670"/>
      <c r="CD130" s="670"/>
      <c r="CE130" s="670"/>
      <c r="CF130" s="670"/>
      <c r="CG130" s="670"/>
      <c r="CH130" s="670"/>
      <c r="CI130" s="670"/>
      <c r="CJ130" s="670"/>
      <c r="CK130" s="670"/>
      <c r="CL130" s="670"/>
      <c r="CM130" s="670"/>
      <c r="CN130" s="670"/>
      <c r="CO130" s="670"/>
    </row>
    <row r="131" spans="1:93">
      <c r="A131" s="1590"/>
      <c r="B131" s="1336"/>
      <c r="C131" s="1336"/>
      <c r="D131" s="718"/>
      <c r="E131" s="670"/>
      <c r="F131" s="655"/>
      <c r="G131" s="670"/>
      <c r="H131" s="670"/>
      <c r="I131" s="670"/>
      <c r="J131" s="1439"/>
      <c r="K131" s="1355"/>
      <c r="L131" s="655"/>
      <c r="M131" s="655"/>
      <c r="N131" s="655"/>
      <c r="O131" s="655"/>
      <c r="P131" s="655"/>
      <c r="Q131" s="670"/>
      <c r="R131" s="655"/>
      <c r="S131" s="670"/>
      <c r="T131" s="670"/>
      <c r="U131" s="670"/>
      <c r="V131" s="670"/>
      <c r="W131" s="670"/>
      <c r="X131" s="670"/>
      <c r="Y131" s="670"/>
      <c r="Z131" s="670"/>
      <c r="AA131" s="670"/>
      <c r="AB131" s="670"/>
      <c r="AC131" s="670"/>
      <c r="AD131" s="670"/>
      <c r="AE131" s="670"/>
      <c r="AF131" s="670"/>
      <c r="AG131" s="670"/>
      <c r="AH131" s="670"/>
      <c r="AI131" s="670"/>
      <c r="AJ131" s="670"/>
      <c r="AK131" s="670"/>
      <c r="AL131" s="670"/>
      <c r="AM131" s="670"/>
      <c r="AN131" s="670"/>
      <c r="AO131" s="670"/>
      <c r="AP131" s="670"/>
      <c r="AQ131" s="670"/>
      <c r="AR131" s="670"/>
      <c r="AS131" s="670"/>
      <c r="AT131" s="670"/>
      <c r="AU131" s="670"/>
      <c r="AV131" s="670"/>
      <c r="AW131" s="670"/>
      <c r="AX131" s="670"/>
      <c r="AY131" s="670"/>
      <c r="AZ131" s="670"/>
      <c r="BA131" s="670"/>
      <c r="BB131" s="670"/>
      <c r="BC131" s="670"/>
      <c r="BD131" s="670"/>
      <c r="BE131" s="670"/>
      <c r="BF131" s="670"/>
      <c r="BG131" s="670"/>
      <c r="BH131" s="670"/>
      <c r="BI131" s="670"/>
      <c r="BJ131" s="670"/>
      <c r="BK131" s="670"/>
      <c r="BL131" s="670"/>
      <c r="BM131" s="670"/>
      <c r="BN131" s="670"/>
      <c r="BO131" s="670"/>
      <c r="BP131" s="670"/>
      <c r="BQ131" s="670"/>
      <c r="BR131" s="670"/>
      <c r="BS131" s="670"/>
      <c r="BT131" s="670"/>
      <c r="BU131" s="670"/>
      <c r="BV131" s="670"/>
      <c r="BW131" s="670"/>
      <c r="BX131" s="670"/>
      <c r="BY131" s="670"/>
      <c r="BZ131" s="670"/>
      <c r="CA131" s="670"/>
      <c r="CB131" s="670"/>
      <c r="CC131" s="670"/>
      <c r="CD131" s="670"/>
      <c r="CE131" s="670"/>
      <c r="CF131" s="670"/>
      <c r="CG131" s="670"/>
      <c r="CH131" s="670"/>
      <c r="CI131" s="670"/>
      <c r="CJ131" s="670"/>
      <c r="CK131" s="670"/>
      <c r="CL131" s="670"/>
      <c r="CM131" s="670"/>
      <c r="CN131" s="670"/>
      <c r="CO131" s="670"/>
    </row>
    <row r="132" spans="1:93">
      <c r="A132" s="1679" t="s">
        <v>722</v>
      </c>
      <c r="B132" s="709" t="s">
        <v>2466</v>
      </c>
      <c r="C132" s="709"/>
      <c r="D132" s="683">
        <f>SUM(D133:D136)+D139</f>
        <v>799677.8</v>
      </c>
      <c r="E132" s="670"/>
      <c r="F132" s="683">
        <f>SUM(F133:F136)+F139</f>
        <v>1212566.0699999998</v>
      </c>
      <c r="G132" s="670"/>
      <c r="H132" s="670"/>
      <c r="I132" s="670"/>
      <c r="J132" s="1446">
        <f>SUM(J133:J136)+J139</f>
        <v>1047510.51</v>
      </c>
      <c r="K132" s="1355"/>
      <c r="L132" s="655"/>
      <c r="M132" s="655"/>
      <c r="N132" s="655"/>
      <c r="O132" s="655" t="s">
        <v>45</v>
      </c>
      <c r="P132" s="655"/>
      <c r="Q132" s="670"/>
      <c r="R132" s="655"/>
      <c r="S132" s="670"/>
      <c r="T132" s="670"/>
      <c r="U132" s="670"/>
      <c r="V132" s="670"/>
      <c r="W132" s="670"/>
      <c r="X132" s="670"/>
      <c r="Y132" s="670"/>
      <c r="Z132" s="670"/>
      <c r="AA132" s="670"/>
      <c r="AB132" s="670"/>
      <c r="AC132" s="670"/>
      <c r="AD132" s="670"/>
      <c r="AE132" s="670"/>
      <c r="AF132" s="670"/>
      <c r="AG132" s="670"/>
      <c r="AH132" s="670"/>
      <c r="AI132" s="670"/>
      <c r="AJ132" s="670"/>
      <c r="AK132" s="670"/>
      <c r="AL132" s="670"/>
      <c r="AM132" s="670"/>
      <c r="AN132" s="670"/>
      <c r="AO132" s="670"/>
      <c r="AP132" s="670"/>
      <c r="AQ132" s="670"/>
      <c r="AR132" s="670"/>
      <c r="AS132" s="670"/>
      <c r="AT132" s="670"/>
      <c r="AU132" s="670"/>
      <c r="AV132" s="670"/>
      <c r="AW132" s="670"/>
      <c r="AX132" s="670"/>
      <c r="AY132" s="670"/>
      <c r="AZ132" s="670"/>
      <c r="BA132" s="670"/>
      <c r="BB132" s="670"/>
      <c r="BC132" s="670"/>
      <c r="BD132" s="670"/>
      <c r="BE132" s="670"/>
      <c r="BF132" s="670"/>
      <c r="BG132" s="670"/>
      <c r="BH132" s="670"/>
      <c r="BI132" s="670"/>
      <c r="BJ132" s="670"/>
      <c r="BK132" s="670"/>
      <c r="BL132" s="670"/>
      <c r="BM132" s="670"/>
      <c r="BN132" s="670"/>
      <c r="BO132" s="670"/>
      <c r="BP132" s="670"/>
      <c r="BQ132" s="670"/>
      <c r="BR132" s="670"/>
      <c r="BS132" s="670"/>
      <c r="BT132" s="670"/>
      <c r="BU132" s="670"/>
      <c r="BV132" s="670"/>
      <c r="BW132" s="670"/>
      <c r="BX132" s="670"/>
      <c r="BY132" s="670"/>
      <c r="BZ132" s="670"/>
      <c r="CA132" s="670"/>
      <c r="CB132" s="670"/>
      <c r="CC132" s="670"/>
      <c r="CD132" s="670"/>
      <c r="CE132" s="670"/>
      <c r="CF132" s="670"/>
      <c r="CG132" s="670"/>
      <c r="CH132" s="670"/>
      <c r="CI132" s="670"/>
      <c r="CJ132" s="670"/>
      <c r="CK132" s="670"/>
      <c r="CL132" s="670"/>
      <c r="CM132" s="670"/>
      <c r="CN132" s="670"/>
      <c r="CO132" s="670"/>
    </row>
    <row r="133" spans="1:93">
      <c r="A133" s="1590"/>
      <c r="B133" s="708" t="s">
        <v>429</v>
      </c>
      <c r="C133" s="708"/>
      <c r="D133" s="715"/>
      <c r="E133" s="670"/>
      <c r="F133" s="658"/>
      <c r="G133" s="670"/>
      <c r="H133" s="670"/>
      <c r="I133" s="670"/>
      <c r="J133" s="1448"/>
      <c r="K133" s="1355"/>
      <c r="L133" s="655"/>
      <c r="M133" s="655"/>
      <c r="N133" s="655"/>
      <c r="O133" s="655" t="s">
        <v>45</v>
      </c>
      <c r="P133" s="655"/>
      <c r="Q133" s="670"/>
      <c r="R133" s="655"/>
      <c r="S133" s="670"/>
      <c r="T133" s="670"/>
      <c r="U133" s="670"/>
      <c r="V133" s="670"/>
      <c r="W133" s="670"/>
      <c r="X133" s="670"/>
      <c r="Y133" s="670"/>
      <c r="Z133" s="670"/>
      <c r="AA133" s="670"/>
      <c r="AB133" s="670"/>
      <c r="AC133" s="670"/>
      <c r="AD133" s="670"/>
      <c r="AE133" s="670"/>
      <c r="AF133" s="670"/>
      <c r="AG133" s="670"/>
      <c r="AH133" s="670"/>
      <c r="AI133" s="670"/>
      <c r="AJ133" s="670"/>
      <c r="AK133" s="670"/>
      <c r="AL133" s="670"/>
      <c r="AM133" s="670"/>
      <c r="AN133" s="670"/>
      <c r="AO133" s="670"/>
      <c r="AP133" s="670"/>
      <c r="AQ133" s="670"/>
      <c r="AR133" s="670"/>
      <c r="AS133" s="670"/>
      <c r="AT133" s="670"/>
      <c r="AU133" s="670"/>
      <c r="AV133" s="670"/>
      <c r="AW133" s="670"/>
      <c r="AX133" s="670"/>
      <c r="AY133" s="670"/>
      <c r="AZ133" s="670"/>
      <c r="BA133" s="670"/>
      <c r="BB133" s="670"/>
      <c r="BC133" s="670"/>
      <c r="BD133" s="670"/>
      <c r="BE133" s="670"/>
      <c r="BF133" s="670"/>
      <c r="BG133" s="670"/>
      <c r="BH133" s="670"/>
      <c r="BI133" s="670"/>
      <c r="BJ133" s="670"/>
      <c r="BK133" s="670"/>
      <c r="BL133" s="670"/>
      <c r="BM133" s="670"/>
      <c r="BN133" s="670"/>
      <c r="BO133" s="670"/>
      <c r="BP133" s="670"/>
      <c r="BQ133" s="670"/>
      <c r="BR133" s="670"/>
      <c r="BS133" s="670"/>
      <c r="BT133" s="670"/>
      <c r="BU133" s="670"/>
      <c r="BV133" s="670"/>
      <c r="BW133" s="670"/>
      <c r="BX133" s="670"/>
      <c r="BY133" s="670"/>
      <c r="BZ133" s="670"/>
      <c r="CA133" s="670"/>
      <c r="CB133" s="670"/>
      <c r="CC133" s="670"/>
      <c r="CD133" s="670"/>
      <c r="CE133" s="670"/>
      <c r="CF133" s="670"/>
      <c r="CG133" s="670"/>
      <c r="CH133" s="670"/>
      <c r="CI133" s="670"/>
      <c r="CJ133" s="670"/>
      <c r="CK133" s="670"/>
      <c r="CL133" s="670"/>
      <c r="CM133" s="670"/>
      <c r="CN133" s="670"/>
      <c r="CO133" s="670"/>
    </row>
    <row r="134" spans="1:93">
      <c r="A134" s="1590"/>
      <c r="B134" s="708" t="s">
        <v>430</v>
      </c>
      <c r="C134" s="708"/>
      <c r="D134" s="482">
        <f>-SUM('TRAIL BALANCE'!S273)</f>
        <v>799677.8</v>
      </c>
      <c r="E134" s="670"/>
      <c r="F134" s="482">
        <f>-SUM('TRAIL BALANCE'!G273)</f>
        <v>1212566.0699999998</v>
      </c>
      <c r="G134" s="670"/>
      <c r="H134" s="670"/>
      <c r="I134" s="670"/>
      <c r="J134" s="1445">
        <f>-SUM('TRAIL BALANCE'!E273)</f>
        <v>1047510.51</v>
      </c>
      <c r="K134" s="1355"/>
      <c r="L134" s="685" t="s">
        <v>45</v>
      </c>
      <c r="M134" s="655"/>
      <c r="N134" s="655"/>
      <c r="O134" s="655"/>
      <c r="P134" s="655"/>
      <c r="Q134" s="670"/>
      <c r="R134" s="655"/>
      <c r="S134" s="670"/>
      <c r="T134" s="670"/>
      <c r="U134" s="670"/>
      <c r="V134" s="670"/>
      <c r="W134" s="670"/>
      <c r="X134" s="670"/>
      <c r="Y134" s="670"/>
      <c r="Z134" s="670"/>
      <c r="AA134" s="670"/>
      <c r="AB134" s="670"/>
      <c r="AC134" s="670"/>
      <c r="AD134" s="670"/>
      <c r="AE134" s="670"/>
      <c r="AF134" s="670"/>
      <c r="AG134" s="670"/>
      <c r="AH134" s="670"/>
      <c r="AI134" s="670"/>
      <c r="AJ134" s="670"/>
      <c r="AK134" s="670"/>
      <c r="AL134" s="670"/>
      <c r="AM134" s="670"/>
      <c r="AN134" s="670"/>
      <c r="AO134" s="670"/>
      <c r="AP134" s="670"/>
      <c r="AQ134" s="670"/>
      <c r="AR134" s="670"/>
      <c r="AS134" s="670"/>
      <c r="AT134" s="670"/>
      <c r="AU134" s="670"/>
      <c r="AV134" s="670"/>
      <c r="AW134" s="670"/>
      <c r="AX134" s="670"/>
      <c r="AY134" s="670"/>
      <c r="AZ134" s="670"/>
      <c r="BA134" s="670"/>
      <c r="BB134" s="670"/>
      <c r="BC134" s="670"/>
      <c r="BD134" s="670"/>
      <c r="BE134" s="670"/>
      <c r="BF134" s="670"/>
      <c r="BG134" s="670"/>
      <c r="BH134" s="670"/>
      <c r="BI134" s="670"/>
      <c r="BJ134" s="670"/>
      <c r="BK134" s="670"/>
      <c r="BL134" s="670"/>
      <c r="BM134" s="670"/>
      <c r="BN134" s="670"/>
      <c r="BO134" s="670"/>
      <c r="BP134" s="670"/>
      <c r="BQ134" s="670"/>
      <c r="BR134" s="670"/>
      <c r="BS134" s="670"/>
      <c r="BT134" s="670"/>
      <c r="BU134" s="670"/>
      <c r="BV134" s="670"/>
      <c r="BW134" s="670"/>
      <c r="BX134" s="670"/>
      <c r="BY134" s="670"/>
      <c r="BZ134" s="670"/>
      <c r="CA134" s="670"/>
      <c r="CB134" s="670"/>
      <c r="CC134" s="670"/>
      <c r="CD134" s="670"/>
      <c r="CE134" s="670"/>
      <c r="CF134" s="670"/>
      <c r="CG134" s="670"/>
      <c r="CH134" s="670"/>
      <c r="CI134" s="670"/>
      <c r="CJ134" s="670"/>
      <c r="CK134" s="670"/>
      <c r="CL134" s="670"/>
      <c r="CM134" s="670"/>
      <c r="CN134" s="670"/>
      <c r="CO134" s="670"/>
    </row>
    <row r="135" spans="1:93" hidden="1">
      <c r="A135" s="1590"/>
      <c r="B135" s="708" t="s">
        <v>2428</v>
      </c>
      <c r="C135" s="708"/>
      <c r="D135" s="716"/>
      <c r="E135" s="670"/>
      <c r="F135" s="659"/>
      <c r="G135" s="670"/>
      <c r="H135" s="670"/>
      <c r="I135" s="670"/>
      <c r="J135" s="1444"/>
      <c r="K135" s="1355"/>
      <c r="L135" s="655"/>
      <c r="M135" s="655"/>
      <c r="N135" s="655"/>
      <c r="O135" s="655"/>
      <c r="P135" s="655"/>
      <c r="Q135" s="670"/>
      <c r="R135" s="655"/>
      <c r="S135" s="670"/>
      <c r="T135" s="670"/>
      <c r="U135" s="670"/>
      <c r="V135" s="670"/>
      <c r="W135" s="670"/>
      <c r="X135" s="670"/>
      <c r="Y135" s="670"/>
      <c r="Z135" s="670"/>
      <c r="AA135" s="670"/>
      <c r="AB135" s="670"/>
      <c r="AC135" s="670"/>
      <c r="AD135" s="670"/>
      <c r="AE135" s="670"/>
      <c r="AF135" s="670"/>
      <c r="AG135" s="670"/>
      <c r="AH135" s="670"/>
      <c r="AI135" s="670"/>
      <c r="AJ135" s="670"/>
      <c r="AK135" s="670"/>
      <c r="AL135" s="670"/>
      <c r="AM135" s="670"/>
      <c r="AN135" s="670"/>
      <c r="AO135" s="670"/>
      <c r="AP135" s="670"/>
      <c r="AQ135" s="670"/>
      <c r="AR135" s="670"/>
      <c r="AS135" s="670"/>
      <c r="AT135" s="670"/>
      <c r="AU135" s="670"/>
      <c r="AV135" s="670"/>
      <c r="AW135" s="670"/>
      <c r="AX135" s="670"/>
      <c r="AY135" s="670"/>
      <c r="AZ135" s="670"/>
      <c r="BA135" s="670"/>
      <c r="BB135" s="670"/>
      <c r="BC135" s="670"/>
      <c r="BD135" s="670"/>
      <c r="BE135" s="670"/>
      <c r="BF135" s="670"/>
      <c r="BG135" s="670"/>
      <c r="BH135" s="670"/>
      <c r="BI135" s="670"/>
      <c r="BJ135" s="670"/>
      <c r="BK135" s="670"/>
      <c r="BL135" s="670"/>
      <c r="BM135" s="670"/>
      <c r="BN135" s="670"/>
      <c r="BO135" s="670"/>
      <c r="BP135" s="670"/>
      <c r="BQ135" s="670"/>
      <c r="BR135" s="670"/>
      <c r="BS135" s="670"/>
      <c r="BT135" s="670"/>
      <c r="BU135" s="670"/>
      <c r="BV135" s="670"/>
      <c r="BW135" s="670"/>
      <c r="BX135" s="670"/>
      <c r="BY135" s="670"/>
      <c r="BZ135" s="670"/>
      <c r="CA135" s="670"/>
      <c r="CB135" s="670"/>
      <c r="CC135" s="670"/>
      <c r="CD135" s="670"/>
      <c r="CE135" s="670"/>
      <c r="CF135" s="670"/>
      <c r="CG135" s="670"/>
      <c r="CH135" s="670"/>
      <c r="CI135" s="670"/>
      <c r="CJ135" s="670"/>
      <c r="CK135" s="670"/>
      <c r="CL135" s="670"/>
      <c r="CM135" s="670"/>
      <c r="CN135" s="670"/>
      <c r="CO135" s="670"/>
    </row>
    <row r="136" spans="1:93" hidden="1">
      <c r="A136" s="1590"/>
      <c r="B136" s="708" t="s">
        <v>792</v>
      </c>
      <c r="C136" s="708"/>
      <c r="D136" s="716"/>
      <c r="E136" s="670"/>
      <c r="F136" s="659">
        <f>SUM(F137:F138)</f>
        <v>0</v>
      </c>
      <c r="G136" s="670"/>
      <c r="H136" s="670"/>
      <c r="I136" s="670"/>
      <c r="J136" s="1444">
        <f>SUM(J137:J138)</f>
        <v>0</v>
      </c>
      <c r="K136" s="1355"/>
      <c r="L136" s="655"/>
      <c r="M136" s="655"/>
      <c r="N136" s="655"/>
      <c r="O136" s="655"/>
      <c r="P136" s="655"/>
      <c r="Q136" s="670"/>
      <c r="R136" s="655"/>
      <c r="S136" s="670"/>
      <c r="T136" s="670"/>
      <c r="U136" s="670"/>
      <c r="V136" s="670"/>
      <c r="W136" s="670"/>
      <c r="X136" s="670"/>
      <c r="Y136" s="670"/>
      <c r="Z136" s="670"/>
      <c r="AA136" s="670"/>
      <c r="AB136" s="670"/>
      <c r="AC136" s="670"/>
      <c r="AD136" s="670"/>
      <c r="AE136" s="670"/>
      <c r="AF136" s="670"/>
      <c r="AG136" s="670"/>
      <c r="AH136" s="670"/>
      <c r="AI136" s="670"/>
      <c r="AJ136" s="670"/>
      <c r="AK136" s="670"/>
      <c r="AL136" s="670"/>
      <c r="AM136" s="670"/>
      <c r="AN136" s="670"/>
      <c r="AO136" s="670"/>
      <c r="AP136" s="670"/>
      <c r="AQ136" s="670"/>
      <c r="AR136" s="670"/>
      <c r="AS136" s="670"/>
      <c r="AT136" s="670"/>
      <c r="AU136" s="670"/>
      <c r="AV136" s="670"/>
      <c r="AW136" s="670"/>
      <c r="AX136" s="670"/>
      <c r="AY136" s="670"/>
      <c r="AZ136" s="670"/>
      <c r="BA136" s="670"/>
      <c r="BB136" s="670"/>
      <c r="BC136" s="670"/>
      <c r="BD136" s="670"/>
      <c r="BE136" s="670"/>
      <c r="BF136" s="670"/>
      <c r="BG136" s="670"/>
      <c r="BH136" s="670"/>
      <c r="BI136" s="670"/>
      <c r="BJ136" s="670"/>
      <c r="BK136" s="670"/>
      <c r="BL136" s="670"/>
      <c r="BM136" s="670"/>
      <c r="BN136" s="670"/>
      <c r="BO136" s="670"/>
      <c r="BP136" s="670"/>
      <c r="BQ136" s="670"/>
      <c r="BR136" s="670"/>
      <c r="BS136" s="670"/>
      <c r="BT136" s="670"/>
      <c r="BU136" s="670"/>
      <c r="BV136" s="670"/>
      <c r="BW136" s="670"/>
      <c r="BX136" s="670"/>
      <c r="BY136" s="670"/>
      <c r="BZ136" s="670"/>
      <c r="CA136" s="670"/>
      <c r="CB136" s="670"/>
      <c r="CC136" s="670"/>
      <c r="CD136" s="670"/>
      <c r="CE136" s="670"/>
      <c r="CF136" s="670"/>
      <c r="CG136" s="670"/>
      <c r="CH136" s="670"/>
      <c r="CI136" s="670"/>
      <c r="CJ136" s="670"/>
      <c r="CK136" s="670"/>
      <c r="CL136" s="670"/>
      <c r="CM136" s="670"/>
      <c r="CN136" s="670"/>
      <c r="CO136" s="670"/>
    </row>
    <row r="137" spans="1:93" hidden="1">
      <c r="A137" s="1590"/>
      <c r="B137" s="1332" t="s">
        <v>1114</v>
      </c>
      <c r="C137" s="1332"/>
      <c r="D137" s="694"/>
      <c r="E137" s="670"/>
      <c r="F137" s="659"/>
      <c r="G137" s="670"/>
      <c r="H137" s="670"/>
      <c r="I137" s="670"/>
      <c r="J137" s="1444"/>
      <c r="K137" s="1355"/>
      <c r="L137" s="655"/>
      <c r="M137" s="655"/>
      <c r="N137" s="655"/>
      <c r="O137" s="655"/>
      <c r="P137" s="655"/>
      <c r="Q137" s="670"/>
      <c r="R137" s="655"/>
      <c r="S137" s="670"/>
      <c r="T137" s="670"/>
      <c r="U137" s="670"/>
      <c r="V137" s="670"/>
      <c r="W137" s="670"/>
      <c r="X137" s="670"/>
      <c r="Y137" s="670"/>
      <c r="Z137" s="670"/>
      <c r="AA137" s="670"/>
      <c r="AB137" s="670"/>
      <c r="AC137" s="670"/>
      <c r="AD137" s="670"/>
      <c r="AE137" s="670"/>
      <c r="AF137" s="670"/>
      <c r="AG137" s="670"/>
      <c r="AH137" s="670"/>
      <c r="AI137" s="670"/>
      <c r="AJ137" s="670"/>
      <c r="AK137" s="670"/>
      <c r="AL137" s="670"/>
      <c r="AM137" s="670"/>
      <c r="AN137" s="670"/>
      <c r="AO137" s="670"/>
      <c r="AP137" s="670"/>
      <c r="AQ137" s="670"/>
      <c r="AR137" s="670"/>
      <c r="AS137" s="670"/>
      <c r="AT137" s="670"/>
      <c r="AU137" s="670"/>
      <c r="AV137" s="670"/>
      <c r="AW137" s="670"/>
      <c r="AX137" s="670"/>
      <c r="AY137" s="670"/>
      <c r="AZ137" s="670"/>
      <c r="BA137" s="670"/>
      <c r="BB137" s="670"/>
      <c r="BC137" s="670"/>
      <c r="BD137" s="670"/>
      <c r="BE137" s="670"/>
      <c r="BF137" s="670"/>
      <c r="BG137" s="670"/>
      <c r="BH137" s="670"/>
      <c r="BI137" s="670"/>
      <c r="BJ137" s="670"/>
      <c r="BK137" s="670"/>
      <c r="BL137" s="670"/>
      <c r="BM137" s="670"/>
      <c r="BN137" s="670"/>
      <c r="BO137" s="670"/>
      <c r="BP137" s="670"/>
      <c r="BQ137" s="670"/>
      <c r="BR137" s="670"/>
      <c r="BS137" s="670"/>
      <c r="BT137" s="670"/>
      <c r="BU137" s="670"/>
      <c r="BV137" s="670"/>
      <c r="BW137" s="670"/>
      <c r="BX137" s="670"/>
      <c r="BY137" s="670"/>
      <c r="BZ137" s="670"/>
      <c r="CA137" s="670"/>
      <c r="CB137" s="670"/>
      <c r="CC137" s="670"/>
      <c r="CD137" s="670"/>
      <c r="CE137" s="670"/>
      <c r="CF137" s="670"/>
      <c r="CG137" s="670"/>
      <c r="CH137" s="670"/>
      <c r="CI137" s="670"/>
      <c r="CJ137" s="670"/>
      <c r="CK137" s="670"/>
      <c r="CL137" s="670"/>
      <c r="CM137" s="670"/>
      <c r="CN137" s="670"/>
      <c r="CO137" s="670"/>
    </row>
    <row r="138" spans="1:93" hidden="1">
      <c r="A138" s="1590"/>
      <c r="B138" s="1332" t="s">
        <v>1115</v>
      </c>
      <c r="C138" s="1332"/>
      <c r="D138" s="694"/>
      <c r="E138" s="670"/>
      <c r="F138" s="659"/>
      <c r="G138" s="670"/>
      <c r="H138" s="670"/>
      <c r="I138" s="670"/>
      <c r="J138" s="1444"/>
      <c r="K138" s="1355"/>
      <c r="L138" s="655"/>
      <c r="M138" s="655"/>
      <c r="N138" s="655"/>
      <c r="O138" s="655"/>
      <c r="P138" s="655"/>
      <c r="Q138" s="670"/>
      <c r="R138" s="655"/>
      <c r="S138" s="670"/>
      <c r="T138" s="670"/>
      <c r="U138" s="670"/>
      <c r="V138" s="670"/>
      <c r="W138" s="670"/>
      <c r="X138" s="670"/>
      <c r="Y138" s="670"/>
      <c r="Z138" s="670"/>
      <c r="AA138" s="670"/>
      <c r="AB138" s="670"/>
      <c r="AC138" s="670"/>
      <c r="AD138" s="670"/>
      <c r="AE138" s="670"/>
      <c r="AF138" s="670"/>
      <c r="AG138" s="670"/>
      <c r="AH138" s="670"/>
      <c r="AI138" s="670"/>
      <c r="AJ138" s="670"/>
      <c r="AK138" s="670"/>
      <c r="AL138" s="670"/>
      <c r="AM138" s="670"/>
      <c r="AN138" s="670"/>
      <c r="AO138" s="670"/>
      <c r="AP138" s="670"/>
      <c r="AQ138" s="670"/>
      <c r="AR138" s="670"/>
      <c r="AS138" s="670"/>
      <c r="AT138" s="670"/>
      <c r="AU138" s="670"/>
      <c r="AV138" s="670"/>
      <c r="AW138" s="670"/>
      <c r="AX138" s="670"/>
      <c r="AY138" s="670"/>
      <c r="AZ138" s="670"/>
      <c r="BA138" s="670"/>
      <c r="BB138" s="670"/>
      <c r="BC138" s="670"/>
      <c r="BD138" s="670"/>
      <c r="BE138" s="670"/>
      <c r="BF138" s="670"/>
      <c r="BG138" s="670"/>
      <c r="BH138" s="670"/>
      <c r="BI138" s="670"/>
      <c r="BJ138" s="670"/>
      <c r="BK138" s="670"/>
      <c r="BL138" s="670"/>
      <c r="BM138" s="670"/>
      <c r="BN138" s="670"/>
      <c r="BO138" s="670"/>
      <c r="BP138" s="670"/>
      <c r="BQ138" s="670"/>
      <c r="BR138" s="670"/>
      <c r="BS138" s="670"/>
      <c r="BT138" s="670"/>
      <c r="BU138" s="670"/>
      <c r="BV138" s="670"/>
      <c r="BW138" s="670"/>
      <c r="BX138" s="670"/>
      <c r="BY138" s="670"/>
      <c r="BZ138" s="670"/>
      <c r="CA138" s="670"/>
      <c r="CB138" s="670"/>
      <c r="CC138" s="670"/>
      <c r="CD138" s="670"/>
      <c r="CE138" s="670"/>
      <c r="CF138" s="670"/>
      <c r="CG138" s="670"/>
      <c r="CH138" s="670"/>
      <c r="CI138" s="670"/>
      <c r="CJ138" s="670"/>
      <c r="CK138" s="670"/>
      <c r="CL138" s="670"/>
      <c r="CM138" s="670"/>
      <c r="CN138" s="670"/>
      <c r="CO138" s="670"/>
    </row>
    <row r="139" spans="1:93" hidden="1">
      <c r="A139" s="1590"/>
      <c r="B139" s="708" t="s">
        <v>1112</v>
      </c>
      <c r="C139" s="708"/>
      <c r="D139" s="717"/>
      <c r="E139" s="670"/>
      <c r="F139" s="482"/>
      <c r="G139" s="670"/>
      <c r="H139" s="670"/>
      <c r="I139" s="670"/>
      <c r="J139" s="1445"/>
      <c r="K139" s="1355"/>
      <c r="L139" s="655"/>
      <c r="M139" s="655"/>
      <c r="N139" s="655"/>
      <c r="O139" s="655"/>
      <c r="P139" s="655"/>
      <c r="Q139" s="670"/>
      <c r="R139" s="655"/>
      <c r="S139" s="670"/>
      <c r="T139" s="670"/>
      <c r="U139" s="670"/>
      <c r="V139" s="670"/>
      <c r="W139" s="670"/>
      <c r="X139" s="670"/>
      <c r="Y139" s="670"/>
      <c r="Z139" s="670"/>
      <c r="AA139" s="670"/>
      <c r="AB139" s="670"/>
      <c r="AC139" s="670"/>
      <c r="AD139" s="670"/>
      <c r="AE139" s="670"/>
      <c r="AF139" s="670"/>
      <c r="AG139" s="670"/>
      <c r="AH139" s="670"/>
      <c r="AI139" s="670"/>
      <c r="AJ139" s="670"/>
      <c r="AK139" s="670"/>
      <c r="AL139" s="670"/>
      <c r="AM139" s="670"/>
      <c r="AN139" s="670"/>
      <c r="AO139" s="670"/>
      <c r="AP139" s="670"/>
      <c r="AQ139" s="670"/>
      <c r="AR139" s="670"/>
      <c r="AS139" s="670"/>
      <c r="AT139" s="670"/>
      <c r="AU139" s="670"/>
      <c r="AV139" s="670"/>
      <c r="AW139" s="670"/>
      <c r="AX139" s="670"/>
      <c r="AY139" s="670"/>
      <c r="AZ139" s="670"/>
      <c r="BA139" s="670"/>
      <c r="BB139" s="670"/>
      <c r="BC139" s="670"/>
      <c r="BD139" s="670"/>
      <c r="BE139" s="670"/>
      <c r="BF139" s="670"/>
      <c r="BG139" s="670"/>
      <c r="BH139" s="670"/>
      <c r="BI139" s="670"/>
      <c r="BJ139" s="670"/>
      <c r="BK139" s="670"/>
      <c r="BL139" s="670"/>
      <c r="BM139" s="670"/>
      <c r="BN139" s="670"/>
      <c r="BO139" s="670"/>
      <c r="BP139" s="670"/>
      <c r="BQ139" s="670"/>
      <c r="BR139" s="670"/>
      <c r="BS139" s="670"/>
      <c r="BT139" s="670"/>
      <c r="BU139" s="670"/>
      <c r="BV139" s="670"/>
      <c r="BW139" s="670"/>
      <c r="BX139" s="670"/>
      <c r="BY139" s="670"/>
      <c r="BZ139" s="670"/>
      <c r="CA139" s="670"/>
      <c r="CB139" s="670"/>
      <c r="CC139" s="670"/>
      <c r="CD139" s="670"/>
      <c r="CE139" s="670"/>
      <c r="CF139" s="670"/>
      <c r="CG139" s="670"/>
      <c r="CH139" s="670"/>
      <c r="CI139" s="670"/>
      <c r="CJ139" s="670"/>
      <c r="CK139" s="670"/>
      <c r="CL139" s="670"/>
      <c r="CM139" s="670"/>
      <c r="CN139" s="670"/>
      <c r="CO139" s="670"/>
    </row>
    <row r="140" spans="1:93">
      <c r="A140" s="1590"/>
      <c r="B140" s="708"/>
      <c r="C140" s="708"/>
      <c r="D140" s="713"/>
      <c r="E140" s="670"/>
      <c r="F140" s="655"/>
      <c r="G140" s="670"/>
      <c r="H140" s="670"/>
      <c r="I140" s="670"/>
      <c r="J140" s="1439"/>
      <c r="K140" s="1355"/>
      <c r="L140" s="655"/>
      <c r="M140" s="655"/>
      <c r="N140" s="655"/>
      <c r="O140" s="655"/>
      <c r="P140" s="655"/>
      <c r="Q140" s="670"/>
      <c r="R140" s="655"/>
      <c r="S140" s="670"/>
      <c r="T140" s="670"/>
      <c r="U140" s="670"/>
      <c r="V140" s="670"/>
      <c r="W140" s="670"/>
      <c r="X140" s="670"/>
      <c r="Y140" s="670"/>
      <c r="Z140" s="670"/>
      <c r="AA140" s="670"/>
      <c r="AB140" s="670"/>
      <c r="AC140" s="670"/>
      <c r="AD140" s="670"/>
      <c r="AE140" s="670"/>
      <c r="AF140" s="670"/>
      <c r="AG140" s="670"/>
      <c r="AH140" s="670"/>
      <c r="AI140" s="670"/>
      <c r="AJ140" s="670"/>
      <c r="AK140" s="670"/>
      <c r="AL140" s="670"/>
      <c r="AM140" s="670"/>
      <c r="AN140" s="670"/>
      <c r="AO140" s="670"/>
      <c r="AP140" s="670"/>
      <c r="AQ140" s="670"/>
      <c r="AR140" s="670"/>
      <c r="AS140" s="670"/>
      <c r="AT140" s="670"/>
      <c r="AU140" s="670"/>
      <c r="AV140" s="670"/>
      <c r="AW140" s="670"/>
      <c r="AX140" s="670"/>
      <c r="AY140" s="670"/>
      <c r="AZ140" s="670"/>
      <c r="BA140" s="670"/>
      <c r="BB140" s="670"/>
      <c r="BC140" s="670"/>
      <c r="BD140" s="670"/>
      <c r="BE140" s="670"/>
      <c r="BF140" s="670"/>
      <c r="BG140" s="670"/>
      <c r="BH140" s="670"/>
      <c r="BI140" s="670"/>
      <c r="BJ140" s="670"/>
      <c r="BK140" s="670"/>
      <c r="BL140" s="670"/>
      <c r="BM140" s="670"/>
      <c r="BN140" s="670"/>
      <c r="BO140" s="670"/>
      <c r="BP140" s="670"/>
      <c r="BQ140" s="670"/>
      <c r="BR140" s="670"/>
      <c r="BS140" s="670"/>
      <c r="BT140" s="670"/>
      <c r="BU140" s="670"/>
      <c r="BV140" s="670"/>
      <c r="BW140" s="670"/>
      <c r="BX140" s="670"/>
      <c r="BY140" s="670"/>
      <c r="BZ140" s="670"/>
      <c r="CA140" s="670"/>
      <c r="CB140" s="670"/>
      <c r="CC140" s="670"/>
      <c r="CD140" s="670"/>
      <c r="CE140" s="670"/>
      <c r="CF140" s="670"/>
      <c r="CG140" s="670"/>
      <c r="CH140" s="670"/>
      <c r="CI140" s="670"/>
      <c r="CJ140" s="670"/>
      <c r="CK140" s="670"/>
      <c r="CL140" s="670"/>
      <c r="CM140" s="670"/>
      <c r="CN140" s="670"/>
      <c r="CO140" s="670"/>
    </row>
    <row r="141" spans="1:93" ht="26.25" thickBot="1">
      <c r="A141" s="1590"/>
      <c r="B141" s="709" t="s">
        <v>3908</v>
      </c>
      <c r="C141" s="709"/>
      <c r="D141" s="710">
        <f>D132+D127</f>
        <v>866905.8</v>
      </c>
      <c r="E141" s="670"/>
      <c r="F141" s="710">
        <f>F132+F127</f>
        <v>1472417.19</v>
      </c>
      <c r="G141" s="670"/>
      <c r="H141" s="670"/>
      <c r="I141" s="670"/>
      <c r="J141" s="1685">
        <f>J132+J127</f>
        <v>1596555.01</v>
      </c>
      <c r="K141" s="1355"/>
      <c r="L141" s="655"/>
      <c r="M141" s="655"/>
      <c r="N141" s="655"/>
      <c r="O141" s="655"/>
      <c r="P141" s="655"/>
      <c r="Q141" s="670"/>
      <c r="R141" s="655"/>
      <c r="S141" s="670"/>
      <c r="T141" s="670"/>
      <c r="U141" s="670"/>
      <c r="V141" s="670"/>
      <c r="W141" s="670"/>
      <c r="X141" s="670"/>
      <c r="Y141" s="670"/>
      <c r="Z141" s="670"/>
      <c r="AA141" s="670"/>
      <c r="AB141" s="670"/>
      <c r="AC141" s="670"/>
      <c r="AD141" s="670"/>
      <c r="AE141" s="670"/>
      <c r="AF141" s="670"/>
      <c r="AG141" s="670"/>
      <c r="AH141" s="670"/>
      <c r="AI141" s="670"/>
      <c r="AJ141" s="670"/>
      <c r="AK141" s="670"/>
      <c r="AL141" s="670"/>
      <c r="AM141" s="670"/>
      <c r="AN141" s="670"/>
      <c r="AO141" s="670"/>
      <c r="AP141" s="670"/>
      <c r="AQ141" s="670"/>
      <c r="AR141" s="670"/>
      <c r="AS141" s="670"/>
      <c r="AT141" s="670"/>
      <c r="AU141" s="670"/>
      <c r="AV141" s="670"/>
      <c r="AW141" s="670"/>
      <c r="AX141" s="670"/>
      <c r="AY141" s="670"/>
      <c r="AZ141" s="670"/>
      <c r="BA141" s="670"/>
      <c r="BB141" s="670"/>
      <c r="BC141" s="670"/>
      <c r="BD141" s="670"/>
      <c r="BE141" s="670"/>
      <c r="BF141" s="670"/>
      <c r="BG141" s="670"/>
      <c r="BH141" s="670"/>
      <c r="BI141" s="670"/>
      <c r="BJ141" s="670"/>
      <c r="BK141" s="670"/>
      <c r="BL141" s="670"/>
      <c r="BM141" s="670"/>
      <c r="BN141" s="670"/>
      <c r="BO141" s="670"/>
      <c r="BP141" s="670"/>
      <c r="BQ141" s="670"/>
      <c r="BR141" s="670"/>
      <c r="BS141" s="670"/>
      <c r="BT141" s="670"/>
      <c r="BU141" s="670"/>
      <c r="BV141" s="670"/>
      <c r="BW141" s="670"/>
      <c r="BX141" s="670"/>
      <c r="BY141" s="670"/>
      <c r="BZ141" s="670"/>
      <c r="CA141" s="670"/>
      <c r="CB141" s="670"/>
      <c r="CC141" s="670"/>
      <c r="CD141" s="670"/>
      <c r="CE141" s="670"/>
      <c r="CF141" s="670"/>
      <c r="CG141" s="670"/>
      <c r="CH141" s="670"/>
      <c r="CI141" s="670"/>
      <c r="CJ141" s="670"/>
      <c r="CK141" s="670"/>
      <c r="CL141" s="670"/>
      <c r="CM141" s="670"/>
      <c r="CN141" s="670"/>
      <c r="CO141" s="670"/>
    </row>
    <row r="142" spans="1:93" ht="13.5" thickTop="1">
      <c r="A142" s="1590"/>
      <c r="B142" s="1332"/>
      <c r="C142" s="1332"/>
      <c r="D142" s="726"/>
      <c r="E142" s="670"/>
      <c r="F142" s="655"/>
      <c r="G142" s="670"/>
      <c r="H142" s="670"/>
      <c r="I142" s="670"/>
      <c r="J142" s="1439"/>
      <c r="K142" s="1355"/>
      <c r="L142" s="655"/>
      <c r="M142" s="655"/>
      <c r="N142" s="655"/>
      <c r="O142" s="655"/>
      <c r="P142" s="655"/>
      <c r="Q142" s="670"/>
      <c r="R142" s="655"/>
      <c r="S142" s="670"/>
      <c r="T142" s="670"/>
      <c r="U142" s="670"/>
      <c r="V142" s="670"/>
      <c r="W142" s="670"/>
      <c r="X142" s="670"/>
      <c r="Y142" s="670"/>
      <c r="Z142" s="670"/>
      <c r="AA142" s="670"/>
      <c r="AB142" s="670"/>
      <c r="AC142" s="670"/>
      <c r="AD142" s="670"/>
      <c r="AE142" s="670"/>
      <c r="AF142" s="670"/>
      <c r="AG142" s="670"/>
      <c r="AH142" s="670"/>
      <c r="AI142" s="670"/>
      <c r="AJ142" s="670"/>
      <c r="AK142" s="670"/>
      <c r="AL142" s="670"/>
      <c r="AM142" s="670"/>
      <c r="AN142" s="670"/>
      <c r="AO142" s="670"/>
      <c r="AP142" s="670"/>
      <c r="AQ142" s="670"/>
      <c r="AR142" s="670"/>
      <c r="AS142" s="670"/>
      <c r="AT142" s="670"/>
      <c r="AU142" s="670"/>
      <c r="AV142" s="670"/>
      <c r="AW142" s="670"/>
      <c r="AX142" s="670"/>
      <c r="AY142" s="670"/>
      <c r="AZ142" s="670"/>
      <c r="BA142" s="670"/>
      <c r="BB142" s="670"/>
      <c r="BC142" s="670"/>
      <c r="BD142" s="670"/>
      <c r="BE142" s="670"/>
      <c r="BF142" s="670"/>
      <c r="BG142" s="670"/>
      <c r="BH142" s="670"/>
      <c r="BI142" s="670"/>
      <c r="BJ142" s="670"/>
      <c r="BK142" s="670"/>
      <c r="BL142" s="670"/>
      <c r="BM142" s="670"/>
      <c r="BN142" s="670"/>
      <c r="BO142" s="670"/>
      <c r="BP142" s="670"/>
      <c r="BQ142" s="670"/>
      <c r="BR142" s="670"/>
      <c r="BS142" s="670"/>
      <c r="BT142" s="670"/>
      <c r="BU142" s="670"/>
      <c r="BV142" s="670"/>
      <c r="BW142" s="670"/>
      <c r="BX142" s="670"/>
      <c r="BY142" s="670"/>
      <c r="BZ142" s="670"/>
      <c r="CA142" s="670"/>
      <c r="CB142" s="670"/>
      <c r="CC142" s="670"/>
      <c r="CD142" s="670"/>
      <c r="CE142" s="670"/>
      <c r="CF142" s="670"/>
      <c r="CG142" s="670"/>
      <c r="CH142" s="670"/>
      <c r="CI142" s="670"/>
      <c r="CJ142" s="670"/>
      <c r="CK142" s="670"/>
      <c r="CL142" s="670"/>
      <c r="CM142" s="670"/>
      <c r="CN142" s="670"/>
      <c r="CO142" s="670"/>
    </row>
    <row r="143" spans="1:93">
      <c r="A143" s="1596"/>
      <c r="B143" s="699"/>
      <c r="C143" s="699"/>
      <c r="D143" s="700"/>
      <c r="E143" s="699"/>
      <c r="F143" s="700"/>
      <c r="G143" s="699"/>
      <c r="H143" s="699"/>
      <c r="I143" s="699"/>
      <c r="J143" s="1570"/>
      <c r="K143" s="1352"/>
      <c r="L143" s="655"/>
      <c r="M143" s="655"/>
      <c r="N143" s="655"/>
      <c r="O143" s="655"/>
      <c r="P143" s="655"/>
      <c r="Q143" s="670"/>
      <c r="R143" s="655"/>
      <c r="S143" s="670"/>
      <c r="T143" s="670"/>
      <c r="U143" s="670"/>
      <c r="V143" s="670"/>
      <c r="W143" s="670"/>
      <c r="X143" s="670"/>
      <c r="Y143" s="670"/>
      <c r="Z143" s="670"/>
      <c r="AA143" s="670"/>
      <c r="AB143" s="670"/>
      <c r="AC143" s="670"/>
      <c r="AD143" s="670"/>
      <c r="AE143" s="670"/>
      <c r="AF143" s="670"/>
      <c r="AG143" s="670"/>
      <c r="AH143" s="670"/>
      <c r="AI143" s="670"/>
      <c r="AJ143" s="670"/>
      <c r="AK143" s="670"/>
      <c r="AL143" s="670"/>
      <c r="AM143" s="670"/>
      <c r="AN143" s="670"/>
      <c r="AO143" s="670"/>
      <c r="AP143" s="670"/>
      <c r="AQ143" s="670"/>
      <c r="AR143" s="670"/>
      <c r="AS143" s="670"/>
      <c r="AT143" s="670"/>
      <c r="AU143" s="670"/>
      <c r="AV143" s="670"/>
      <c r="AW143" s="670"/>
      <c r="AX143" s="670"/>
      <c r="AY143" s="670"/>
      <c r="AZ143" s="670"/>
      <c r="BA143" s="670"/>
      <c r="BB143" s="670"/>
      <c r="BC143" s="670"/>
      <c r="BD143" s="670"/>
      <c r="BE143" s="670"/>
      <c r="BF143" s="670"/>
      <c r="BG143" s="670"/>
      <c r="BH143" s="670"/>
      <c r="BI143" s="670"/>
      <c r="BJ143" s="670"/>
      <c r="BK143" s="670"/>
      <c r="BL143" s="670"/>
      <c r="BM143" s="670"/>
      <c r="BN143" s="670"/>
      <c r="BO143" s="670"/>
      <c r="BP143" s="670"/>
      <c r="BQ143" s="670"/>
      <c r="BR143" s="670"/>
      <c r="BS143" s="670"/>
      <c r="BT143" s="670"/>
      <c r="BU143" s="670"/>
      <c r="BV143" s="670"/>
      <c r="BW143" s="670"/>
      <c r="BX143" s="670"/>
      <c r="BY143" s="670"/>
      <c r="BZ143" s="670"/>
      <c r="CA143" s="670"/>
      <c r="CB143" s="670"/>
      <c r="CC143" s="670"/>
      <c r="CD143" s="670"/>
      <c r="CE143" s="670"/>
      <c r="CF143" s="670"/>
      <c r="CG143" s="670"/>
      <c r="CH143" s="670"/>
      <c r="CI143" s="670"/>
      <c r="CJ143" s="670"/>
      <c r="CK143" s="670"/>
      <c r="CL143" s="670"/>
      <c r="CM143" s="670"/>
      <c r="CN143" s="670"/>
      <c r="CO143" s="670"/>
    </row>
    <row r="144" spans="1:93">
      <c r="A144" s="1684"/>
      <c r="B144" s="677"/>
      <c r="C144" s="677"/>
      <c r="D144" s="676"/>
      <c r="E144" s="677"/>
      <c r="F144" s="676"/>
      <c r="G144" s="677"/>
      <c r="H144" s="677"/>
      <c r="I144" s="677"/>
      <c r="J144" s="1572"/>
      <c r="K144" s="1353"/>
      <c r="L144" s="655"/>
      <c r="M144" s="655"/>
      <c r="N144" s="655"/>
      <c r="O144" s="655"/>
      <c r="P144" s="655"/>
      <c r="Q144" s="670"/>
      <c r="R144" s="655"/>
      <c r="S144" s="670"/>
      <c r="T144" s="670"/>
      <c r="U144" s="670"/>
      <c r="V144" s="670"/>
      <c r="W144" s="670"/>
      <c r="X144" s="670"/>
      <c r="Y144" s="670"/>
      <c r="Z144" s="670"/>
      <c r="AA144" s="670"/>
      <c r="AB144" s="670"/>
      <c r="AC144" s="670"/>
      <c r="AD144" s="670"/>
      <c r="AE144" s="670"/>
      <c r="AF144" s="670"/>
      <c r="AG144" s="670"/>
      <c r="AH144" s="670"/>
      <c r="AI144" s="670"/>
      <c r="AJ144" s="670"/>
      <c r="AK144" s="670"/>
      <c r="AL144" s="670"/>
      <c r="AM144" s="670"/>
      <c r="AN144" s="670"/>
      <c r="AO144" s="670"/>
      <c r="AP144" s="670"/>
      <c r="AQ144" s="670"/>
      <c r="AR144" s="670"/>
      <c r="AS144" s="670"/>
      <c r="AT144" s="670"/>
      <c r="AU144" s="670"/>
      <c r="AV144" s="670"/>
      <c r="AW144" s="670"/>
      <c r="AX144" s="670"/>
      <c r="AY144" s="670"/>
      <c r="AZ144" s="670"/>
      <c r="BA144" s="670"/>
      <c r="BB144" s="670"/>
      <c r="BC144" s="670"/>
      <c r="BD144" s="670"/>
      <c r="BE144" s="670"/>
      <c r="BF144" s="670"/>
      <c r="BG144" s="670"/>
      <c r="BH144" s="670"/>
      <c r="BI144" s="670"/>
      <c r="BJ144" s="670"/>
      <c r="BK144" s="670"/>
      <c r="BL144" s="670"/>
      <c r="BM144" s="670"/>
      <c r="BN144" s="670"/>
      <c r="BO144" s="670"/>
      <c r="BP144" s="670"/>
      <c r="BQ144" s="670"/>
      <c r="BR144" s="670"/>
      <c r="BS144" s="670"/>
      <c r="BT144" s="670"/>
      <c r="BU144" s="670"/>
      <c r="BV144" s="670"/>
      <c r="BW144" s="670"/>
      <c r="BX144" s="670"/>
      <c r="BY144" s="670"/>
      <c r="BZ144" s="670"/>
      <c r="CA144" s="670"/>
      <c r="CB144" s="670"/>
      <c r="CC144" s="670"/>
      <c r="CD144" s="670"/>
      <c r="CE144" s="670"/>
      <c r="CF144" s="670"/>
      <c r="CG144" s="670"/>
      <c r="CH144" s="670"/>
      <c r="CI144" s="670"/>
      <c r="CJ144" s="670"/>
      <c r="CK144" s="670"/>
      <c r="CL144" s="670"/>
      <c r="CM144" s="670"/>
      <c r="CN144" s="670"/>
      <c r="CO144" s="670"/>
    </row>
    <row r="145" spans="1:93">
      <c r="A145" s="1679" t="s">
        <v>723</v>
      </c>
      <c r="B145" s="709" t="s">
        <v>431</v>
      </c>
      <c r="C145" s="709"/>
      <c r="D145" s="711"/>
      <c r="E145" s="670"/>
      <c r="F145" s="700"/>
      <c r="G145" s="670"/>
      <c r="H145" s="670"/>
      <c r="I145" s="670"/>
      <c r="J145" s="1570"/>
      <c r="K145" s="1355"/>
      <c r="L145" s="655"/>
      <c r="M145" s="655"/>
      <c r="N145" s="655"/>
      <c r="O145" s="655"/>
      <c r="P145" s="655"/>
      <c r="Q145" s="670"/>
      <c r="R145" s="655"/>
      <c r="S145" s="670"/>
      <c r="T145" s="670"/>
      <c r="U145" s="670"/>
      <c r="V145" s="670"/>
      <c r="W145" s="670"/>
      <c r="X145" s="670"/>
      <c r="Y145" s="670"/>
      <c r="Z145" s="670"/>
      <c r="AA145" s="670"/>
      <c r="AB145" s="670"/>
      <c r="AC145" s="670"/>
      <c r="AD145" s="670"/>
      <c r="AE145" s="670"/>
      <c r="AF145" s="670"/>
      <c r="AG145" s="670"/>
      <c r="AH145" s="670"/>
      <c r="AI145" s="670"/>
      <c r="AJ145" s="670"/>
      <c r="AK145" s="670"/>
      <c r="AL145" s="670"/>
      <c r="AM145" s="670"/>
      <c r="AN145" s="670"/>
      <c r="AO145" s="670"/>
      <c r="AP145" s="670"/>
      <c r="AQ145" s="670"/>
      <c r="AR145" s="670"/>
      <c r="AS145" s="670"/>
      <c r="AT145" s="670"/>
      <c r="AU145" s="670"/>
      <c r="AV145" s="670"/>
      <c r="AW145" s="670"/>
      <c r="AX145" s="670"/>
      <c r="AY145" s="670"/>
      <c r="AZ145" s="670"/>
      <c r="BA145" s="670"/>
      <c r="BB145" s="670"/>
      <c r="BC145" s="670"/>
      <c r="BD145" s="670"/>
      <c r="BE145" s="670"/>
      <c r="BF145" s="670"/>
      <c r="BG145" s="670"/>
      <c r="BH145" s="670"/>
      <c r="BI145" s="670"/>
      <c r="BJ145" s="670"/>
      <c r="BK145" s="670"/>
      <c r="BL145" s="670"/>
      <c r="BM145" s="670"/>
      <c r="BN145" s="670"/>
      <c r="BO145" s="670"/>
      <c r="BP145" s="670"/>
      <c r="BQ145" s="670"/>
      <c r="BR145" s="670"/>
      <c r="BS145" s="670"/>
      <c r="BT145" s="670"/>
      <c r="BU145" s="670"/>
      <c r="BV145" s="670"/>
      <c r="BW145" s="670"/>
      <c r="BX145" s="670"/>
      <c r="BY145" s="670"/>
      <c r="BZ145" s="670"/>
      <c r="CA145" s="670"/>
      <c r="CB145" s="670"/>
      <c r="CC145" s="670"/>
      <c r="CD145" s="670"/>
      <c r="CE145" s="670"/>
      <c r="CF145" s="670"/>
      <c r="CG145" s="670"/>
      <c r="CH145" s="670"/>
      <c r="CI145" s="670"/>
      <c r="CJ145" s="670"/>
      <c r="CK145" s="670"/>
      <c r="CL145" s="670"/>
      <c r="CM145" s="670"/>
      <c r="CN145" s="670"/>
      <c r="CO145" s="670"/>
    </row>
    <row r="146" spans="1:93">
      <c r="A146" s="1590"/>
      <c r="B146" s="708" t="s">
        <v>2316</v>
      </c>
      <c r="C146" s="708"/>
      <c r="D146" s="658">
        <f>-SUM('TRAIL BALANCE'!S217+'TRAIL BALANCE'!S441)</f>
        <v>112244.03</v>
      </c>
      <c r="E146" s="670"/>
      <c r="F146" s="659">
        <f>-SUM('TRAIL BALANCE'!G217+'TRAIL BALANCE'!G441)</f>
        <v>106135.19</v>
      </c>
      <c r="G146" s="670"/>
      <c r="H146" s="670"/>
      <c r="I146" s="670"/>
      <c r="J146" s="1444">
        <f>-SUM('TRAIL BALANCE'!E217+'TRAIL BALANCE'!E441)</f>
        <v>92810.73000000001</v>
      </c>
      <c r="K146" s="1355"/>
      <c r="L146" s="655">
        <f>D146-F146</f>
        <v>6108.8399999999965</v>
      </c>
      <c r="M146" s="655"/>
      <c r="N146" s="655"/>
      <c r="O146" s="655" t="s">
        <v>45</v>
      </c>
      <c r="P146" s="655"/>
      <c r="Q146" s="670"/>
      <c r="R146" s="655"/>
      <c r="S146" s="670"/>
      <c r="T146" s="670"/>
      <c r="U146" s="670"/>
      <c r="V146" s="670"/>
      <c r="W146" s="670"/>
      <c r="X146" s="670"/>
      <c r="Y146" s="670"/>
      <c r="Z146" s="670"/>
      <c r="AA146" s="670"/>
      <c r="AB146" s="670"/>
      <c r="AC146" s="670"/>
      <c r="AD146" s="670"/>
      <c r="AE146" s="670"/>
      <c r="AF146" s="670"/>
      <c r="AG146" s="670"/>
      <c r="AH146" s="670"/>
      <c r="AI146" s="670"/>
      <c r="AJ146" s="670"/>
      <c r="AK146" s="670"/>
      <c r="AL146" s="670"/>
      <c r="AM146" s="670"/>
      <c r="AN146" s="670"/>
      <c r="AO146" s="670"/>
      <c r="AP146" s="670"/>
      <c r="AQ146" s="670"/>
      <c r="AR146" s="670"/>
      <c r="AS146" s="670"/>
      <c r="AT146" s="670"/>
      <c r="AU146" s="670"/>
      <c r="AV146" s="670"/>
      <c r="AW146" s="670"/>
      <c r="AX146" s="670"/>
      <c r="AY146" s="670"/>
      <c r="AZ146" s="670"/>
      <c r="BA146" s="670"/>
      <c r="BB146" s="670"/>
      <c r="BC146" s="670"/>
      <c r="BD146" s="670"/>
      <c r="BE146" s="670"/>
      <c r="BF146" s="670"/>
      <c r="BG146" s="670"/>
      <c r="BH146" s="670"/>
      <c r="BI146" s="670"/>
      <c r="BJ146" s="670"/>
      <c r="BK146" s="670"/>
      <c r="BL146" s="670"/>
      <c r="BM146" s="670"/>
      <c r="BN146" s="670"/>
      <c r="BO146" s="670"/>
      <c r="BP146" s="670"/>
      <c r="BQ146" s="670"/>
      <c r="BR146" s="670"/>
      <c r="BS146" s="670"/>
      <c r="BT146" s="670"/>
      <c r="BU146" s="670"/>
      <c r="BV146" s="670"/>
      <c r="BW146" s="670"/>
      <c r="BX146" s="670"/>
      <c r="BY146" s="670"/>
      <c r="BZ146" s="670"/>
      <c r="CA146" s="670"/>
      <c r="CB146" s="670"/>
      <c r="CC146" s="670"/>
      <c r="CD146" s="670"/>
      <c r="CE146" s="670"/>
      <c r="CF146" s="670"/>
      <c r="CG146" s="670"/>
      <c r="CH146" s="670"/>
      <c r="CI146" s="670"/>
      <c r="CJ146" s="670"/>
      <c r="CK146" s="670"/>
      <c r="CL146" s="670"/>
      <c r="CM146" s="670"/>
      <c r="CN146" s="670"/>
      <c r="CO146" s="670"/>
    </row>
    <row r="147" spans="1:93">
      <c r="A147" s="1590"/>
      <c r="B147" s="708" t="s">
        <v>2317</v>
      </c>
      <c r="C147" s="708"/>
      <c r="D147" s="659">
        <f>-SUM('TRAIL BALANCE'!S10)</f>
        <v>0</v>
      </c>
      <c r="E147" s="670"/>
      <c r="F147" s="659">
        <f>-SUM('TRAIL BALANCE'!G10)</f>
        <v>0</v>
      </c>
      <c r="G147" s="670"/>
      <c r="H147" s="670"/>
      <c r="I147" s="670"/>
      <c r="J147" s="1444">
        <f>-SUM('TRAIL BALANCE'!E10)</f>
        <v>56950.080000000002</v>
      </c>
      <c r="K147" s="1355"/>
      <c r="L147" s="655">
        <f t="shared" ref="L147:L155" si="0">D147-F147</f>
        <v>0</v>
      </c>
      <c r="M147" s="655"/>
      <c r="N147" s="655"/>
      <c r="O147" s="655" t="s">
        <v>45</v>
      </c>
      <c r="P147" s="655" t="s">
        <v>45</v>
      </c>
      <c r="Q147" s="670"/>
      <c r="R147" s="655"/>
      <c r="S147" s="670"/>
      <c r="T147" s="670"/>
      <c r="U147" s="670"/>
      <c r="V147" s="670"/>
      <c r="W147" s="670"/>
      <c r="X147" s="670"/>
      <c r="Y147" s="670"/>
      <c r="Z147" s="670"/>
      <c r="AA147" s="670"/>
      <c r="AB147" s="670"/>
      <c r="AC147" s="670"/>
      <c r="AD147" s="670"/>
      <c r="AE147" s="670"/>
      <c r="AF147" s="670"/>
      <c r="AG147" s="670"/>
      <c r="AH147" s="670"/>
      <c r="AI147" s="670"/>
      <c r="AJ147" s="670"/>
      <c r="AK147" s="670"/>
      <c r="AL147" s="670"/>
      <c r="AM147" s="670"/>
      <c r="AN147" s="670"/>
      <c r="AO147" s="670"/>
      <c r="AP147" s="670"/>
      <c r="AQ147" s="670"/>
      <c r="AR147" s="670"/>
      <c r="AS147" s="670"/>
      <c r="AT147" s="670"/>
      <c r="AU147" s="670"/>
      <c r="AV147" s="670"/>
      <c r="AW147" s="670"/>
      <c r="AX147" s="670"/>
      <c r="AY147" s="670"/>
      <c r="AZ147" s="670"/>
      <c r="BA147" s="670"/>
      <c r="BB147" s="670"/>
      <c r="BC147" s="670"/>
      <c r="BD147" s="670"/>
      <c r="BE147" s="670"/>
      <c r="BF147" s="670"/>
      <c r="BG147" s="670"/>
      <c r="BH147" s="670"/>
      <c r="BI147" s="670"/>
      <c r="BJ147" s="670"/>
      <c r="BK147" s="670"/>
      <c r="BL147" s="670"/>
      <c r="BM147" s="670"/>
      <c r="BN147" s="670"/>
      <c r="BO147" s="670"/>
      <c r="BP147" s="670"/>
      <c r="BQ147" s="670"/>
      <c r="BR147" s="670"/>
      <c r="BS147" s="670"/>
      <c r="BT147" s="670"/>
      <c r="BU147" s="670"/>
      <c r="BV147" s="670"/>
      <c r="BW147" s="670"/>
      <c r="BX147" s="670"/>
      <c r="BY147" s="670"/>
      <c r="BZ147" s="670"/>
      <c r="CA147" s="670"/>
      <c r="CB147" s="670"/>
      <c r="CC147" s="670"/>
      <c r="CD147" s="670"/>
      <c r="CE147" s="670"/>
      <c r="CF147" s="670"/>
      <c r="CG147" s="670"/>
      <c r="CH147" s="670"/>
      <c r="CI147" s="670"/>
      <c r="CJ147" s="670"/>
      <c r="CK147" s="670"/>
      <c r="CL147" s="670"/>
      <c r="CM147" s="670"/>
      <c r="CN147" s="670"/>
      <c r="CO147" s="670"/>
    </row>
    <row r="148" spans="1:93">
      <c r="A148" s="1590"/>
      <c r="B148" s="708" t="s">
        <v>2428</v>
      </c>
      <c r="C148" s="708"/>
      <c r="D148" s="659">
        <f>-SUM('TRAIL BALANCE'!S540)</f>
        <v>792062.21</v>
      </c>
      <c r="E148" s="670"/>
      <c r="F148" s="659">
        <f>-SUM('TRAIL BALANCE'!G540)</f>
        <v>642677.78</v>
      </c>
      <c r="G148" s="670"/>
      <c r="H148" s="670"/>
      <c r="I148" s="670"/>
      <c r="J148" s="1444">
        <f>-SUM('TRAIL BALANCE'!E540)</f>
        <v>21728153.940000001</v>
      </c>
      <c r="K148" s="1355"/>
      <c r="L148" s="655">
        <f t="shared" si="0"/>
        <v>149384.42999999993</v>
      </c>
      <c r="M148" s="655"/>
      <c r="N148" s="655"/>
      <c r="O148" s="655" t="s">
        <v>45</v>
      </c>
      <c r="P148" s="655" t="s">
        <v>45</v>
      </c>
      <c r="Q148" s="670"/>
      <c r="R148" s="655"/>
      <c r="S148" s="670"/>
      <c r="T148" s="670"/>
      <c r="U148" s="670"/>
      <c r="V148" s="670"/>
      <c r="W148" s="670"/>
      <c r="X148" s="670"/>
      <c r="Y148" s="670"/>
      <c r="Z148" s="670"/>
      <c r="AA148" s="670"/>
      <c r="AB148" s="670"/>
      <c r="AC148" s="670"/>
      <c r="AD148" s="670"/>
      <c r="AE148" s="670"/>
      <c r="AF148" s="670"/>
      <c r="AG148" s="670"/>
      <c r="AH148" s="670"/>
      <c r="AI148" s="670"/>
      <c r="AJ148" s="670"/>
      <c r="AK148" s="670"/>
      <c r="AL148" s="670"/>
      <c r="AM148" s="670"/>
      <c r="AN148" s="670"/>
      <c r="AO148" s="670"/>
      <c r="AP148" s="670"/>
      <c r="AQ148" s="670"/>
      <c r="AR148" s="670"/>
      <c r="AS148" s="670"/>
      <c r="AT148" s="670"/>
      <c r="AU148" s="670"/>
      <c r="AV148" s="670"/>
      <c r="AW148" s="670"/>
      <c r="AX148" s="670"/>
      <c r="AY148" s="670"/>
      <c r="AZ148" s="670"/>
      <c r="BA148" s="670"/>
      <c r="BB148" s="670"/>
      <c r="BC148" s="670"/>
      <c r="BD148" s="670"/>
      <c r="BE148" s="670"/>
      <c r="BF148" s="670"/>
      <c r="BG148" s="670"/>
      <c r="BH148" s="670"/>
      <c r="BI148" s="670"/>
      <c r="BJ148" s="670"/>
      <c r="BK148" s="670"/>
      <c r="BL148" s="670"/>
      <c r="BM148" s="670"/>
      <c r="BN148" s="670"/>
      <c r="BO148" s="670"/>
      <c r="BP148" s="670"/>
      <c r="BQ148" s="670"/>
      <c r="BR148" s="670"/>
      <c r="BS148" s="670"/>
      <c r="BT148" s="670"/>
      <c r="BU148" s="670"/>
      <c r="BV148" s="670"/>
      <c r="BW148" s="670"/>
      <c r="BX148" s="670"/>
      <c r="BY148" s="670"/>
      <c r="BZ148" s="670"/>
      <c r="CA148" s="670"/>
      <c r="CB148" s="670"/>
      <c r="CC148" s="670"/>
      <c r="CD148" s="670"/>
      <c r="CE148" s="670"/>
      <c r="CF148" s="670"/>
      <c r="CG148" s="670"/>
      <c r="CH148" s="670"/>
      <c r="CI148" s="670"/>
      <c r="CJ148" s="670"/>
      <c r="CK148" s="670"/>
      <c r="CL148" s="670"/>
      <c r="CM148" s="670"/>
      <c r="CN148" s="670"/>
      <c r="CO148" s="670"/>
    </row>
    <row r="149" spans="1:93">
      <c r="A149" s="1590"/>
      <c r="B149" s="708" t="s">
        <v>3510</v>
      </c>
      <c r="C149" s="708"/>
      <c r="D149" s="659">
        <f>-'TRAIL BALANCE'!S11</f>
        <v>13191.93</v>
      </c>
      <c r="E149" s="670"/>
      <c r="F149" s="659"/>
      <c r="G149" s="670"/>
      <c r="H149" s="670"/>
      <c r="I149" s="670"/>
      <c r="J149" s="1444"/>
      <c r="K149" s="1355"/>
      <c r="L149" s="655">
        <f t="shared" si="0"/>
        <v>13191.93</v>
      </c>
      <c r="M149" s="655"/>
      <c r="N149" s="655"/>
      <c r="O149" s="655"/>
      <c r="P149" s="655"/>
      <c r="Q149" s="670"/>
      <c r="R149" s="655"/>
      <c r="S149" s="670"/>
      <c r="T149" s="670"/>
      <c r="U149" s="670"/>
      <c r="V149" s="670"/>
      <c r="W149" s="670"/>
      <c r="X149" s="670"/>
      <c r="Y149" s="670"/>
      <c r="Z149" s="670"/>
      <c r="AA149" s="670"/>
      <c r="AB149" s="670"/>
      <c r="AC149" s="670"/>
      <c r="AD149" s="670"/>
      <c r="AE149" s="670"/>
      <c r="AF149" s="670"/>
      <c r="AG149" s="670"/>
      <c r="AH149" s="670"/>
      <c r="AI149" s="670"/>
      <c r="AJ149" s="670"/>
      <c r="AK149" s="670"/>
      <c r="AL149" s="670"/>
      <c r="AM149" s="670"/>
      <c r="AN149" s="670"/>
      <c r="AO149" s="670"/>
      <c r="AP149" s="670"/>
      <c r="AQ149" s="670"/>
      <c r="AR149" s="670"/>
      <c r="AS149" s="670"/>
      <c r="AT149" s="670"/>
      <c r="AU149" s="670"/>
      <c r="AV149" s="670"/>
      <c r="AW149" s="670"/>
      <c r="AX149" s="670"/>
      <c r="AY149" s="670"/>
      <c r="AZ149" s="670"/>
      <c r="BA149" s="670"/>
      <c r="BB149" s="670"/>
      <c r="BC149" s="670"/>
      <c r="BD149" s="670"/>
      <c r="BE149" s="670"/>
      <c r="BF149" s="670"/>
      <c r="BG149" s="670"/>
      <c r="BH149" s="670"/>
      <c r="BI149" s="670"/>
      <c r="BJ149" s="670"/>
      <c r="BK149" s="670"/>
      <c r="BL149" s="670"/>
      <c r="BM149" s="670"/>
      <c r="BN149" s="670"/>
      <c r="BO149" s="670"/>
      <c r="BP149" s="670"/>
      <c r="BQ149" s="670"/>
      <c r="BR149" s="670"/>
      <c r="BS149" s="670"/>
      <c r="BT149" s="670"/>
      <c r="BU149" s="670"/>
      <c r="BV149" s="670"/>
      <c r="BW149" s="670"/>
      <c r="BX149" s="670"/>
      <c r="BY149" s="670"/>
      <c r="BZ149" s="670"/>
      <c r="CA149" s="670"/>
      <c r="CB149" s="670"/>
      <c r="CC149" s="670"/>
      <c r="CD149" s="670"/>
      <c r="CE149" s="670"/>
      <c r="CF149" s="670"/>
      <c r="CG149" s="670"/>
      <c r="CH149" s="670"/>
      <c r="CI149" s="670"/>
      <c r="CJ149" s="670"/>
      <c r="CK149" s="670"/>
      <c r="CL149" s="670"/>
      <c r="CM149" s="670"/>
      <c r="CN149" s="670"/>
      <c r="CO149" s="670"/>
    </row>
    <row r="150" spans="1:93">
      <c r="A150" s="1590"/>
      <c r="B150" s="708" t="s">
        <v>3453</v>
      </c>
      <c r="C150" s="708"/>
      <c r="D150" s="659">
        <f>-'TRAIL BALANCE'!S12</f>
        <v>18127.2</v>
      </c>
      <c r="E150" s="670"/>
      <c r="F150" s="659"/>
      <c r="G150" s="670"/>
      <c r="H150" s="670"/>
      <c r="I150" s="670"/>
      <c r="J150" s="1444"/>
      <c r="K150" s="1355"/>
      <c r="L150" s="655">
        <f t="shared" si="0"/>
        <v>18127.2</v>
      </c>
      <c r="M150" s="655"/>
      <c r="N150" s="655"/>
      <c r="O150" s="655"/>
      <c r="P150" s="655"/>
      <c r="Q150" s="670"/>
      <c r="R150" s="655"/>
      <c r="S150" s="670"/>
      <c r="T150" s="670"/>
      <c r="U150" s="670"/>
      <c r="V150" s="670"/>
      <c r="W150" s="670"/>
      <c r="X150" s="670"/>
      <c r="Y150" s="670"/>
      <c r="Z150" s="670"/>
      <c r="AA150" s="670"/>
      <c r="AB150" s="670"/>
      <c r="AC150" s="670"/>
      <c r="AD150" s="670"/>
      <c r="AE150" s="670"/>
      <c r="AF150" s="670"/>
      <c r="AG150" s="670"/>
      <c r="AH150" s="670"/>
      <c r="AI150" s="670"/>
      <c r="AJ150" s="670"/>
      <c r="AK150" s="670"/>
      <c r="AL150" s="670"/>
      <c r="AM150" s="670"/>
      <c r="AN150" s="670"/>
      <c r="AO150" s="670"/>
      <c r="AP150" s="670"/>
      <c r="AQ150" s="670"/>
      <c r="AR150" s="670"/>
      <c r="AS150" s="670"/>
      <c r="AT150" s="670"/>
      <c r="AU150" s="670"/>
      <c r="AV150" s="670"/>
      <c r="AW150" s="670"/>
      <c r="AX150" s="670"/>
      <c r="AY150" s="670"/>
      <c r="AZ150" s="670"/>
      <c r="BA150" s="670"/>
      <c r="BB150" s="670"/>
      <c r="BC150" s="670"/>
      <c r="BD150" s="670"/>
      <c r="BE150" s="670"/>
      <c r="BF150" s="670"/>
      <c r="BG150" s="670"/>
      <c r="BH150" s="670"/>
      <c r="BI150" s="670"/>
      <c r="BJ150" s="670"/>
      <c r="BK150" s="670"/>
      <c r="BL150" s="670"/>
      <c r="BM150" s="670"/>
      <c r="BN150" s="670"/>
      <c r="BO150" s="670"/>
      <c r="BP150" s="670"/>
      <c r="BQ150" s="670"/>
      <c r="BR150" s="670"/>
      <c r="BS150" s="670"/>
      <c r="BT150" s="670"/>
      <c r="BU150" s="670"/>
      <c r="BV150" s="670"/>
      <c r="BW150" s="670"/>
      <c r="BX150" s="670"/>
      <c r="BY150" s="670"/>
      <c r="BZ150" s="670"/>
      <c r="CA150" s="670"/>
      <c r="CB150" s="670"/>
      <c r="CC150" s="670"/>
      <c r="CD150" s="670"/>
      <c r="CE150" s="670"/>
      <c r="CF150" s="670"/>
      <c r="CG150" s="670"/>
      <c r="CH150" s="670"/>
      <c r="CI150" s="670"/>
      <c r="CJ150" s="670"/>
      <c r="CK150" s="670"/>
      <c r="CL150" s="670"/>
      <c r="CM150" s="670"/>
      <c r="CN150" s="670"/>
      <c r="CO150" s="670"/>
    </row>
    <row r="151" spans="1:93">
      <c r="A151" s="1590"/>
      <c r="B151" s="708" t="s">
        <v>3511</v>
      </c>
      <c r="C151" s="708"/>
      <c r="D151" s="659">
        <f>-'TRAIL BALANCE'!S15</f>
        <v>2399.2199999999998</v>
      </c>
      <c r="E151" s="670"/>
      <c r="F151" s="659"/>
      <c r="G151" s="670"/>
      <c r="H151" s="670"/>
      <c r="I151" s="670"/>
      <c r="J151" s="1444"/>
      <c r="K151" s="1355"/>
      <c r="L151" s="655">
        <f t="shared" si="0"/>
        <v>2399.2199999999998</v>
      </c>
      <c r="M151" s="655"/>
      <c r="N151" s="655"/>
      <c r="O151" s="655"/>
      <c r="P151" s="655"/>
      <c r="Q151" s="670"/>
      <c r="R151" s="655"/>
      <c r="S151" s="670"/>
      <c r="T151" s="670"/>
      <c r="U151" s="670"/>
      <c r="V151" s="670"/>
      <c r="W151" s="670"/>
      <c r="X151" s="670"/>
      <c r="Y151" s="670"/>
      <c r="Z151" s="670"/>
      <c r="AA151" s="670"/>
      <c r="AB151" s="670"/>
      <c r="AC151" s="670"/>
      <c r="AD151" s="670"/>
      <c r="AE151" s="670"/>
      <c r="AF151" s="670"/>
      <c r="AG151" s="670"/>
      <c r="AH151" s="670"/>
      <c r="AI151" s="670"/>
      <c r="AJ151" s="670"/>
      <c r="AK151" s="670"/>
      <c r="AL151" s="670"/>
      <c r="AM151" s="670"/>
      <c r="AN151" s="670"/>
      <c r="AO151" s="670"/>
      <c r="AP151" s="670"/>
      <c r="AQ151" s="670"/>
      <c r="AR151" s="670"/>
      <c r="AS151" s="670"/>
      <c r="AT151" s="670"/>
      <c r="AU151" s="670"/>
      <c r="AV151" s="670"/>
      <c r="AW151" s="670"/>
      <c r="AX151" s="670"/>
      <c r="AY151" s="670"/>
      <c r="AZ151" s="670"/>
      <c r="BA151" s="670"/>
      <c r="BB151" s="670"/>
      <c r="BC151" s="670"/>
      <c r="BD151" s="670"/>
      <c r="BE151" s="670"/>
      <c r="BF151" s="670"/>
      <c r="BG151" s="670"/>
      <c r="BH151" s="670"/>
      <c r="BI151" s="670"/>
      <c r="BJ151" s="670"/>
      <c r="BK151" s="670"/>
      <c r="BL151" s="670"/>
      <c r="BM151" s="670"/>
      <c r="BN151" s="670"/>
      <c r="BO151" s="670"/>
      <c r="BP151" s="670"/>
      <c r="BQ151" s="670"/>
      <c r="BR151" s="670"/>
      <c r="BS151" s="670"/>
      <c r="BT151" s="670"/>
      <c r="BU151" s="670"/>
      <c r="BV151" s="670"/>
      <c r="BW151" s="670"/>
      <c r="BX151" s="670"/>
      <c r="BY151" s="670"/>
      <c r="BZ151" s="670"/>
      <c r="CA151" s="670"/>
      <c r="CB151" s="670"/>
      <c r="CC151" s="670"/>
      <c r="CD151" s="670"/>
      <c r="CE151" s="670"/>
      <c r="CF151" s="670"/>
      <c r="CG151" s="670"/>
      <c r="CH151" s="670"/>
      <c r="CI151" s="670"/>
      <c r="CJ151" s="670"/>
      <c r="CK151" s="670"/>
      <c r="CL151" s="670"/>
      <c r="CM151" s="670"/>
      <c r="CN151" s="670"/>
      <c r="CO151" s="670"/>
    </row>
    <row r="152" spans="1:93">
      <c r="A152" s="1590"/>
      <c r="B152" s="708" t="s">
        <v>3512</v>
      </c>
      <c r="C152" s="708"/>
      <c r="D152" s="659">
        <f>-'TRAIL BALANCE'!S765</f>
        <v>14819.44</v>
      </c>
      <c r="E152" s="670"/>
      <c r="F152" s="659"/>
      <c r="G152" s="670"/>
      <c r="H152" s="670"/>
      <c r="I152" s="670"/>
      <c r="J152" s="1444"/>
      <c r="K152" s="1355"/>
      <c r="L152" s="655">
        <f t="shared" si="0"/>
        <v>14819.44</v>
      </c>
      <c r="M152" s="655"/>
      <c r="N152" s="655"/>
      <c r="O152" s="655"/>
      <c r="P152" s="655"/>
      <c r="Q152" s="670"/>
      <c r="R152" s="655"/>
      <c r="S152" s="670"/>
      <c r="T152" s="670"/>
      <c r="U152" s="670"/>
      <c r="V152" s="670"/>
      <c r="W152" s="670"/>
      <c r="X152" s="670"/>
      <c r="Y152" s="670"/>
      <c r="Z152" s="670"/>
      <c r="AA152" s="670"/>
      <c r="AB152" s="670"/>
      <c r="AC152" s="670"/>
      <c r="AD152" s="670"/>
      <c r="AE152" s="670"/>
      <c r="AF152" s="670"/>
      <c r="AG152" s="670"/>
      <c r="AH152" s="670"/>
      <c r="AI152" s="670"/>
      <c r="AJ152" s="670"/>
      <c r="AK152" s="670"/>
      <c r="AL152" s="670"/>
      <c r="AM152" s="670"/>
      <c r="AN152" s="670"/>
      <c r="AO152" s="670"/>
      <c r="AP152" s="670"/>
      <c r="AQ152" s="670"/>
      <c r="AR152" s="670"/>
      <c r="AS152" s="670"/>
      <c r="AT152" s="670"/>
      <c r="AU152" s="670"/>
      <c r="AV152" s="670"/>
      <c r="AW152" s="670"/>
      <c r="AX152" s="670"/>
      <c r="AY152" s="670"/>
      <c r="AZ152" s="670"/>
      <c r="BA152" s="670"/>
      <c r="BB152" s="670"/>
      <c r="BC152" s="670"/>
      <c r="BD152" s="670"/>
      <c r="BE152" s="670"/>
      <c r="BF152" s="670"/>
      <c r="BG152" s="670"/>
      <c r="BH152" s="670"/>
      <c r="BI152" s="670"/>
      <c r="BJ152" s="670"/>
      <c r="BK152" s="670"/>
      <c r="BL152" s="670"/>
      <c r="BM152" s="670"/>
      <c r="BN152" s="670"/>
      <c r="BO152" s="670"/>
      <c r="BP152" s="670"/>
      <c r="BQ152" s="670"/>
      <c r="BR152" s="670"/>
      <c r="BS152" s="670"/>
      <c r="BT152" s="670"/>
      <c r="BU152" s="670"/>
      <c r="BV152" s="670"/>
      <c r="BW152" s="670"/>
      <c r="BX152" s="670"/>
      <c r="BY152" s="670"/>
      <c r="BZ152" s="670"/>
      <c r="CA152" s="670"/>
      <c r="CB152" s="670"/>
      <c r="CC152" s="670"/>
      <c r="CD152" s="670"/>
      <c r="CE152" s="670"/>
      <c r="CF152" s="670"/>
      <c r="CG152" s="670"/>
      <c r="CH152" s="670"/>
      <c r="CI152" s="670"/>
      <c r="CJ152" s="670"/>
      <c r="CK152" s="670"/>
      <c r="CL152" s="670"/>
      <c r="CM152" s="670"/>
      <c r="CN152" s="670"/>
      <c r="CO152" s="670"/>
    </row>
    <row r="153" spans="1:93">
      <c r="A153" s="1590"/>
      <c r="B153" s="708" t="s">
        <v>2732</v>
      </c>
      <c r="C153" s="708"/>
      <c r="D153" s="659">
        <f>-'TRAIL BALANCE'!S9</f>
        <v>0</v>
      </c>
      <c r="E153" s="670"/>
      <c r="F153" s="659">
        <f>-'TRAIL BALANCE'!G9</f>
        <v>210885.9</v>
      </c>
      <c r="G153" s="670"/>
      <c r="H153" s="670"/>
      <c r="I153" s="670"/>
      <c r="J153" s="1444">
        <f>-SUM('TRAIL BALANCE'!E616)</f>
        <v>0.4</v>
      </c>
      <c r="K153" s="1355"/>
      <c r="L153" s="655">
        <v>0</v>
      </c>
      <c r="M153" s="655"/>
      <c r="N153" s="655"/>
      <c r="O153" s="655" t="s">
        <v>45</v>
      </c>
      <c r="P153" s="655"/>
      <c r="Q153" s="670"/>
      <c r="R153" s="655"/>
      <c r="S153" s="670"/>
      <c r="T153" s="670"/>
      <c r="U153" s="670"/>
      <c r="V153" s="670"/>
      <c r="W153" s="670"/>
      <c r="X153" s="670"/>
      <c r="Y153" s="670"/>
      <c r="Z153" s="670"/>
      <c r="AA153" s="670"/>
      <c r="AB153" s="670"/>
      <c r="AC153" s="670"/>
      <c r="AD153" s="670"/>
      <c r="AE153" s="670"/>
      <c r="AF153" s="670"/>
      <c r="AG153" s="670"/>
      <c r="AH153" s="670"/>
      <c r="AI153" s="670"/>
      <c r="AJ153" s="670"/>
      <c r="AK153" s="670"/>
      <c r="AL153" s="670"/>
      <c r="AM153" s="670"/>
      <c r="AN153" s="670"/>
      <c r="AO153" s="670"/>
      <c r="AP153" s="670"/>
      <c r="AQ153" s="670"/>
      <c r="AR153" s="670"/>
      <c r="AS153" s="670"/>
      <c r="AT153" s="670"/>
      <c r="AU153" s="670"/>
      <c r="AV153" s="670"/>
      <c r="AW153" s="670"/>
      <c r="AX153" s="670"/>
      <c r="AY153" s="670"/>
      <c r="AZ153" s="670"/>
      <c r="BA153" s="670"/>
      <c r="BB153" s="670"/>
      <c r="BC153" s="670"/>
      <c r="BD153" s="670"/>
      <c r="BE153" s="670"/>
      <c r="BF153" s="670"/>
      <c r="BG153" s="670"/>
      <c r="BH153" s="670"/>
      <c r="BI153" s="670"/>
      <c r="BJ153" s="670"/>
      <c r="BK153" s="670"/>
      <c r="BL153" s="670"/>
      <c r="BM153" s="670"/>
      <c r="BN153" s="670"/>
      <c r="BO153" s="670"/>
      <c r="BP153" s="670"/>
      <c r="BQ153" s="670"/>
      <c r="BR153" s="670"/>
      <c r="BS153" s="670"/>
      <c r="BT153" s="670"/>
      <c r="BU153" s="670"/>
      <c r="BV153" s="670"/>
      <c r="BW153" s="670"/>
      <c r="BX153" s="670"/>
      <c r="BY153" s="670"/>
      <c r="BZ153" s="670"/>
      <c r="CA153" s="670"/>
      <c r="CB153" s="670"/>
      <c r="CC153" s="670"/>
      <c r="CD153" s="670"/>
      <c r="CE153" s="670"/>
      <c r="CF153" s="670"/>
      <c r="CG153" s="670"/>
      <c r="CH153" s="670"/>
      <c r="CI153" s="670"/>
      <c r="CJ153" s="670"/>
      <c r="CK153" s="670"/>
      <c r="CL153" s="670"/>
      <c r="CM153" s="670"/>
      <c r="CN153" s="670"/>
      <c r="CO153" s="670"/>
    </row>
    <row r="154" spans="1:93">
      <c r="A154" s="1590"/>
      <c r="B154" s="708" t="s">
        <v>1038</v>
      </c>
      <c r="C154" s="708"/>
      <c r="D154" s="659">
        <f>-'TRAIL BALANCE'!S274</f>
        <v>21038.45</v>
      </c>
      <c r="E154" s="670"/>
      <c r="F154" s="659">
        <f>-'TRAIL BALANCE'!G274</f>
        <v>17415.57</v>
      </c>
      <c r="G154" s="670"/>
      <c r="H154" s="670"/>
      <c r="I154" s="670"/>
      <c r="J154" s="1444">
        <f>-'TRAIL BALANCE'!E274</f>
        <v>25302.05</v>
      </c>
      <c r="K154" s="1355"/>
      <c r="L154" s="655">
        <f t="shared" si="0"/>
        <v>3622.880000000001</v>
      </c>
      <c r="M154" s="655"/>
      <c r="N154" s="655"/>
      <c r="O154" s="655" t="s">
        <v>45</v>
      </c>
      <c r="P154" s="655"/>
      <c r="Q154" s="670"/>
      <c r="R154" s="655"/>
      <c r="S154" s="670"/>
      <c r="T154" s="670"/>
      <c r="U154" s="670"/>
      <c r="V154" s="670"/>
      <c r="W154" s="670"/>
      <c r="X154" s="670"/>
      <c r="Y154" s="670"/>
      <c r="Z154" s="670"/>
      <c r="AA154" s="670"/>
      <c r="AB154" s="670"/>
      <c r="AC154" s="670"/>
      <c r="AD154" s="670"/>
      <c r="AE154" s="670"/>
      <c r="AF154" s="670"/>
      <c r="AG154" s="670"/>
      <c r="AH154" s="670"/>
      <c r="AI154" s="670"/>
      <c r="AJ154" s="670"/>
      <c r="AK154" s="670"/>
      <c r="AL154" s="670"/>
      <c r="AM154" s="670"/>
      <c r="AN154" s="670"/>
      <c r="AO154" s="670"/>
      <c r="AP154" s="670"/>
      <c r="AQ154" s="670"/>
      <c r="AR154" s="670"/>
      <c r="AS154" s="670"/>
      <c r="AT154" s="670"/>
      <c r="AU154" s="670"/>
      <c r="AV154" s="670"/>
      <c r="AW154" s="670"/>
      <c r="AX154" s="670"/>
      <c r="AY154" s="670"/>
      <c r="AZ154" s="670"/>
      <c r="BA154" s="670"/>
      <c r="BB154" s="670"/>
      <c r="BC154" s="670"/>
      <c r="BD154" s="670"/>
      <c r="BE154" s="670"/>
      <c r="BF154" s="670"/>
      <c r="BG154" s="670"/>
      <c r="BH154" s="670"/>
      <c r="BI154" s="670"/>
      <c r="BJ154" s="670"/>
      <c r="BK154" s="670"/>
      <c r="BL154" s="670"/>
      <c r="BM154" s="670"/>
      <c r="BN154" s="670"/>
      <c r="BO154" s="670"/>
      <c r="BP154" s="670"/>
      <c r="BQ154" s="670"/>
      <c r="BR154" s="670"/>
      <c r="BS154" s="670"/>
      <c r="BT154" s="670"/>
      <c r="BU154" s="670"/>
      <c r="BV154" s="670"/>
      <c r="BW154" s="670"/>
      <c r="BX154" s="670"/>
      <c r="BY154" s="670"/>
      <c r="BZ154" s="670"/>
      <c r="CA154" s="670"/>
      <c r="CB154" s="670"/>
      <c r="CC154" s="670"/>
      <c r="CD154" s="670"/>
      <c r="CE154" s="670"/>
      <c r="CF154" s="670"/>
      <c r="CG154" s="670"/>
      <c r="CH154" s="670"/>
      <c r="CI154" s="670"/>
      <c r="CJ154" s="670"/>
      <c r="CK154" s="670"/>
      <c r="CL154" s="670"/>
      <c r="CM154" s="670"/>
      <c r="CN154" s="670"/>
      <c r="CO154" s="670"/>
    </row>
    <row r="155" spans="1:93">
      <c r="A155" s="1590"/>
      <c r="B155" s="708" t="s">
        <v>1039</v>
      </c>
      <c r="C155" s="708"/>
      <c r="D155" s="482">
        <f>-'TRAIL BALANCE'!S544</f>
        <v>71070.2</v>
      </c>
      <c r="E155" s="670"/>
      <c r="F155" s="482">
        <f>-'TRAIL BALANCE'!G544</f>
        <v>71235.63</v>
      </c>
      <c r="G155" s="670"/>
      <c r="H155" s="670"/>
      <c r="I155" s="670"/>
      <c r="J155" s="1445">
        <f>-'TRAIL BALANCE'!E544</f>
        <v>78426.62</v>
      </c>
      <c r="K155" s="1355"/>
      <c r="L155" s="655">
        <f t="shared" si="0"/>
        <v>-165.43000000000757</v>
      </c>
      <c r="M155" s="655"/>
      <c r="N155" s="655"/>
      <c r="O155" s="655" t="s">
        <v>45</v>
      </c>
      <c r="P155" s="655"/>
      <c r="Q155" s="670"/>
      <c r="R155" s="655"/>
      <c r="S155" s="670"/>
      <c r="T155" s="670"/>
      <c r="U155" s="670"/>
      <c r="V155" s="670"/>
      <c r="W155" s="670"/>
      <c r="X155" s="670"/>
      <c r="Y155" s="670"/>
      <c r="Z155" s="670"/>
      <c r="AA155" s="670"/>
      <c r="AB155" s="670"/>
      <c r="AC155" s="670"/>
      <c r="AD155" s="670"/>
      <c r="AE155" s="670"/>
      <c r="AF155" s="670"/>
      <c r="AG155" s="670"/>
      <c r="AH155" s="670"/>
      <c r="AI155" s="670"/>
      <c r="AJ155" s="670"/>
      <c r="AK155" s="670"/>
      <c r="AL155" s="670"/>
      <c r="AM155" s="670"/>
      <c r="AN155" s="670"/>
      <c r="AO155" s="670"/>
      <c r="AP155" s="670"/>
      <c r="AQ155" s="670"/>
      <c r="AR155" s="670"/>
      <c r="AS155" s="670"/>
      <c r="AT155" s="670"/>
      <c r="AU155" s="670"/>
      <c r="AV155" s="670"/>
      <c r="AW155" s="670"/>
      <c r="AX155" s="670"/>
      <c r="AY155" s="670"/>
      <c r="AZ155" s="670"/>
      <c r="BA155" s="670"/>
      <c r="BB155" s="670"/>
      <c r="BC155" s="670"/>
      <c r="BD155" s="670"/>
      <c r="BE155" s="670"/>
      <c r="BF155" s="670"/>
      <c r="BG155" s="670"/>
      <c r="BH155" s="670"/>
      <c r="BI155" s="670"/>
      <c r="BJ155" s="670"/>
      <c r="BK155" s="670"/>
      <c r="BL155" s="670"/>
      <c r="BM155" s="670"/>
      <c r="BN155" s="670"/>
      <c r="BO155" s="670"/>
      <c r="BP155" s="670"/>
      <c r="BQ155" s="670"/>
      <c r="BR155" s="670"/>
      <c r="BS155" s="670"/>
      <c r="BT155" s="670"/>
      <c r="BU155" s="670"/>
      <c r="BV155" s="670"/>
      <c r="BW155" s="670"/>
      <c r="BX155" s="670"/>
      <c r="BY155" s="670"/>
      <c r="BZ155" s="670"/>
      <c r="CA155" s="670"/>
      <c r="CB155" s="670"/>
      <c r="CC155" s="670"/>
      <c r="CD155" s="670"/>
      <c r="CE155" s="670"/>
      <c r="CF155" s="670"/>
      <c r="CG155" s="670"/>
      <c r="CH155" s="670"/>
      <c r="CI155" s="670"/>
      <c r="CJ155" s="670"/>
      <c r="CK155" s="670"/>
      <c r="CL155" s="670"/>
      <c r="CM155" s="670"/>
      <c r="CN155" s="670"/>
      <c r="CO155" s="670"/>
    </row>
    <row r="156" spans="1:93">
      <c r="A156" s="1590"/>
      <c r="B156" s="708"/>
      <c r="C156" s="708"/>
      <c r="D156" s="655"/>
      <c r="E156" s="670"/>
      <c r="F156" s="655"/>
      <c r="G156" s="670"/>
      <c r="H156" s="670"/>
      <c r="I156" s="670"/>
      <c r="J156" s="1439"/>
      <c r="K156" s="1355"/>
      <c r="L156" s="655"/>
      <c r="M156" s="655"/>
      <c r="N156" s="655"/>
      <c r="O156" s="655" t="s">
        <v>45</v>
      </c>
      <c r="P156" s="655"/>
      <c r="Q156" s="670"/>
      <c r="R156" s="655"/>
      <c r="S156" s="670"/>
      <c r="T156" s="670"/>
      <c r="U156" s="670"/>
      <c r="V156" s="670"/>
      <c r="W156" s="670"/>
      <c r="X156" s="670"/>
      <c r="Y156" s="670"/>
      <c r="Z156" s="670"/>
      <c r="AA156" s="670"/>
      <c r="AB156" s="670"/>
      <c r="AC156" s="670"/>
      <c r="AD156" s="670"/>
      <c r="AE156" s="670"/>
      <c r="AF156" s="670"/>
      <c r="AG156" s="670"/>
      <c r="AH156" s="670"/>
      <c r="AI156" s="670"/>
      <c r="AJ156" s="670"/>
      <c r="AK156" s="670"/>
      <c r="AL156" s="670"/>
      <c r="AM156" s="670"/>
      <c r="AN156" s="670"/>
      <c r="AO156" s="670"/>
      <c r="AP156" s="670"/>
      <c r="AQ156" s="670"/>
      <c r="AR156" s="670"/>
      <c r="AS156" s="670"/>
      <c r="AT156" s="670"/>
      <c r="AU156" s="670"/>
      <c r="AV156" s="670"/>
      <c r="AW156" s="670"/>
      <c r="AX156" s="670"/>
      <c r="AY156" s="670"/>
      <c r="AZ156" s="670"/>
      <c r="BA156" s="670"/>
      <c r="BB156" s="670"/>
      <c r="BC156" s="670"/>
      <c r="BD156" s="670"/>
      <c r="BE156" s="670"/>
      <c r="BF156" s="670"/>
      <c r="BG156" s="670"/>
      <c r="BH156" s="670"/>
      <c r="BI156" s="670"/>
      <c r="BJ156" s="670"/>
      <c r="BK156" s="670"/>
      <c r="BL156" s="670"/>
      <c r="BM156" s="670"/>
      <c r="BN156" s="670"/>
      <c r="BO156" s="670"/>
      <c r="BP156" s="670"/>
      <c r="BQ156" s="670"/>
      <c r="BR156" s="670"/>
      <c r="BS156" s="670"/>
      <c r="BT156" s="670"/>
      <c r="BU156" s="670"/>
      <c r="BV156" s="670"/>
      <c r="BW156" s="670"/>
      <c r="BX156" s="670"/>
      <c r="BY156" s="670"/>
      <c r="BZ156" s="670"/>
      <c r="CA156" s="670"/>
      <c r="CB156" s="670"/>
      <c r="CC156" s="670"/>
      <c r="CD156" s="670"/>
      <c r="CE156" s="670"/>
      <c r="CF156" s="670"/>
      <c r="CG156" s="670"/>
      <c r="CH156" s="670"/>
      <c r="CI156" s="670"/>
      <c r="CJ156" s="670"/>
      <c r="CK156" s="670"/>
      <c r="CL156" s="670"/>
      <c r="CM156" s="670"/>
      <c r="CN156" s="670"/>
      <c r="CO156" s="670"/>
    </row>
    <row r="157" spans="1:93" ht="13.5" thickBot="1">
      <c r="A157" s="1590"/>
      <c r="B157" s="709" t="s">
        <v>1740</v>
      </c>
      <c r="C157" s="709"/>
      <c r="D157" s="710">
        <f>SUM(D146:D155)</f>
        <v>1044952.6799999998</v>
      </c>
      <c r="E157" s="670"/>
      <c r="F157" s="710">
        <f>SUM(F146:F155)</f>
        <v>1048350.07</v>
      </c>
      <c r="G157" s="670"/>
      <c r="H157" s="670"/>
      <c r="I157" s="670"/>
      <c r="J157" s="1685">
        <f>SUM(J146:J155)</f>
        <v>21981643.82</v>
      </c>
      <c r="K157" s="1355"/>
      <c r="L157" s="655">
        <f>SUM(L146:L156)</f>
        <v>207488.50999999995</v>
      </c>
      <c r="M157" s="655"/>
      <c r="N157" s="655"/>
      <c r="O157" s="655"/>
      <c r="P157" s="655"/>
      <c r="Q157" s="670"/>
      <c r="R157" s="655"/>
      <c r="S157" s="670"/>
      <c r="T157" s="670"/>
      <c r="U157" s="670"/>
      <c r="V157" s="670"/>
      <c r="W157" s="670"/>
      <c r="X157" s="670"/>
      <c r="Y157" s="670"/>
      <c r="Z157" s="670"/>
      <c r="AA157" s="670"/>
      <c r="AB157" s="670"/>
      <c r="AC157" s="670"/>
      <c r="AD157" s="670"/>
      <c r="AE157" s="670"/>
      <c r="AF157" s="670"/>
      <c r="AG157" s="670"/>
      <c r="AH157" s="670"/>
      <c r="AI157" s="670"/>
      <c r="AJ157" s="670"/>
      <c r="AK157" s="670"/>
      <c r="AL157" s="670"/>
      <c r="AM157" s="670"/>
      <c r="AN157" s="670"/>
      <c r="AO157" s="670"/>
      <c r="AP157" s="670"/>
      <c r="AQ157" s="670"/>
      <c r="AR157" s="670"/>
      <c r="AS157" s="670"/>
      <c r="AT157" s="670"/>
      <c r="AU157" s="670"/>
      <c r="AV157" s="670"/>
      <c r="AW157" s="670"/>
      <c r="AX157" s="670"/>
      <c r="AY157" s="670"/>
      <c r="AZ157" s="670"/>
      <c r="BA157" s="670"/>
      <c r="BB157" s="670"/>
      <c r="BC157" s="670"/>
      <c r="BD157" s="670"/>
      <c r="BE157" s="670"/>
      <c r="BF157" s="670"/>
      <c r="BG157" s="670"/>
      <c r="BH157" s="670"/>
      <c r="BI157" s="670"/>
      <c r="BJ157" s="670"/>
      <c r="BK157" s="670"/>
      <c r="BL157" s="670"/>
      <c r="BM157" s="670"/>
      <c r="BN157" s="670"/>
      <c r="BO157" s="670"/>
      <c r="BP157" s="670"/>
      <c r="BQ157" s="670"/>
      <c r="BR157" s="670"/>
      <c r="BS157" s="670"/>
      <c r="BT157" s="670"/>
      <c r="BU157" s="670"/>
      <c r="BV157" s="670"/>
      <c r="BW157" s="670"/>
      <c r="BX157" s="670"/>
      <c r="BY157" s="670"/>
      <c r="BZ157" s="670"/>
      <c r="CA157" s="670"/>
      <c r="CB157" s="670"/>
      <c r="CC157" s="670"/>
      <c r="CD157" s="670"/>
      <c r="CE157" s="670"/>
      <c r="CF157" s="670"/>
      <c r="CG157" s="670"/>
      <c r="CH157" s="670"/>
      <c r="CI157" s="670"/>
      <c r="CJ157" s="670"/>
      <c r="CK157" s="670"/>
      <c r="CL157" s="670"/>
      <c r="CM157" s="670"/>
      <c r="CN157" s="670"/>
      <c r="CO157" s="670"/>
    </row>
    <row r="158" spans="1:93" ht="13.5" thickTop="1">
      <c r="A158" s="1596"/>
      <c r="B158" s="699"/>
      <c r="C158" s="699"/>
      <c r="D158" s="700"/>
      <c r="E158" s="699"/>
      <c r="F158" s="700"/>
      <c r="G158" s="699"/>
      <c r="H158" s="699"/>
      <c r="I158" s="699"/>
      <c r="J158" s="1570"/>
      <c r="K158" s="1352"/>
      <c r="L158" s="655"/>
      <c r="M158" s="655"/>
      <c r="N158" s="655"/>
      <c r="O158" s="655"/>
      <c r="P158" s="655"/>
      <c r="Q158" s="670"/>
      <c r="R158" s="655"/>
      <c r="S158" s="670"/>
      <c r="T158" s="670"/>
      <c r="U158" s="670"/>
      <c r="V158" s="670"/>
      <c r="W158" s="670"/>
      <c r="X158" s="670"/>
      <c r="Y158" s="670"/>
      <c r="Z158" s="670"/>
      <c r="AA158" s="670"/>
      <c r="AB158" s="670"/>
      <c r="AC158" s="670"/>
      <c r="AD158" s="670"/>
      <c r="AE158" s="670"/>
      <c r="AF158" s="670"/>
      <c r="AG158" s="670"/>
      <c r="AH158" s="670"/>
      <c r="AI158" s="670"/>
      <c r="AJ158" s="670"/>
      <c r="AK158" s="670"/>
      <c r="AL158" s="670"/>
      <c r="AM158" s="670"/>
      <c r="AN158" s="670"/>
      <c r="AO158" s="670"/>
      <c r="AP158" s="670"/>
      <c r="AQ158" s="670"/>
      <c r="AR158" s="670"/>
      <c r="AS158" s="670"/>
      <c r="AT158" s="670"/>
      <c r="AU158" s="670"/>
      <c r="AV158" s="670"/>
      <c r="AW158" s="670"/>
      <c r="AX158" s="670"/>
      <c r="AY158" s="670"/>
      <c r="AZ158" s="670"/>
      <c r="BA158" s="670"/>
      <c r="BB158" s="670"/>
      <c r="BC158" s="670"/>
      <c r="BD158" s="670"/>
      <c r="BE158" s="670"/>
      <c r="BF158" s="670"/>
      <c r="BG158" s="670"/>
      <c r="BH158" s="670"/>
      <c r="BI158" s="670"/>
      <c r="BJ158" s="670"/>
      <c r="BK158" s="670"/>
      <c r="BL158" s="670"/>
      <c r="BM158" s="670"/>
      <c r="BN158" s="670"/>
      <c r="BO158" s="670"/>
      <c r="BP158" s="670"/>
      <c r="BQ158" s="670"/>
      <c r="BR158" s="670"/>
      <c r="BS158" s="670"/>
      <c r="BT158" s="670"/>
      <c r="BU158" s="670"/>
      <c r="BV158" s="670"/>
      <c r="BW158" s="670"/>
      <c r="BX158" s="670"/>
      <c r="BY158" s="670"/>
      <c r="BZ158" s="670"/>
      <c r="CA158" s="670"/>
      <c r="CB158" s="670"/>
      <c r="CC158" s="670"/>
      <c r="CD158" s="670"/>
      <c r="CE158" s="670"/>
      <c r="CF158" s="670"/>
      <c r="CG158" s="670"/>
      <c r="CH158" s="670"/>
      <c r="CI158" s="670"/>
      <c r="CJ158" s="670"/>
      <c r="CK158" s="670"/>
      <c r="CL158" s="670"/>
      <c r="CM158" s="670"/>
      <c r="CN158" s="670"/>
      <c r="CO158" s="670"/>
    </row>
    <row r="159" spans="1:93">
      <c r="A159" s="1684"/>
      <c r="B159" s="677"/>
      <c r="C159" s="677"/>
      <c r="D159" s="676"/>
      <c r="E159" s="677"/>
      <c r="F159" s="676"/>
      <c r="G159" s="677"/>
      <c r="H159" s="677"/>
      <c r="I159" s="677"/>
      <c r="J159" s="1572"/>
      <c r="K159" s="1353"/>
      <c r="L159" s="655"/>
      <c r="M159" s="655"/>
      <c r="N159" s="655"/>
      <c r="O159" s="655"/>
      <c r="P159" s="655"/>
      <c r="Q159" s="670"/>
      <c r="R159" s="655"/>
      <c r="S159" s="670"/>
      <c r="T159" s="670"/>
      <c r="U159" s="670"/>
      <c r="V159" s="670"/>
      <c r="W159" s="670"/>
      <c r="X159" s="670"/>
      <c r="Y159" s="670"/>
      <c r="Z159" s="670"/>
      <c r="AA159" s="670"/>
      <c r="AB159" s="670"/>
      <c r="AC159" s="670"/>
      <c r="AD159" s="670"/>
      <c r="AE159" s="670"/>
      <c r="AF159" s="670"/>
      <c r="AG159" s="670"/>
      <c r="AH159" s="670"/>
      <c r="AI159" s="670"/>
      <c r="AJ159" s="670"/>
      <c r="AK159" s="670"/>
      <c r="AL159" s="670"/>
      <c r="AM159" s="670"/>
      <c r="AN159" s="670"/>
      <c r="AO159" s="670"/>
      <c r="AP159" s="670"/>
      <c r="AQ159" s="670"/>
      <c r="AR159" s="670"/>
      <c r="AS159" s="670"/>
      <c r="AT159" s="670"/>
      <c r="AU159" s="670"/>
      <c r="AV159" s="670"/>
      <c r="AW159" s="670"/>
      <c r="AX159" s="670"/>
      <c r="AY159" s="670"/>
      <c r="AZ159" s="670"/>
      <c r="BA159" s="670"/>
      <c r="BB159" s="670"/>
      <c r="BC159" s="670"/>
      <c r="BD159" s="670"/>
      <c r="BE159" s="670"/>
      <c r="BF159" s="670"/>
      <c r="BG159" s="670"/>
      <c r="BH159" s="670"/>
      <c r="BI159" s="670"/>
      <c r="BJ159" s="670"/>
      <c r="BK159" s="670"/>
      <c r="BL159" s="670"/>
      <c r="BM159" s="670"/>
      <c r="BN159" s="670"/>
      <c r="BO159" s="670"/>
      <c r="BP159" s="670"/>
      <c r="BQ159" s="670"/>
      <c r="BR159" s="670"/>
      <c r="BS159" s="670"/>
      <c r="BT159" s="670"/>
      <c r="BU159" s="670"/>
      <c r="BV159" s="670"/>
      <c r="BW159" s="670"/>
      <c r="BX159" s="670"/>
      <c r="BY159" s="670"/>
      <c r="BZ159" s="670"/>
      <c r="CA159" s="670"/>
      <c r="CB159" s="670"/>
      <c r="CC159" s="670"/>
      <c r="CD159" s="670"/>
      <c r="CE159" s="670"/>
      <c r="CF159" s="670"/>
      <c r="CG159" s="670"/>
      <c r="CH159" s="670"/>
      <c r="CI159" s="670"/>
      <c r="CJ159" s="670"/>
      <c r="CK159" s="670"/>
      <c r="CL159" s="670"/>
      <c r="CM159" s="670"/>
      <c r="CN159" s="670"/>
      <c r="CO159" s="670"/>
    </row>
    <row r="160" spans="1:93">
      <c r="A160" s="1590"/>
      <c r="B160" s="670"/>
      <c r="C160" s="670"/>
      <c r="D160" s="704" t="s">
        <v>3484</v>
      </c>
      <c r="E160" s="670"/>
      <c r="F160" s="704" t="s">
        <v>2651</v>
      </c>
      <c r="G160" s="703"/>
      <c r="H160" s="703"/>
      <c r="I160" s="703"/>
      <c r="J160" s="1440" t="s">
        <v>1634</v>
      </c>
      <c r="K160" s="1355"/>
      <c r="L160" s="655"/>
      <c r="M160" s="655"/>
      <c r="N160" s="655"/>
      <c r="O160" s="655"/>
      <c r="P160" s="655"/>
      <c r="Q160" s="670"/>
      <c r="R160" s="655"/>
      <c r="S160" s="670"/>
      <c r="T160" s="670"/>
      <c r="U160" s="670"/>
      <c r="V160" s="670"/>
      <c r="W160" s="670"/>
      <c r="X160" s="670"/>
      <c r="Y160" s="670"/>
      <c r="Z160" s="670"/>
      <c r="AA160" s="670"/>
      <c r="AB160" s="670"/>
      <c r="AC160" s="670"/>
      <c r="AD160" s="670"/>
      <c r="AE160" s="670"/>
      <c r="AF160" s="670"/>
      <c r="AG160" s="670"/>
      <c r="AH160" s="670"/>
      <c r="AI160" s="670"/>
      <c r="AJ160" s="670"/>
      <c r="AK160" s="670"/>
      <c r="AL160" s="670"/>
      <c r="AM160" s="670"/>
      <c r="AN160" s="670"/>
      <c r="AO160" s="670"/>
      <c r="AP160" s="670"/>
      <c r="AQ160" s="670"/>
      <c r="AR160" s="670"/>
      <c r="AS160" s="670"/>
      <c r="AT160" s="670"/>
      <c r="AU160" s="670"/>
      <c r="AV160" s="670"/>
      <c r="AW160" s="670"/>
      <c r="AX160" s="670"/>
      <c r="AY160" s="670"/>
      <c r="AZ160" s="670"/>
      <c r="BA160" s="670"/>
      <c r="BB160" s="670"/>
      <c r="BC160" s="670"/>
      <c r="BD160" s="670"/>
      <c r="BE160" s="670"/>
      <c r="BF160" s="670"/>
      <c r="BG160" s="670"/>
      <c r="BH160" s="670"/>
      <c r="BI160" s="670"/>
      <c r="BJ160" s="670"/>
      <c r="BK160" s="670"/>
      <c r="BL160" s="670"/>
      <c r="BM160" s="670"/>
      <c r="BN160" s="670"/>
      <c r="BO160" s="670"/>
      <c r="BP160" s="670"/>
      <c r="BQ160" s="670"/>
      <c r="BR160" s="670"/>
      <c r="BS160" s="670"/>
      <c r="BT160" s="670"/>
      <c r="BU160" s="670"/>
      <c r="BV160" s="670"/>
      <c r="BW160" s="670"/>
      <c r="BX160" s="670"/>
      <c r="BY160" s="670"/>
      <c r="BZ160" s="670"/>
      <c r="CA160" s="670"/>
      <c r="CB160" s="670"/>
      <c r="CC160" s="670"/>
      <c r="CD160" s="670"/>
      <c r="CE160" s="670"/>
      <c r="CF160" s="670"/>
      <c r="CG160" s="670"/>
      <c r="CH160" s="670"/>
      <c r="CI160" s="670"/>
      <c r="CJ160" s="670"/>
      <c r="CK160" s="670"/>
      <c r="CL160" s="670"/>
      <c r="CM160" s="670"/>
      <c r="CN160" s="670"/>
      <c r="CO160" s="670"/>
    </row>
    <row r="161" spans="1:93">
      <c r="A161" s="1590"/>
      <c r="B161" s="670"/>
      <c r="C161" s="670"/>
      <c r="D161" s="655"/>
      <c r="E161" s="670"/>
      <c r="F161" s="706" t="s">
        <v>2422</v>
      </c>
      <c r="G161" s="703"/>
      <c r="H161" s="703"/>
      <c r="I161" s="703"/>
      <c r="J161" s="1441" t="s">
        <v>2422</v>
      </c>
      <c r="K161" s="1355"/>
      <c r="L161" s="655"/>
      <c r="M161" s="655"/>
      <c r="N161" s="655"/>
      <c r="O161" s="655"/>
      <c r="P161" s="655"/>
      <c r="Q161" s="670"/>
      <c r="R161" s="655"/>
      <c r="S161" s="670"/>
      <c r="T161" s="670"/>
      <c r="U161" s="670"/>
      <c r="V161" s="670"/>
      <c r="W161" s="670"/>
      <c r="X161" s="670"/>
      <c r="Y161" s="670"/>
      <c r="Z161" s="670"/>
      <c r="AA161" s="670"/>
      <c r="AB161" s="670"/>
      <c r="AC161" s="670"/>
      <c r="AD161" s="670"/>
      <c r="AE161" s="670"/>
      <c r="AF161" s="670"/>
      <c r="AG161" s="670"/>
      <c r="AH161" s="670"/>
      <c r="AI161" s="670"/>
      <c r="AJ161" s="670"/>
      <c r="AK161" s="670"/>
      <c r="AL161" s="670"/>
      <c r="AM161" s="670"/>
      <c r="AN161" s="670"/>
      <c r="AO161" s="670"/>
      <c r="AP161" s="670"/>
      <c r="AQ161" s="670"/>
      <c r="AR161" s="670"/>
      <c r="AS161" s="670"/>
      <c r="AT161" s="670"/>
      <c r="AU161" s="670"/>
      <c r="AV161" s="670"/>
      <c r="AW161" s="670"/>
      <c r="AX161" s="670"/>
      <c r="AY161" s="670"/>
      <c r="AZ161" s="670"/>
      <c r="BA161" s="670"/>
      <c r="BB161" s="670"/>
      <c r="BC161" s="670"/>
      <c r="BD161" s="670"/>
      <c r="BE161" s="670"/>
      <c r="BF161" s="670"/>
      <c r="BG161" s="670"/>
      <c r="BH161" s="670"/>
      <c r="BI161" s="670"/>
      <c r="BJ161" s="670"/>
      <c r="BK161" s="670"/>
      <c r="BL161" s="670"/>
      <c r="BM161" s="670"/>
      <c r="BN161" s="670"/>
      <c r="BO161" s="670"/>
      <c r="BP161" s="670"/>
      <c r="BQ161" s="670"/>
      <c r="BR161" s="670"/>
      <c r="BS161" s="670"/>
      <c r="BT161" s="670"/>
      <c r="BU161" s="670"/>
      <c r="BV161" s="670"/>
      <c r="BW161" s="670"/>
      <c r="BX161" s="670"/>
      <c r="BY161" s="670"/>
      <c r="BZ161" s="670"/>
      <c r="CA161" s="670"/>
      <c r="CB161" s="670"/>
      <c r="CC161" s="670"/>
      <c r="CD161" s="670"/>
      <c r="CE161" s="670"/>
      <c r="CF161" s="670"/>
      <c r="CG161" s="670"/>
      <c r="CH161" s="670"/>
      <c r="CI161" s="670"/>
      <c r="CJ161" s="670"/>
      <c r="CK161" s="670"/>
      <c r="CL161" s="670"/>
      <c r="CM161" s="670"/>
      <c r="CN161" s="670"/>
      <c r="CO161" s="670"/>
    </row>
    <row r="162" spans="1:93">
      <c r="A162" s="1679" t="s">
        <v>724</v>
      </c>
      <c r="B162" s="709" t="s">
        <v>432</v>
      </c>
      <c r="C162" s="709"/>
      <c r="D162" s="711"/>
      <c r="E162" s="670"/>
      <c r="F162" s="655"/>
      <c r="G162" s="670"/>
      <c r="H162" s="670"/>
      <c r="I162" s="670"/>
      <c r="J162" s="1439"/>
      <c r="K162" s="1355"/>
      <c r="L162" s="655"/>
      <c r="M162" s="655"/>
      <c r="N162" s="655"/>
      <c r="O162" s="655"/>
      <c r="P162" s="655"/>
      <c r="Q162" s="670"/>
      <c r="R162" s="655"/>
      <c r="S162" s="670"/>
      <c r="T162" s="670"/>
      <c r="U162" s="670"/>
      <c r="V162" s="670"/>
      <c r="W162" s="670"/>
      <c r="X162" s="670"/>
      <c r="Y162" s="670"/>
      <c r="Z162" s="670"/>
      <c r="AA162" s="670"/>
      <c r="AB162" s="670"/>
      <c r="AC162" s="670"/>
      <c r="AD162" s="670"/>
      <c r="AE162" s="670"/>
      <c r="AF162" s="670"/>
      <c r="AG162" s="670"/>
      <c r="AH162" s="670"/>
      <c r="AI162" s="670"/>
      <c r="AJ162" s="670"/>
      <c r="AK162" s="670"/>
      <c r="AL162" s="670"/>
      <c r="AM162" s="670"/>
      <c r="AN162" s="670"/>
      <c r="AO162" s="670"/>
      <c r="AP162" s="670"/>
      <c r="AQ162" s="670"/>
      <c r="AR162" s="670"/>
      <c r="AS162" s="670"/>
      <c r="AT162" s="670"/>
      <c r="AU162" s="670"/>
      <c r="AV162" s="670"/>
      <c r="AW162" s="670"/>
      <c r="AX162" s="670"/>
      <c r="AY162" s="670"/>
      <c r="AZ162" s="670"/>
      <c r="BA162" s="670"/>
      <c r="BB162" s="670"/>
      <c r="BC162" s="670"/>
      <c r="BD162" s="670"/>
      <c r="BE162" s="670"/>
      <c r="BF162" s="670"/>
      <c r="BG162" s="670"/>
      <c r="BH162" s="670"/>
      <c r="BI162" s="670"/>
      <c r="BJ162" s="670"/>
      <c r="BK162" s="670"/>
      <c r="BL162" s="670"/>
      <c r="BM162" s="670"/>
      <c r="BN162" s="670"/>
      <c r="BO162" s="670"/>
      <c r="BP162" s="670"/>
      <c r="BQ162" s="670"/>
      <c r="BR162" s="670"/>
      <c r="BS162" s="670"/>
      <c r="BT162" s="670"/>
      <c r="BU162" s="670"/>
      <c r="BV162" s="670"/>
      <c r="BW162" s="670"/>
      <c r="BX162" s="670"/>
      <c r="BY162" s="670"/>
      <c r="BZ162" s="670"/>
      <c r="CA162" s="670"/>
      <c r="CB162" s="670"/>
      <c r="CC162" s="670"/>
      <c r="CD162" s="670"/>
      <c r="CE162" s="670"/>
      <c r="CF162" s="670"/>
      <c r="CG162" s="670"/>
      <c r="CH162" s="670"/>
      <c r="CI162" s="670"/>
      <c r="CJ162" s="670"/>
      <c r="CK162" s="670"/>
      <c r="CL162" s="670"/>
      <c r="CM162" s="670"/>
      <c r="CN162" s="670"/>
      <c r="CO162" s="670"/>
    </row>
    <row r="163" spans="1:93">
      <c r="A163" s="1590"/>
      <c r="B163" s="708" t="s">
        <v>433</v>
      </c>
      <c r="C163" s="708"/>
      <c r="D163" s="727">
        <f>'EMPLOYEE COST 0910'!E17+'EMPLOYEE COST 0910'!E34+'EMPLOYEE COST 0910'!E77+'EMPLOYEE COST 0910'!E102+'EMPLOYEE COST 0910'!E115+'EMPLOYEE COST 0910'!E134+'EMPLOYEE COST 0910'!E142+'EMPLOYEE COST 0910'!E148+'EMPLOYEE COST 0910'!E161</f>
        <v>21687549.57</v>
      </c>
      <c r="E163" s="670"/>
      <c r="F163" s="683">
        <f>'work paper employee cost 0809'!I20+'work paper employee cost 0809'!I36+'work paper employee cost 0809'!I57+'work paper employee cost 0809'!I64+'work paper employee cost 0809'!I77+'work paper employee cost 0809'!I122+'work paper employee cost 0809'!I130+'work paper employee cost 0809'!I132+'work paper employee cost 0809'!I235</f>
        <v>20359874.080000002</v>
      </c>
      <c r="G163" s="682"/>
      <c r="H163" s="682"/>
      <c r="I163" s="682"/>
      <c r="J163" s="1446">
        <f>SUM('TRAIL BALANCE'!E27)+SUM('TRAIL BALANCE'!E92:E96)+SUM('TRAIL BALANCE'!E99)+SUM('TRAIL BALANCE'!E105)+SUM('TRAIL BALANCE'!E173:E176)+SUM('TRAIL BALANCE'!E179:E180)+SUM('TRAIL BALANCE'!E185)+SUM('TRAIL BALANCE'!E220:E221)+SUM('TRAIL BALANCE'!E229)+SUM('TRAIL BALANCE'!E248:E251)+SUM('TRAIL BALANCE'!E258)+SUM('TRAIL BALANCE'!E279:E285)+SUM('TRAIL BALANCE'!E287:E288)+SUM('TRAIL BALANCE'!E293)+SUM('TRAIL BALANCE'!E331:E333)+SUM('TRAIL BALANCE'!E339)+SUM('TRAIL BALANCE'!E348:E350)+SUM('TRAIL BALANCE'!E352)+SUM('TRAIL BALANCE'!E357)+SUM('TRAIL BALANCE'!E374:E377)+SUM('TRAIL BALANCE'!E379)+SUM('TRAIL BALANCE'!E384)+SUM('TRAIL BALANCE'!E414:E418)+SUM('TRAIL BALANCE'!E425)+SUM('TRAIL BALANCE'!E445:E447)+SUM('TRAIL BALANCE'!E453)+SUM('TRAIL BALANCE'!E470:E475)+SUM('TRAIL BALANCE'!E481)+SUM('TRAIL BALANCE'!E505:E510)+SUM('TRAIL BALANCE'!E512)+SUM('TRAIL BALANCE'!E518)+SUM('TRAIL BALANCE'!E551:E556)+SUM('TRAIL BALANCE'!E558)+SUM('TRAIL BALANCE'!E563)+SUM('TRAIL BALANCE'!E634:E639)+SUM('TRAIL BALANCE'!E647)+SUM('TRAIL BALANCE'!E770:E775)+SUM('TRAIL BALANCE'!E777:E778)+SUM('TRAIL BALANCE'!E783)</f>
        <v>16853482.479999997</v>
      </c>
      <c r="K163" s="1355"/>
      <c r="L163" s="655"/>
      <c r="M163" s="655"/>
      <c r="N163" s="655"/>
      <c r="O163" s="655"/>
      <c r="P163" s="655"/>
      <c r="Q163" s="670"/>
      <c r="R163" s="655"/>
      <c r="S163" s="670"/>
      <c r="T163" s="670"/>
      <c r="U163" s="670"/>
      <c r="V163" s="670"/>
      <c r="W163" s="670"/>
      <c r="X163" s="670"/>
      <c r="Y163" s="670"/>
      <c r="Z163" s="670"/>
      <c r="AA163" s="670"/>
      <c r="AB163" s="670"/>
      <c r="AC163" s="670"/>
      <c r="AD163" s="670"/>
      <c r="AE163" s="670"/>
      <c r="AF163" s="670"/>
      <c r="AG163" s="670"/>
      <c r="AH163" s="670"/>
      <c r="AI163" s="670"/>
      <c r="AJ163" s="670"/>
      <c r="AK163" s="670"/>
      <c r="AL163" s="670"/>
      <c r="AM163" s="670"/>
      <c r="AN163" s="670"/>
      <c r="AO163" s="670"/>
      <c r="AP163" s="670"/>
      <c r="AQ163" s="670"/>
      <c r="AR163" s="670"/>
      <c r="AS163" s="670"/>
      <c r="AT163" s="670"/>
      <c r="AU163" s="670"/>
      <c r="AV163" s="670"/>
      <c r="AW163" s="670"/>
      <c r="AX163" s="670"/>
      <c r="AY163" s="670"/>
      <c r="AZ163" s="670"/>
      <c r="BA163" s="670"/>
      <c r="BB163" s="670"/>
      <c r="BC163" s="670"/>
      <c r="BD163" s="670"/>
      <c r="BE163" s="670"/>
      <c r="BF163" s="670"/>
      <c r="BG163" s="670"/>
      <c r="BH163" s="670"/>
      <c r="BI163" s="670"/>
      <c r="BJ163" s="670"/>
      <c r="BK163" s="670"/>
      <c r="BL163" s="670"/>
      <c r="BM163" s="670"/>
      <c r="BN163" s="670"/>
      <c r="BO163" s="670"/>
      <c r="BP163" s="670"/>
      <c r="BQ163" s="670"/>
      <c r="BR163" s="670"/>
      <c r="BS163" s="670"/>
      <c r="BT163" s="670"/>
      <c r="BU163" s="670"/>
      <c r="BV163" s="670"/>
      <c r="BW163" s="670"/>
      <c r="BX163" s="670"/>
      <c r="BY163" s="670"/>
      <c r="BZ163" s="670"/>
      <c r="CA163" s="670"/>
      <c r="CB163" s="670"/>
      <c r="CC163" s="670"/>
      <c r="CD163" s="670"/>
      <c r="CE163" s="670"/>
      <c r="CF163" s="670"/>
      <c r="CG163" s="670"/>
      <c r="CH163" s="670"/>
      <c r="CI163" s="670"/>
      <c r="CJ163" s="670"/>
      <c r="CK163" s="670"/>
      <c r="CL163" s="670"/>
      <c r="CM163" s="670"/>
      <c r="CN163" s="670"/>
      <c r="CO163" s="670"/>
    </row>
    <row r="164" spans="1:93">
      <c r="A164" s="1590"/>
      <c r="B164" s="708" t="s">
        <v>434</v>
      </c>
      <c r="C164" s="708"/>
      <c r="D164" s="728">
        <f>SUM(D165:D170)</f>
        <v>3793810.2600000002</v>
      </c>
      <c r="E164" s="670"/>
      <c r="F164" s="655">
        <f>SUM(F165:F170)</f>
        <v>3372025.7800000003</v>
      </c>
      <c r="G164" s="670"/>
      <c r="H164" s="670"/>
      <c r="I164" s="670"/>
      <c r="J164" s="1439">
        <f>SUM(J165:J170)</f>
        <v>3478123.9</v>
      </c>
      <c r="K164" s="1355"/>
      <c r="L164" s="655"/>
      <c r="M164" s="655"/>
      <c r="N164" s="655"/>
      <c r="O164" s="655"/>
      <c r="P164" s="655"/>
      <c r="Q164" s="670"/>
      <c r="R164" s="655"/>
      <c r="S164" s="670"/>
      <c r="T164" s="670"/>
      <c r="U164" s="670"/>
      <c r="V164" s="670"/>
      <c r="W164" s="670"/>
      <c r="X164" s="670"/>
      <c r="Y164" s="670"/>
      <c r="Z164" s="670"/>
      <c r="AA164" s="670"/>
      <c r="AB164" s="670"/>
      <c r="AC164" s="670"/>
      <c r="AD164" s="670"/>
      <c r="AE164" s="670"/>
      <c r="AF164" s="670"/>
      <c r="AG164" s="670"/>
      <c r="AH164" s="670"/>
      <c r="AI164" s="670"/>
      <c r="AJ164" s="670"/>
      <c r="AK164" s="670"/>
      <c r="AL164" s="670"/>
      <c r="AM164" s="670"/>
      <c r="AN164" s="670"/>
      <c r="AO164" s="670"/>
      <c r="AP164" s="670"/>
      <c r="AQ164" s="670"/>
      <c r="AR164" s="670"/>
      <c r="AS164" s="670"/>
      <c r="AT164" s="670"/>
      <c r="AU164" s="670"/>
      <c r="AV164" s="670"/>
      <c r="AW164" s="670"/>
      <c r="AX164" s="670"/>
      <c r="AY164" s="670"/>
      <c r="AZ164" s="670"/>
      <c r="BA164" s="670"/>
      <c r="BB164" s="670"/>
      <c r="BC164" s="670"/>
      <c r="BD164" s="670"/>
      <c r="BE164" s="670"/>
      <c r="BF164" s="670"/>
      <c r="BG164" s="670"/>
      <c r="BH164" s="670"/>
      <c r="BI164" s="670"/>
      <c r="BJ164" s="670"/>
      <c r="BK164" s="670"/>
      <c r="BL164" s="670"/>
      <c r="BM164" s="670"/>
      <c r="BN164" s="670"/>
      <c r="BO164" s="670"/>
      <c r="BP164" s="670"/>
      <c r="BQ164" s="670"/>
      <c r="BR164" s="670"/>
      <c r="BS164" s="670"/>
      <c r="BT164" s="670"/>
      <c r="BU164" s="670"/>
      <c r="BV164" s="670"/>
      <c r="BW164" s="670"/>
      <c r="BX164" s="670"/>
      <c r="BY164" s="670"/>
      <c r="BZ164" s="670"/>
      <c r="CA164" s="670"/>
      <c r="CB164" s="670"/>
      <c r="CC164" s="670"/>
      <c r="CD164" s="670"/>
      <c r="CE164" s="670"/>
      <c r="CF164" s="670"/>
      <c r="CG164" s="670"/>
      <c r="CH164" s="670"/>
      <c r="CI164" s="670"/>
      <c r="CJ164" s="670"/>
      <c r="CK164" s="670"/>
      <c r="CL164" s="670"/>
      <c r="CM164" s="670"/>
      <c r="CN164" s="670"/>
      <c r="CO164" s="670"/>
    </row>
    <row r="165" spans="1:93">
      <c r="A165" s="1590"/>
      <c r="B165" s="1332" t="s">
        <v>435</v>
      </c>
      <c r="C165" s="1332"/>
      <c r="D165" s="729">
        <f>'EMPLOYEE COST 0910'!E132</f>
        <v>2848138.0600000005</v>
      </c>
      <c r="E165" s="670"/>
      <c r="F165" s="658">
        <f>'work paper employee cost 0809'!I170</f>
        <v>2579424.13</v>
      </c>
      <c r="G165" s="670"/>
      <c r="H165" s="670"/>
      <c r="I165" s="670"/>
      <c r="J165" s="1448">
        <f>SUM('TRAIL BALANCE'!E28+'TRAIL BALANCE'!E102+'TRAIL BALANCE'!E129+'TRAIL BALANCE'!E182+'TRAIL BALANCE'!E226+'TRAIL BALANCE'!E255+'TRAIL BALANCE'!E290+'TRAIL BALANCE'!E336+'TRAIL BALANCE'!E354+'TRAIL BALANCE'!E381+'TRAIL BALANCE'!E422+'TRAIL BALANCE'!E450+'TRAIL BALANCE'!E478+'TRAIL BALANCE'!E515+'TRAIL BALANCE'!E560+'TRAIL BALANCE'!E644+'TRAIL BALANCE'!E696+'TRAIL BALANCE'!E780)</f>
        <v>2633438.5099999998</v>
      </c>
      <c r="K165" s="1355"/>
      <c r="L165" s="655"/>
      <c r="M165" s="655"/>
      <c r="N165" s="655"/>
      <c r="O165" s="655"/>
      <c r="P165" s="655"/>
      <c r="Q165" s="670"/>
      <c r="R165" s="655"/>
      <c r="S165" s="670"/>
      <c r="T165" s="670"/>
      <c r="U165" s="670"/>
      <c r="V165" s="670"/>
      <c r="W165" s="670"/>
      <c r="X165" s="670"/>
      <c r="Y165" s="670"/>
      <c r="Z165" s="670"/>
      <c r="AA165" s="670"/>
      <c r="AB165" s="670"/>
      <c r="AC165" s="670"/>
      <c r="AD165" s="670"/>
      <c r="AE165" s="670"/>
      <c r="AF165" s="670"/>
      <c r="AG165" s="670"/>
      <c r="AH165" s="670"/>
      <c r="AI165" s="670"/>
      <c r="AJ165" s="670"/>
      <c r="AK165" s="670"/>
      <c r="AL165" s="670"/>
      <c r="AM165" s="670"/>
      <c r="AN165" s="670"/>
      <c r="AO165" s="670"/>
      <c r="AP165" s="670"/>
      <c r="AQ165" s="670"/>
      <c r="AR165" s="670"/>
      <c r="AS165" s="670"/>
      <c r="AT165" s="670"/>
      <c r="AU165" s="670"/>
      <c r="AV165" s="670"/>
      <c r="AW165" s="670"/>
      <c r="AX165" s="670"/>
      <c r="AY165" s="670"/>
      <c r="AZ165" s="670"/>
      <c r="BA165" s="670"/>
      <c r="BB165" s="670"/>
      <c r="BC165" s="670"/>
      <c r="BD165" s="670"/>
      <c r="BE165" s="670"/>
      <c r="BF165" s="670"/>
      <c r="BG165" s="670"/>
      <c r="BH165" s="670"/>
      <c r="BI165" s="670"/>
      <c r="BJ165" s="670"/>
      <c r="BK165" s="670"/>
      <c r="BL165" s="670"/>
      <c r="BM165" s="670"/>
      <c r="BN165" s="670"/>
      <c r="BO165" s="670"/>
      <c r="BP165" s="670"/>
      <c r="BQ165" s="670"/>
      <c r="BR165" s="670"/>
      <c r="BS165" s="670"/>
      <c r="BT165" s="670"/>
      <c r="BU165" s="670"/>
      <c r="BV165" s="670"/>
      <c r="BW165" s="670"/>
      <c r="BX165" s="670"/>
      <c r="BY165" s="670"/>
      <c r="BZ165" s="670"/>
      <c r="CA165" s="670"/>
      <c r="CB165" s="670"/>
      <c r="CC165" s="670"/>
      <c r="CD165" s="670"/>
      <c r="CE165" s="670"/>
      <c r="CF165" s="670"/>
      <c r="CG165" s="670"/>
      <c r="CH165" s="670"/>
      <c r="CI165" s="670"/>
      <c r="CJ165" s="670"/>
      <c r="CK165" s="670"/>
      <c r="CL165" s="670"/>
      <c r="CM165" s="670"/>
      <c r="CN165" s="670"/>
      <c r="CO165" s="670"/>
    </row>
    <row r="166" spans="1:93">
      <c r="A166" s="1590"/>
      <c r="B166" s="1332" t="s">
        <v>436</v>
      </c>
      <c r="C166" s="1332"/>
      <c r="D166" s="553">
        <f>'EMPLOYEE COST 0910'!E92</f>
        <v>613159.11</v>
      </c>
      <c r="E166" s="670"/>
      <c r="F166" s="659">
        <f>'work paper employee cost 0809'!I151</f>
        <v>454139.91000000003</v>
      </c>
      <c r="G166" s="670"/>
      <c r="H166" s="670"/>
      <c r="I166" s="670"/>
      <c r="J166" s="1444">
        <f>SUM('TRAIL BALANCE'!E31+'TRAIL BALANCE'!E34+'TRAIL BALANCE'!E101+'TRAIL BALANCE'!E181+'TRAIL BALANCE'!E225+'TRAIL BALANCE'!E254+'TRAIL BALANCE'!E289+'TRAIL BALANCE'!E335+'TRAIL BALANCE'!E353+'TRAIL BALANCE'!E380+'TRAIL BALANCE'!E421+'TRAIL BALANCE'!E449+'TRAIL BALANCE'!E477+'TRAIL BALANCE'!E514+'TRAIL BALANCE'!E559+'TRAIL BALANCE'!E643+'TRAIL BALANCE'!E695+'TRAIL BALANCE'!E779)</f>
        <v>467825.94</v>
      </c>
      <c r="K166" s="1355"/>
      <c r="L166" s="655"/>
      <c r="M166" s="655"/>
      <c r="N166" s="655"/>
      <c r="O166" s="655"/>
      <c r="P166" s="655"/>
      <c r="Q166" s="670"/>
      <c r="R166" s="655"/>
      <c r="S166" s="670"/>
      <c r="T166" s="670"/>
      <c r="U166" s="670"/>
      <c r="V166" s="670"/>
      <c r="W166" s="670"/>
      <c r="X166" s="670"/>
      <c r="Y166" s="670"/>
      <c r="Z166" s="670"/>
      <c r="AA166" s="670"/>
      <c r="AB166" s="670"/>
      <c r="AC166" s="670"/>
      <c r="AD166" s="670"/>
      <c r="AE166" s="670"/>
      <c r="AF166" s="670"/>
      <c r="AG166" s="670"/>
      <c r="AH166" s="670"/>
      <c r="AI166" s="670"/>
      <c r="AJ166" s="670"/>
      <c r="AK166" s="670"/>
      <c r="AL166" s="670"/>
      <c r="AM166" s="670"/>
      <c r="AN166" s="670"/>
      <c r="AO166" s="670"/>
      <c r="AP166" s="670"/>
      <c r="AQ166" s="670"/>
      <c r="AR166" s="670"/>
      <c r="AS166" s="670"/>
      <c r="AT166" s="670"/>
      <c r="AU166" s="670"/>
      <c r="AV166" s="670"/>
      <c r="AW166" s="670"/>
      <c r="AX166" s="670"/>
      <c r="AY166" s="670"/>
      <c r="AZ166" s="670"/>
      <c r="BA166" s="670"/>
      <c r="BB166" s="670"/>
      <c r="BC166" s="670"/>
      <c r="BD166" s="670"/>
      <c r="BE166" s="670"/>
      <c r="BF166" s="670"/>
      <c r="BG166" s="670"/>
      <c r="BH166" s="670"/>
      <c r="BI166" s="670"/>
      <c r="BJ166" s="670"/>
      <c r="BK166" s="670"/>
      <c r="BL166" s="670"/>
      <c r="BM166" s="670"/>
      <c r="BN166" s="670"/>
      <c r="BO166" s="670"/>
      <c r="BP166" s="670"/>
      <c r="BQ166" s="670"/>
      <c r="BR166" s="670"/>
      <c r="BS166" s="670"/>
      <c r="BT166" s="670"/>
      <c r="BU166" s="670"/>
      <c r="BV166" s="670"/>
      <c r="BW166" s="670"/>
      <c r="BX166" s="670"/>
      <c r="BY166" s="670"/>
      <c r="BZ166" s="670"/>
      <c r="CA166" s="670"/>
      <c r="CB166" s="670"/>
      <c r="CC166" s="670"/>
      <c r="CD166" s="670"/>
      <c r="CE166" s="670"/>
      <c r="CF166" s="670"/>
      <c r="CG166" s="670"/>
      <c r="CH166" s="670"/>
      <c r="CI166" s="670"/>
      <c r="CJ166" s="670"/>
      <c r="CK166" s="670"/>
      <c r="CL166" s="670"/>
      <c r="CM166" s="670"/>
      <c r="CN166" s="670"/>
      <c r="CO166" s="670"/>
    </row>
    <row r="167" spans="1:93">
      <c r="A167" s="1590"/>
      <c r="B167" s="1332" t="s">
        <v>437</v>
      </c>
      <c r="C167" s="1332"/>
      <c r="D167" s="553">
        <f>'EMPLOYEE COST 0910'!E50</f>
        <v>108205.34999999999</v>
      </c>
      <c r="E167" s="670"/>
      <c r="F167" s="659">
        <f>'work paper employee cost 0809'!I208</f>
        <v>92259.199999999983</v>
      </c>
      <c r="G167" s="670"/>
      <c r="H167" s="670"/>
      <c r="I167" s="670"/>
      <c r="J167" s="1444">
        <f>SUM('TRAIL BALANCE'!E104+'TRAIL BALANCE'!E184+'TRAIL BALANCE'!E228+'TRAIL BALANCE'!E257+'TRAIL BALANCE'!E292+'TRAIL BALANCE'!E338+'TRAIL BALANCE'!E356+'TRAIL BALANCE'!E383+'TRAIL BALANCE'!E424+'TRAIL BALANCE'!E452+'TRAIL BALANCE'!E480+'TRAIL BALANCE'!E517+'TRAIL BALANCE'!E562+'TRAIL BALANCE'!E646+'TRAIL BALANCE'!E698+'TRAIL BALANCE'!E782)</f>
        <v>104867.65000000002</v>
      </c>
      <c r="K167" s="1355"/>
      <c r="L167" s="685" t="s">
        <v>45</v>
      </c>
      <c r="M167" s="655"/>
      <c r="N167" s="655"/>
      <c r="O167" s="655"/>
      <c r="P167" s="655"/>
      <c r="Q167" s="670"/>
      <c r="R167" s="655"/>
      <c r="S167" s="670"/>
      <c r="T167" s="670"/>
      <c r="U167" s="670"/>
      <c r="V167" s="670"/>
      <c r="W167" s="670"/>
      <c r="X167" s="670"/>
      <c r="Y167" s="670"/>
      <c r="Z167" s="670"/>
      <c r="AA167" s="670"/>
      <c r="AB167" s="670"/>
      <c r="AC167" s="670"/>
      <c r="AD167" s="670"/>
      <c r="AE167" s="670"/>
      <c r="AF167" s="670"/>
      <c r="AG167" s="670"/>
      <c r="AH167" s="670"/>
      <c r="AI167" s="670"/>
      <c r="AJ167" s="670"/>
      <c r="AK167" s="670"/>
      <c r="AL167" s="670"/>
      <c r="AM167" s="670"/>
      <c r="AN167" s="670"/>
      <c r="AO167" s="670"/>
      <c r="AP167" s="670"/>
      <c r="AQ167" s="670"/>
      <c r="AR167" s="670"/>
      <c r="AS167" s="670"/>
      <c r="AT167" s="670"/>
      <c r="AU167" s="670"/>
      <c r="AV167" s="670"/>
      <c r="AW167" s="670"/>
      <c r="AX167" s="670"/>
      <c r="AY167" s="670"/>
      <c r="AZ167" s="670"/>
      <c r="BA167" s="670"/>
      <c r="BB167" s="670"/>
      <c r="BC167" s="670"/>
      <c r="BD167" s="670"/>
      <c r="BE167" s="670"/>
      <c r="BF167" s="670"/>
      <c r="BG167" s="670"/>
      <c r="BH167" s="670"/>
      <c r="BI167" s="670"/>
      <c r="BJ167" s="670"/>
      <c r="BK167" s="670"/>
      <c r="BL167" s="670"/>
      <c r="BM167" s="670"/>
      <c r="BN167" s="670"/>
      <c r="BO167" s="670"/>
      <c r="BP167" s="670"/>
      <c r="BQ167" s="670"/>
      <c r="BR167" s="670"/>
      <c r="BS167" s="670"/>
      <c r="BT167" s="670"/>
      <c r="BU167" s="670"/>
      <c r="BV167" s="670"/>
      <c r="BW167" s="670"/>
      <c r="BX167" s="670"/>
      <c r="BY167" s="670"/>
      <c r="BZ167" s="670"/>
      <c r="CA167" s="670"/>
      <c r="CB167" s="670"/>
      <c r="CC167" s="670"/>
      <c r="CD167" s="670"/>
      <c r="CE167" s="670"/>
      <c r="CF167" s="670"/>
      <c r="CG167" s="670"/>
      <c r="CH167" s="670"/>
      <c r="CI167" s="670"/>
      <c r="CJ167" s="670"/>
      <c r="CK167" s="670"/>
      <c r="CL167" s="670"/>
      <c r="CM167" s="670"/>
      <c r="CN167" s="670"/>
      <c r="CO167" s="670"/>
    </row>
    <row r="168" spans="1:93">
      <c r="A168" s="1590"/>
      <c r="B168" s="1332" t="s">
        <v>438</v>
      </c>
      <c r="C168" s="1332"/>
      <c r="D168" s="553">
        <f>'EMPLOYEE COST 0910'!E60</f>
        <v>71012.170000000013</v>
      </c>
      <c r="E168" s="670"/>
      <c r="F168" s="659">
        <f>'work paper employee cost 0809'!I107</f>
        <v>86925.51999999999</v>
      </c>
      <c r="G168" s="670"/>
      <c r="H168" s="670"/>
      <c r="I168" s="670"/>
      <c r="J168" s="1444">
        <f>SUM('TRAIL BALANCE'!E98+'TRAIL BALANCE'!E127+'TRAIL BALANCE'!E178+'TRAIL BALANCE'!E224+'TRAIL BALANCE'!E252+'TRAIL BALANCE'!E286+'TRAIL BALANCE'!E351+'TRAIL BALANCE'!E378+'TRAIL BALANCE'!E419+'TRAIL BALANCE'!E476+'TRAIL BALANCE'!E511+'TRAIL BALANCE'!E557+'TRAIL BALANCE'!E640+'TRAIL BALANCE'!E776)</f>
        <v>119161.47</v>
      </c>
      <c r="K168" s="1355"/>
      <c r="L168" s="655"/>
      <c r="M168" s="655"/>
      <c r="N168" s="655"/>
      <c r="O168" s="655"/>
      <c r="P168" s="655"/>
      <c r="Q168" s="670"/>
      <c r="R168" s="655"/>
      <c r="S168" s="670"/>
      <c r="T168" s="670"/>
      <c r="U168" s="670"/>
      <c r="V168" s="670"/>
      <c r="W168" s="670"/>
      <c r="X168" s="670"/>
      <c r="Y168" s="670"/>
      <c r="Z168" s="670"/>
      <c r="AA168" s="670"/>
      <c r="AB168" s="670"/>
      <c r="AC168" s="670"/>
      <c r="AD168" s="670"/>
      <c r="AE168" s="670"/>
      <c r="AF168" s="670"/>
      <c r="AG168" s="670"/>
      <c r="AH168" s="670"/>
      <c r="AI168" s="670"/>
      <c r="AJ168" s="670"/>
      <c r="AK168" s="670"/>
      <c r="AL168" s="670"/>
      <c r="AM168" s="670"/>
      <c r="AN168" s="670"/>
      <c r="AO168" s="670"/>
      <c r="AP168" s="670"/>
      <c r="AQ168" s="670"/>
      <c r="AR168" s="670"/>
      <c r="AS168" s="670"/>
      <c r="AT168" s="670"/>
      <c r="AU168" s="670"/>
      <c r="AV168" s="670"/>
      <c r="AW168" s="670"/>
      <c r="AX168" s="670"/>
      <c r="AY168" s="670"/>
      <c r="AZ168" s="670"/>
      <c r="BA168" s="670"/>
      <c r="BB168" s="670"/>
      <c r="BC168" s="670"/>
      <c r="BD168" s="670"/>
      <c r="BE168" s="670"/>
      <c r="BF168" s="670"/>
      <c r="BG168" s="670"/>
      <c r="BH168" s="670"/>
      <c r="BI168" s="670"/>
      <c r="BJ168" s="670"/>
      <c r="BK168" s="670"/>
      <c r="BL168" s="670"/>
      <c r="BM168" s="670"/>
      <c r="BN168" s="670"/>
      <c r="BO168" s="670"/>
      <c r="BP168" s="670"/>
      <c r="BQ168" s="670"/>
      <c r="BR168" s="670"/>
      <c r="BS168" s="670"/>
      <c r="BT168" s="670"/>
      <c r="BU168" s="670"/>
      <c r="BV168" s="670"/>
      <c r="BW168" s="670"/>
      <c r="BX168" s="670"/>
      <c r="BY168" s="670"/>
      <c r="BZ168" s="670"/>
      <c r="CA168" s="670"/>
      <c r="CB168" s="670"/>
      <c r="CC168" s="670"/>
      <c r="CD168" s="670"/>
      <c r="CE168" s="670"/>
      <c r="CF168" s="670"/>
      <c r="CG168" s="670"/>
      <c r="CH168" s="670"/>
      <c r="CI168" s="670"/>
      <c r="CJ168" s="670"/>
      <c r="CK168" s="670"/>
      <c r="CL168" s="670"/>
      <c r="CM168" s="670"/>
      <c r="CN168" s="670"/>
      <c r="CO168" s="670"/>
    </row>
    <row r="169" spans="1:93">
      <c r="A169" s="1590"/>
      <c r="B169" s="1332" t="s">
        <v>439</v>
      </c>
      <c r="C169" s="1332"/>
      <c r="D169" s="553">
        <f>'EMPLOYEE COST 0910'!E179</f>
        <v>153295.57</v>
      </c>
      <c r="E169" s="670"/>
      <c r="F169" s="659">
        <f>'work paper employee cost 0809'!I190</f>
        <v>159277.02000000002</v>
      </c>
      <c r="G169" s="670"/>
      <c r="H169" s="670"/>
      <c r="I169" s="670"/>
      <c r="J169" s="1444">
        <f>SUM('TRAIL BALANCE'!E103+'TRAIL BALANCE'!E130+'TRAIL BALANCE'!E183+'TRAIL BALANCE'!E227+'TRAIL BALANCE'!E256+'TRAIL BALANCE'!E291+'TRAIL BALANCE'!EF337+'TRAIL BALANCE'!E355+'TRAIL BALANCE'!E382+'TRAIL BALANCE'!E423+'TRAIL BALANCE'!E451+'TRAIL BALANCE'!E479+'TRAIL BALANCE'!E516+'TRAIL BALANCE'!E561+'TRAIL BALANCE'!E645+'TRAIL BALANCE'!E697+'TRAIL BALANCE'!E781)+791</f>
        <v>152830.32999999999</v>
      </c>
      <c r="K169" s="1355"/>
      <c r="L169" s="655" t="s">
        <v>45</v>
      </c>
      <c r="M169" s="655"/>
      <c r="N169" s="655"/>
      <c r="O169" s="655"/>
      <c r="P169" s="655"/>
      <c r="Q169" s="670"/>
      <c r="R169" s="655"/>
      <c r="S169" s="670"/>
      <c r="T169" s="670"/>
      <c r="U169" s="670"/>
      <c r="V169" s="670"/>
      <c r="W169" s="670"/>
      <c r="X169" s="670"/>
      <c r="Y169" s="670"/>
      <c r="Z169" s="670"/>
      <c r="AA169" s="670"/>
      <c r="AB169" s="670"/>
      <c r="AC169" s="670"/>
      <c r="AD169" s="670"/>
      <c r="AE169" s="670"/>
      <c r="AF169" s="670"/>
      <c r="AG169" s="670"/>
      <c r="AH169" s="670"/>
      <c r="AI169" s="670"/>
      <c r="AJ169" s="670"/>
      <c r="AK169" s="670"/>
      <c r="AL169" s="670"/>
      <c r="AM169" s="670"/>
      <c r="AN169" s="670"/>
      <c r="AO169" s="670"/>
      <c r="AP169" s="670"/>
      <c r="AQ169" s="670"/>
      <c r="AR169" s="670"/>
      <c r="AS169" s="670"/>
      <c r="AT169" s="670"/>
      <c r="AU169" s="670"/>
      <c r="AV169" s="670"/>
      <c r="AW169" s="670"/>
      <c r="AX169" s="670"/>
      <c r="AY169" s="670"/>
      <c r="AZ169" s="670"/>
      <c r="BA169" s="670"/>
      <c r="BB169" s="670"/>
      <c r="BC169" s="670"/>
      <c r="BD169" s="670"/>
      <c r="BE169" s="670"/>
      <c r="BF169" s="670"/>
      <c r="BG169" s="670"/>
      <c r="BH169" s="670"/>
      <c r="BI169" s="670"/>
      <c r="BJ169" s="670"/>
      <c r="BK169" s="670"/>
      <c r="BL169" s="670"/>
      <c r="BM169" s="670"/>
      <c r="BN169" s="670"/>
      <c r="BO169" s="670"/>
      <c r="BP169" s="670"/>
      <c r="BQ169" s="670"/>
      <c r="BR169" s="670"/>
      <c r="BS169" s="670"/>
      <c r="BT169" s="670"/>
      <c r="BU169" s="670"/>
      <c r="BV169" s="670"/>
      <c r="BW169" s="670"/>
      <c r="BX169" s="670"/>
      <c r="BY169" s="670"/>
      <c r="BZ169" s="670"/>
      <c r="CA169" s="670"/>
      <c r="CB169" s="670"/>
      <c r="CC169" s="670"/>
      <c r="CD169" s="670"/>
      <c r="CE169" s="670"/>
      <c r="CF169" s="670"/>
      <c r="CG169" s="670"/>
      <c r="CH169" s="670"/>
      <c r="CI169" s="670"/>
      <c r="CJ169" s="670"/>
      <c r="CK169" s="670"/>
      <c r="CL169" s="670"/>
      <c r="CM169" s="670"/>
      <c r="CN169" s="670"/>
      <c r="CO169" s="670"/>
    </row>
    <row r="170" spans="1:93">
      <c r="A170" s="1590"/>
      <c r="B170" s="1332" t="s">
        <v>1277</v>
      </c>
      <c r="C170" s="1332"/>
      <c r="D170" s="730"/>
      <c r="E170" s="670"/>
      <c r="F170" s="482">
        <f>SUM('TRAIL BALANCE'!G32)</f>
        <v>0</v>
      </c>
      <c r="G170" s="670"/>
      <c r="H170" s="670"/>
      <c r="I170" s="670"/>
      <c r="J170" s="1445">
        <f>SUM('TRAIL BALANCE'!E32)</f>
        <v>0</v>
      </c>
      <c r="K170" s="1355"/>
      <c r="L170" s="655"/>
      <c r="M170" s="655"/>
      <c r="N170" s="655"/>
      <c r="O170" s="655"/>
      <c r="P170" s="655"/>
      <c r="Q170" s="670"/>
      <c r="R170" s="655"/>
      <c r="S170" s="670"/>
      <c r="T170" s="670"/>
      <c r="U170" s="670"/>
      <c r="V170" s="670"/>
      <c r="W170" s="670"/>
      <c r="X170" s="670"/>
      <c r="Y170" s="670"/>
      <c r="Z170" s="670"/>
      <c r="AA170" s="670"/>
      <c r="AB170" s="670"/>
      <c r="AC170" s="670"/>
      <c r="AD170" s="670"/>
      <c r="AE170" s="670"/>
      <c r="AF170" s="670"/>
      <c r="AG170" s="670"/>
      <c r="AH170" s="670"/>
      <c r="AI170" s="670"/>
      <c r="AJ170" s="670"/>
      <c r="AK170" s="670"/>
      <c r="AL170" s="670"/>
      <c r="AM170" s="670"/>
      <c r="AN170" s="670"/>
      <c r="AO170" s="670"/>
      <c r="AP170" s="670"/>
      <c r="AQ170" s="670"/>
      <c r="AR170" s="670"/>
      <c r="AS170" s="670"/>
      <c r="AT170" s="670"/>
      <c r="AU170" s="670"/>
      <c r="AV170" s="670"/>
      <c r="AW170" s="670"/>
      <c r="AX170" s="670"/>
      <c r="AY170" s="670"/>
      <c r="AZ170" s="670"/>
      <c r="BA170" s="670"/>
      <c r="BB170" s="670"/>
      <c r="BC170" s="670"/>
      <c r="BD170" s="670"/>
      <c r="BE170" s="670"/>
      <c r="BF170" s="670"/>
      <c r="BG170" s="670"/>
      <c r="BH170" s="670"/>
      <c r="BI170" s="670"/>
      <c r="BJ170" s="670"/>
      <c r="BK170" s="670"/>
      <c r="BL170" s="670"/>
      <c r="BM170" s="670"/>
      <c r="BN170" s="670"/>
      <c r="BO170" s="670"/>
      <c r="BP170" s="670"/>
      <c r="BQ170" s="670"/>
      <c r="BR170" s="670"/>
      <c r="BS170" s="670"/>
      <c r="BT170" s="670"/>
      <c r="BU170" s="670"/>
      <c r="BV170" s="670"/>
      <c r="BW170" s="670"/>
      <c r="BX170" s="670"/>
      <c r="BY170" s="670"/>
      <c r="BZ170" s="670"/>
      <c r="CA170" s="670"/>
      <c r="CB170" s="670"/>
      <c r="CC170" s="670"/>
      <c r="CD170" s="670"/>
      <c r="CE170" s="670"/>
      <c r="CF170" s="670"/>
      <c r="CG170" s="670"/>
      <c r="CH170" s="670"/>
      <c r="CI170" s="670"/>
      <c r="CJ170" s="670"/>
      <c r="CK170" s="670"/>
      <c r="CL170" s="670"/>
      <c r="CM170" s="670"/>
      <c r="CN170" s="670"/>
      <c r="CO170" s="670"/>
    </row>
    <row r="171" spans="1:93">
      <c r="A171" s="1590"/>
      <c r="B171" s="708" t="s">
        <v>1278</v>
      </c>
      <c r="C171" s="708"/>
      <c r="D171" s="713"/>
      <c r="E171" s="670"/>
      <c r="F171" s="655"/>
      <c r="G171" s="670"/>
      <c r="H171" s="670"/>
      <c r="I171" s="670"/>
      <c r="J171" s="1439"/>
      <c r="K171" s="1355"/>
      <c r="L171" s="655"/>
      <c r="M171" s="655"/>
      <c r="N171" s="655"/>
      <c r="O171" s="655"/>
      <c r="P171" s="655"/>
      <c r="Q171" s="670"/>
      <c r="R171" s="655"/>
      <c r="S171" s="670"/>
      <c r="T171" s="670"/>
      <c r="U171" s="670"/>
      <c r="V171" s="670"/>
      <c r="W171" s="670"/>
      <c r="X171" s="670"/>
      <c r="Y171" s="670"/>
      <c r="Z171" s="670"/>
      <c r="AA171" s="670"/>
      <c r="AB171" s="670"/>
      <c r="AC171" s="670"/>
      <c r="AD171" s="670"/>
      <c r="AE171" s="670"/>
      <c r="AF171" s="670"/>
      <c r="AG171" s="670"/>
      <c r="AH171" s="670"/>
      <c r="AI171" s="670"/>
      <c r="AJ171" s="670"/>
      <c r="AK171" s="670"/>
      <c r="AL171" s="670"/>
      <c r="AM171" s="670"/>
      <c r="AN171" s="670"/>
      <c r="AO171" s="670"/>
      <c r="AP171" s="670"/>
      <c r="AQ171" s="670"/>
      <c r="AR171" s="670"/>
      <c r="AS171" s="670"/>
      <c r="AT171" s="670"/>
      <c r="AU171" s="670"/>
      <c r="AV171" s="670"/>
      <c r="AW171" s="670"/>
      <c r="AX171" s="670"/>
      <c r="AY171" s="670"/>
      <c r="AZ171" s="670"/>
      <c r="BA171" s="670"/>
      <c r="BB171" s="670"/>
      <c r="BC171" s="670"/>
      <c r="BD171" s="670"/>
      <c r="BE171" s="670"/>
      <c r="BF171" s="670"/>
      <c r="BG171" s="670"/>
      <c r="BH171" s="670"/>
      <c r="BI171" s="670"/>
      <c r="BJ171" s="670"/>
      <c r="BK171" s="670"/>
      <c r="BL171" s="670"/>
      <c r="BM171" s="670"/>
      <c r="BN171" s="670"/>
      <c r="BO171" s="670"/>
      <c r="BP171" s="670"/>
      <c r="BQ171" s="670"/>
      <c r="BR171" s="670"/>
      <c r="BS171" s="670"/>
      <c r="BT171" s="670"/>
      <c r="BU171" s="670"/>
      <c r="BV171" s="670"/>
      <c r="BW171" s="670"/>
      <c r="BX171" s="670"/>
      <c r="BY171" s="670"/>
      <c r="BZ171" s="670"/>
      <c r="CA171" s="670"/>
      <c r="CB171" s="670"/>
      <c r="CC171" s="670"/>
      <c r="CD171" s="670"/>
      <c r="CE171" s="670"/>
      <c r="CF171" s="670"/>
      <c r="CG171" s="670"/>
      <c r="CH171" s="670"/>
      <c r="CI171" s="670"/>
      <c r="CJ171" s="670"/>
      <c r="CK171" s="670"/>
      <c r="CL171" s="670"/>
      <c r="CM171" s="670"/>
      <c r="CN171" s="670"/>
      <c r="CO171" s="670"/>
    </row>
    <row r="172" spans="1:93">
      <c r="A172" s="1590"/>
      <c r="B172" s="708" t="s">
        <v>1279</v>
      </c>
      <c r="C172" s="708"/>
      <c r="D172" s="713"/>
      <c r="E172" s="670"/>
      <c r="F172" s="655"/>
      <c r="G172" s="670"/>
      <c r="H172" s="670"/>
      <c r="I172" s="670"/>
      <c r="J172" s="1439"/>
      <c r="K172" s="1355"/>
      <c r="L172" s="655"/>
      <c r="M172" s="655"/>
      <c r="N172" s="655"/>
      <c r="O172" s="655"/>
      <c r="P172" s="655"/>
      <c r="Q172" s="670"/>
      <c r="R172" s="655"/>
      <c r="S172" s="670"/>
      <c r="T172" s="670"/>
      <c r="U172" s="670"/>
      <c r="V172" s="670"/>
      <c r="W172" s="670"/>
      <c r="X172" s="670"/>
      <c r="Y172" s="670"/>
      <c r="Z172" s="670"/>
      <c r="AA172" s="670"/>
      <c r="AB172" s="670"/>
      <c r="AC172" s="670"/>
      <c r="AD172" s="670"/>
      <c r="AE172" s="670"/>
      <c r="AF172" s="670"/>
      <c r="AG172" s="670"/>
      <c r="AH172" s="670"/>
      <c r="AI172" s="670"/>
      <c r="AJ172" s="670"/>
      <c r="AK172" s="670"/>
      <c r="AL172" s="670"/>
      <c r="AM172" s="670"/>
      <c r="AN172" s="670"/>
      <c r="AO172" s="670"/>
      <c r="AP172" s="670"/>
      <c r="AQ172" s="670"/>
      <c r="AR172" s="670"/>
      <c r="AS172" s="670"/>
      <c r="AT172" s="670"/>
      <c r="AU172" s="670"/>
      <c r="AV172" s="670"/>
      <c r="AW172" s="670"/>
      <c r="AX172" s="670"/>
      <c r="AY172" s="670"/>
      <c r="AZ172" s="670"/>
      <c r="BA172" s="670"/>
      <c r="BB172" s="670"/>
      <c r="BC172" s="670"/>
      <c r="BD172" s="670"/>
      <c r="BE172" s="670"/>
      <c r="BF172" s="670"/>
      <c r="BG172" s="670"/>
      <c r="BH172" s="670"/>
      <c r="BI172" s="670"/>
      <c r="BJ172" s="670"/>
      <c r="BK172" s="670"/>
      <c r="BL172" s="670"/>
      <c r="BM172" s="670"/>
      <c r="BN172" s="670"/>
      <c r="BO172" s="670"/>
      <c r="BP172" s="670"/>
      <c r="BQ172" s="670"/>
      <c r="BR172" s="670"/>
      <c r="BS172" s="670"/>
      <c r="BT172" s="670"/>
      <c r="BU172" s="670"/>
      <c r="BV172" s="670"/>
      <c r="BW172" s="670"/>
      <c r="BX172" s="670"/>
      <c r="BY172" s="670"/>
      <c r="BZ172" s="670"/>
      <c r="CA172" s="670"/>
      <c r="CB172" s="670"/>
      <c r="CC172" s="670"/>
      <c r="CD172" s="670"/>
      <c r="CE172" s="670"/>
      <c r="CF172" s="670"/>
      <c r="CG172" s="670"/>
      <c r="CH172" s="670"/>
      <c r="CI172" s="670"/>
      <c r="CJ172" s="670"/>
      <c r="CK172" s="670"/>
      <c r="CL172" s="670"/>
      <c r="CM172" s="670"/>
      <c r="CN172" s="670"/>
      <c r="CO172" s="670"/>
    </row>
    <row r="173" spans="1:93" ht="13.5" thickBot="1">
      <c r="A173" s="1590"/>
      <c r="B173" s="709" t="s">
        <v>1280</v>
      </c>
      <c r="C173" s="709"/>
      <c r="D173" s="710">
        <f>SUM(D171:D172)+D164+D163</f>
        <v>25481359.830000002</v>
      </c>
      <c r="E173" s="670"/>
      <c r="F173" s="710">
        <f>SUM(F171:F172)+F164+F163</f>
        <v>23731899.860000003</v>
      </c>
      <c r="G173" s="670"/>
      <c r="H173" s="670"/>
      <c r="I173" s="670"/>
      <c r="J173" s="1685">
        <f>SUM(J171:J172)+J164+J163</f>
        <v>20331606.379999995</v>
      </c>
      <c r="K173" s="1355"/>
      <c r="L173" s="655"/>
      <c r="M173" s="655"/>
      <c r="N173" s="655"/>
      <c r="O173" s="655"/>
      <c r="P173" s="655"/>
      <c r="Q173" s="670"/>
      <c r="R173" s="655"/>
      <c r="S173" s="670"/>
      <c r="T173" s="670"/>
      <c r="U173" s="670"/>
      <c r="V173" s="670"/>
      <c r="W173" s="670"/>
      <c r="X173" s="670"/>
      <c r="Y173" s="670"/>
      <c r="Z173" s="670"/>
      <c r="AA173" s="670"/>
      <c r="AB173" s="670"/>
      <c r="AC173" s="670"/>
      <c r="AD173" s="670"/>
      <c r="AE173" s="670"/>
      <c r="AF173" s="670"/>
      <c r="AG173" s="670"/>
      <c r="AH173" s="670"/>
      <c r="AI173" s="670"/>
      <c r="AJ173" s="670"/>
      <c r="AK173" s="670"/>
      <c r="AL173" s="670"/>
      <c r="AM173" s="670"/>
      <c r="AN173" s="670"/>
      <c r="AO173" s="670"/>
      <c r="AP173" s="670"/>
      <c r="AQ173" s="670"/>
      <c r="AR173" s="670"/>
      <c r="AS173" s="670"/>
      <c r="AT173" s="670"/>
      <c r="AU173" s="670"/>
      <c r="AV173" s="670"/>
      <c r="AW173" s="670"/>
      <c r="AX173" s="670"/>
      <c r="AY173" s="670"/>
      <c r="AZ173" s="670"/>
      <c r="BA173" s="670"/>
      <c r="BB173" s="670"/>
      <c r="BC173" s="670"/>
      <c r="BD173" s="670"/>
      <c r="BE173" s="670"/>
      <c r="BF173" s="670"/>
      <c r="BG173" s="670"/>
      <c r="BH173" s="670"/>
      <c r="BI173" s="670"/>
      <c r="BJ173" s="670"/>
      <c r="BK173" s="670"/>
      <c r="BL173" s="670"/>
      <c r="BM173" s="670"/>
      <c r="BN173" s="670"/>
      <c r="BO173" s="670"/>
      <c r="BP173" s="670"/>
      <c r="BQ173" s="670"/>
      <c r="BR173" s="670"/>
      <c r="BS173" s="670"/>
      <c r="BT173" s="670"/>
      <c r="BU173" s="670"/>
      <c r="BV173" s="670"/>
      <c r="BW173" s="670"/>
      <c r="BX173" s="670"/>
      <c r="BY173" s="670"/>
      <c r="BZ173" s="670"/>
      <c r="CA173" s="670"/>
      <c r="CB173" s="670"/>
      <c r="CC173" s="670"/>
      <c r="CD173" s="670"/>
      <c r="CE173" s="670"/>
      <c r="CF173" s="670"/>
      <c r="CG173" s="670"/>
      <c r="CH173" s="670"/>
      <c r="CI173" s="670"/>
      <c r="CJ173" s="670"/>
      <c r="CK173" s="670"/>
      <c r="CL173" s="670"/>
      <c r="CM173" s="670"/>
      <c r="CN173" s="670"/>
      <c r="CO173" s="670"/>
    </row>
    <row r="174" spans="1:93" ht="13.5" thickTop="1">
      <c r="A174" s="1590"/>
      <c r="B174" s="670"/>
      <c r="C174" s="670"/>
      <c r="D174" s="655"/>
      <c r="E174" s="670"/>
      <c r="F174" s="655"/>
      <c r="G174" s="670"/>
      <c r="H174" s="670"/>
      <c r="I174" s="670"/>
      <c r="J174" s="1439"/>
      <c r="K174" s="1355"/>
      <c r="L174" s="655"/>
      <c r="M174" s="655"/>
      <c r="N174" s="655"/>
      <c r="O174" s="655"/>
      <c r="P174" s="655"/>
      <c r="Q174" s="670"/>
      <c r="R174" s="655"/>
      <c r="S174" s="670"/>
      <c r="T174" s="670"/>
      <c r="U174" s="670"/>
      <c r="V174" s="670"/>
      <c r="W174" s="670"/>
      <c r="X174" s="670"/>
      <c r="Y174" s="670"/>
      <c r="Z174" s="670"/>
      <c r="AA174" s="670"/>
      <c r="AB174" s="670"/>
      <c r="AC174" s="670"/>
      <c r="AD174" s="670"/>
      <c r="AE174" s="670"/>
      <c r="AF174" s="670"/>
      <c r="AG174" s="670"/>
      <c r="AH174" s="670"/>
      <c r="AI174" s="670"/>
      <c r="AJ174" s="670"/>
      <c r="AK174" s="670"/>
      <c r="AL174" s="670"/>
      <c r="AM174" s="670"/>
      <c r="AN174" s="670"/>
      <c r="AO174" s="670"/>
      <c r="AP174" s="670"/>
      <c r="AQ174" s="670"/>
      <c r="AR174" s="670"/>
      <c r="AS174" s="670"/>
      <c r="AT174" s="670"/>
      <c r="AU174" s="670"/>
      <c r="AV174" s="670"/>
      <c r="AW174" s="670"/>
      <c r="AX174" s="670"/>
      <c r="AY174" s="670"/>
      <c r="AZ174" s="670"/>
      <c r="BA174" s="670"/>
      <c r="BB174" s="670"/>
      <c r="BC174" s="670"/>
      <c r="BD174" s="670"/>
      <c r="BE174" s="670"/>
      <c r="BF174" s="670"/>
      <c r="BG174" s="670"/>
      <c r="BH174" s="670"/>
      <c r="BI174" s="670"/>
      <c r="BJ174" s="670"/>
      <c r="BK174" s="670"/>
      <c r="BL174" s="670"/>
      <c r="BM174" s="670"/>
      <c r="BN174" s="670"/>
      <c r="BO174" s="670"/>
      <c r="BP174" s="670"/>
      <c r="BQ174" s="670"/>
      <c r="BR174" s="670"/>
      <c r="BS174" s="670"/>
      <c r="BT174" s="670"/>
      <c r="BU174" s="670"/>
      <c r="BV174" s="670"/>
      <c r="BW174" s="670"/>
      <c r="BX174" s="670"/>
      <c r="BY174" s="670"/>
      <c r="BZ174" s="670"/>
      <c r="CA174" s="670"/>
      <c r="CB174" s="670"/>
      <c r="CC174" s="670"/>
      <c r="CD174" s="670"/>
      <c r="CE174" s="670"/>
      <c r="CF174" s="670"/>
      <c r="CG174" s="670"/>
      <c r="CH174" s="670"/>
      <c r="CI174" s="670"/>
      <c r="CJ174" s="670"/>
      <c r="CK174" s="670"/>
      <c r="CL174" s="670"/>
      <c r="CM174" s="670"/>
      <c r="CN174" s="670"/>
      <c r="CO174" s="670"/>
    </row>
    <row r="175" spans="1:93">
      <c r="A175" s="1590"/>
      <c r="B175" s="703"/>
      <c r="C175" s="703"/>
      <c r="D175" s="706"/>
      <c r="E175" s="703"/>
      <c r="F175" s="670"/>
      <c r="G175" s="670"/>
      <c r="H175" s="670"/>
      <c r="I175" s="670"/>
      <c r="J175" s="1591"/>
      <c r="K175" s="1355"/>
      <c r="L175" s="655"/>
      <c r="M175" s="655"/>
      <c r="N175" s="655"/>
      <c r="O175" s="655"/>
      <c r="P175" s="655"/>
      <c r="Q175" s="670"/>
      <c r="R175" s="655"/>
      <c r="S175" s="670"/>
      <c r="T175" s="670"/>
      <c r="U175" s="670"/>
      <c r="V175" s="670"/>
      <c r="W175" s="670"/>
      <c r="X175" s="670"/>
      <c r="Y175" s="670"/>
      <c r="Z175" s="670"/>
      <c r="AA175" s="670"/>
      <c r="AB175" s="670"/>
      <c r="AC175" s="670"/>
      <c r="AD175" s="670"/>
      <c r="AE175" s="670"/>
      <c r="AF175" s="670"/>
      <c r="AG175" s="670"/>
      <c r="AH175" s="670"/>
      <c r="AI175" s="670"/>
      <c r="AJ175" s="670"/>
      <c r="AK175" s="670"/>
      <c r="AL175" s="670"/>
      <c r="AM175" s="670"/>
      <c r="AN175" s="670"/>
      <c r="AO175" s="670"/>
      <c r="AP175" s="670"/>
      <c r="AQ175" s="670"/>
      <c r="AR175" s="670"/>
      <c r="AS175" s="670"/>
      <c r="AT175" s="670"/>
      <c r="AU175" s="670"/>
      <c r="AV175" s="670"/>
      <c r="AW175" s="670"/>
      <c r="AX175" s="670"/>
      <c r="AY175" s="670"/>
      <c r="AZ175" s="670"/>
      <c r="BA175" s="670"/>
      <c r="BB175" s="670"/>
      <c r="BC175" s="670"/>
      <c r="BD175" s="670"/>
      <c r="BE175" s="670"/>
      <c r="BF175" s="670"/>
      <c r="BG175" s="670"/>
      <c r="BH175" s="670"/>
      <c r="BI175" s="670"/>
      <c r="BJ175" s="670"/>
      <c r="BK175" s="670"/>
      <c r="BL175" s="670"/>
      <c r="BM175" s="670"/>
      <c r="BN175" s="670"/>
      <c r="BO175" s="670"/>
      <c r="BP175" s="670"/>
      <c r="BQ175" s="670"/>
      <c r="BR175" s="670"/>
      <c r="BS175" s="670"/>
      <c r="BT175" s="670"/>
      <c r="BU175" s="670"/>
      <c r="BV175" s="670"/>
      <c r="BW175" s="670"/>
      <c r="BX175" s="670"/>
      <c r="BY175" s="670"/>
      <c r="BZ175" s="670"/>
      <c r="CA175" s="670"/>
      <c r="CB175" s="670"/>
      <c r="CC175" s="670"/>
      <c r="CD175" s="670"/>
      <c r="CE175" s="670"/>
      <c r="CF175" s="670"/>
      <c r="CG175" s="670"/>
      <c r="CH175" s="670"/>
      <c r="CI175" s="670"/>
      <c r="CJ175" s="670"/>
      <c r="CK175" s="670"/>
      <c r="CL175" s="670"/>
      <c r="CM175" s="670"/>
      <c r="CN175" s="670"/>
      <c r="CO175" s="670"/>
    </row>
    <row r="176" spans="1:93">
      <c r="A176" s="1590"/>
      <c r="B176" s="731" t="s">
        <v>1281</v>
      </c>
      <c r="C176" s="731"/>
      <c r="D176" s="732"/>
      <c r="E176" s="708"/>
      <c r="F176" s="655"/>
      <c r="G176" s="670"/>
      <c r="H176" s="670"/>
      <c r="I176" s="670"/>
      <c r="J176" s="1439"/>
      <c r="K176" s="1355"/>
      <c r="L176" s="655"/>
      <c r="M176" s="655"/>
      <c r="N176" s="655"/>
      <c r="O176" s="655"/>
      <c r="P176" s="655"/>
      <c r="Q176" s="670"/>
      <c r="R176" s="655"/>
      <c r="S176" s="670"/>
      <c r="T176" s="670"/>
      <c r="U176" s="670"/>
      <c r="V176" s="670"/>
      <c r="W176" s="670"/>
      <c r="X176" s="670"/>
      <c r="Y176" s="670"/>
      <c r="Z176" s="670"/>
      <c r="AA176" s="670"/>
      <c r="AB176" s="670"/>
      <c r="AC176" s="670"/>
      <c r="AD176" s="670"/>
      <c r="AE176" s="670"/>
      <c r="AF176" s="670"/>
      <c r="AG176" s="670"/>
      <c r="AH176" s="670"/>
      <c r="AI176" s="670"/>
      <c r="AJ176" s="670"/>
      <c r="AK176" s="670"/>
      <c r="AL176" s="670"/>
      <c r="AM176" s="670"/>
      <c r="AN176" s="670"/>
      <c r="AO176" s="670"/>
      <c r="AP176" s="670"/>
      <c r="AQ176" s="670"/>
      <c r="AR176" s="670"/>
      <c r="AS176" s="670"/>
      <c r="AT176" s="670"/>
      <c r="AU176" s="670"/>
      <c r="AV176" s="670"/>
      <c r="AW176" s="670"/>
      <c r="AX176" s="670"/>
      <c r="AY176" s="670"/>
      <c r="AZ176" s="670"/>
      <c r="BA176" s="670"/>
      <c r="BB176" s="670"/>
      <c r="BC176" s="670"/>
      <c r="BD176" s="670"/>
      <c r="BE176" s="670"/>
      <c r="BF176" s="670"/>
      <c r="BG176" s="670"/>
      <c r="BH176" s="670"/>
      <c r="BI176" s="670"/>
      <c r="BJ176" s="670"/>
      <c r="BK176" s="670"/>
      <c r="BL176" s="670"/>
      <c r="BM176" s="670"/>
      <c r="BN176" s="670"/>
      <c r="BO176" s="670"/>
      <c r="BP176" s="670"/>
      <c r="BQ176" s="670"/>
      <c r="BR176" s="670"/>
      <c r="BS176" s="670"/>
      <c r="BT176" s="670"/>
      <c r="BU176" s="670"/>
      <c r="BV176" s="670"/>
      <c r="BW176" s="670"/>
      <c r="BX176" s="670"/>
      <c r="BY176" s="670"/>
      <c r="BZ176" s="670"/>
      <c r="CA176" s="670"/>
      <c r="CB176" s="670"/>
      <c r="CC176" s="670"/>
      <c r="CD176" s="670"/>
      <c r="CE176" s="670"/>
      <c r="CF176" s="670"/>
      <c r="CG176" s="670"/>
      <c r="CH176" s="670"/>
      <c r="CI176" s="670"/>
      <c r="CJ176" s="670"/>
      <c r="CK176" s="670"/>
      <c r="CL176" s="670"/>
      <c r="CM176" s="670"/>
      <c r="CN176" s="670"/>
      <c r="CO176" s="670"/>
    </row>
    <row r="177" spans="1:93">
      <c r="A177" s="1590"/>
      <c r="B177" s="731" t="s">
        <v>1282</v>
      </c>
      <c r="C177" s="731"/>
      <c r="D177" s="732">
        <f>SUM(D178:D181)</f>
        <v>932621</v>
      </c>
      <c r="E177" s="708"/>
      <c r="F177" s="655">
        <f>SUM(F178:F181)</f>
        <v>834772</v>
      </c>
      <c r="G177" s="670"/>
      <c r="H177" s="670"/>
      <c r="I177" s="670"/>
      <c r="J177" s="1439">
        <f>SUM(J178:J181)</f>
        <v>803803</v>
      </c>
      <c r="K177" s="1355"/>
      <c r="L177" s="655"/>
      <c r="M177" s="655"/>
      <c r="N177" s="655"/>
      <c r="O177" s="655"/>
      <c r="P177" s="655"/>
      <c r="Q177" s="670"/>
      <c r="R177" s="655"/>
      <c r="S177" s="670"/>
      <c r="T177" s="670"/>
      <c r="U177" s="670"/>
      <c r="V177" s="670"/>
      <c r="W177" s="670"/>
      <c r="X177" s="670"/>
      <c r="Y177" s="670"/>
      <c r="Z177" s="670"/>
      <c r="AA177" s="670"/>
      <c r="AB177" s="670"/>
      <c r="AC177" s="670"/>
      <c r="AD177" s="670"/>
      <c r="AE177" s="670"/>
      <c r="AF177" s="670"/>
      <c r="AG177" s="670"/>
      <c r="AH177" s="670"/>
      <c r="AI177" s="670"/>
      <c r="AJ177" s="670"/>
      <c r="AK177" s="670"/>
      <c r="AL177" s="670"/>
      <c r="AM177" s="670"/>
      <c r="AN177" s="670"/>
      <c r="AO177" s="670"/>
      <c r="AP177" s="670"/>
      <c r="AQ177" s="670"/>
      <c r="AR177" s="670"/>
      <c r="AS177" s="670"/>
      <c r="AT177" s="670"/>
      <c r="AU177" s="670"/>
      <c r="AV177" s="670"/>
      <c r="AW177" s="670"/>
      <c r="AX177" s="670"/>
      <c r="AY177" s="670"/>
      <c r="AZ177" s="670"/>
      <c r="BA177" s="670"/>
      <c r="BB177" s="670"/>
      <c r="BC177" s="670"/>
      <c r="BD177" s="670"/>
      <c r="BE177" s="670"/>
      <c r="BF177" s="670"/>
      <c r="BG177" s="670"/>
      <c r="BH177" s="670"/>
      <c r="BI177" s="670"/>
      <c r="BJ177" s="670"/>
      <c r="BK177" s="670"/>
      <c r="BL177" s="670"/>
      <c r="BM177" s="670"/>
      <c r="BN177" s="670"/>
      <c r="BO177" s="670"/>
      <c r="BP177" s="670"/>
      <c r="BQ177" s="670"/>
      <c r="BR177" s="670"/>
      <c r="BS177" s="670"/>
      <c r="BT177" s="670"/>
      <c r="BU177" s="670"/>
      <c r="BV177" s="670"/>
      <c r="BW177" s="670"/>
      <c r="BX177" s="670"/>
      <c r="BY177" s="670"/>
      <c r="BZ177" s="670"/>
      <c r="CA177" s="670"/>
      <c r="CB177" s="670"/>
      <c r="CC177" s="670"/>
      <c r="CD177" s="670"/>
      <c r="CE177" s="670"/>
      <c r="CF177" s="670"/>
      <c r="CG177" s="670"/>
      <c r="CH177" s="670"/>
      <c r="CI177" s="670"/>
      <c r="CJ177" s="670"/>
      <c r="CK177" s="670"/>
      <c r="CL177" s="670"/>
      <c r="CM177" s="670"/>
      <c r="CN177" s="670"/>
      <c r="CO177" s="670"/>
    </row>
    <row r="178" spans="1:93">
      <c r="A178" s="1590"/>
      <c r="B178" s="1332" t="s">
        <v>1283</v>
      </c>
      <c r="C178" s="1332"/>
      <c r="D178" s="729">
        <v>697555</v>
      </c>
      <c r="E178" s="708"/>
      <c r="F178" s="658">
        <v>592733</v>
      </c>
      <c r="G178" s="670"/>
      <c r="H178" s="670"/>
      <c r="I178" s="670"/>
      <c r="J178" s="1448">
        <v>523025</v>
      </c>
      <c r="K178" s="1355"/>
      <c r="L178" s="655"/>
      <c r="M178" s="655"/>
      <c r="N178" s="655"/>
      <c r="O178" s="655"/>
      <c r="P178" s="655"/>
      <c r="Q178" s="670"/>
      <c r="R178" s="655"/>
      <c r="S178" s="670"/>
      <c r="T178" s="670"/>
      <c r="U178" s="670"/>
      <c r="V178" s="670"/>
      <c r="W178" s="670"/>
      <c r="X178" s="670"/>
      <c r="Y178" s="670"/>
      <c r="Z178" s="670"/>
      <c r="AA178" s="670"/>
      <c r="AB178" s="670"/>
      <c r="AC178" s="670"/>
      <c r="AD178" s="670"/>
      <c r="AE178" s="670"/>
      <c r="AF178" s="670"/>
      <c r="AG178" s="670"/>
      <c r="AH178" s="670"/>
      <c r="AI178" s="670"/>
      <c r="AJ178" s="670"/>
      <c r="AK178" s="670"/>
      <c r="AL178" s="670"/>
      <c r="AM178" s="670"/>
      <c r="AN178" s="670"/>
      <c r="AO178" s="670"/>
      <c r="AP178" s="670"/>
      <c r="AQ178" s="670"/>
      <c r="AR178" s="670"/>
      <c r="AS178" s="670"/>
      <c r="AT178" s="670"/>
      <c r="AU178" s="670"/>
      <c r="AV178" s="670"/>
      <c r="AW178" s="670"/>
      <c r="AX178" s="670"/>
      <c r="AY178" s="670"/>
      <c r="AZ178" s="670"/>
      <c r="BA178" s="670"/>
      <c r="BB178" s="670"/>
      <c r="BC178" s="670"/>
      <c r="BD178" s="670"/>
      <c r="BE178" s="670"/>
      <c r="BF178" s="670"/>
      <c r="BG178" s="670"/>
      <c r="BH178" s="670"/>
      <c r="BI178" s="670"/>
      <c r="BJ178" s="670"/>
      <c r="BK178" s="670"/>
      <c r="BL178" s="670"/>
      <c r="BM178" s="670"/>
      <c r="BN178" s="670"/>
      <c r="BO178" s="670"/>
      <c r="BP178" s="670"/>
      <c r="BQ178" s="670"/>
      <c r="BR178" s="670"/>
      <c r="BS178" s="670"/>
      <c r="BT178" s="670"/>
      <c r="BU178" s="670"/>
      <c r="BV178" s="670"/>
      <c r="BW178" s="670"/>
      <c r="BX178" s="670"/>
      <c r="BY178" s="670"/>
      <c r="BZ178" s="670"/>
      <c r="CA178" s="670"/>
      <c r="CB178" s="670"/>
      <c r="CC178" s="670"/>
      <c r="CD178" s="670"/>
      <c r="CE178" s="670"/>
      <c r="CF178" s="670"/>
      <c r="CG178" s="670"/>
      <c r="CH178" s="670"/>
      <c r="CI178" s="670"/>
      <c r="CJ178" s="670"/>
      <c r="CK178" s="670"/>
      <c r="CL178" s="670"/>
      <c r="CM178" s="670"/>
      <c r="CN178" s="670"/>
      <c r="CO178" s="670"/>
    </row>
    <row r="179" spans="1:93">
      <c r="A179" s="1590"/>
      <c r="B179" s="1332" t="s">
        <v>2467</v>
      </c>
      <c r="C179" s="1332"/>
      <c r="D179" s="553">
        <v>156000</v>
      </c>
      <c r="E179" s="708"/>
      <c r="F179" s="659">
        <v>156000</v>
      </c>
      <c r="G179" s="670"/>
      <c r="H179" s="670"/>
      <c r="I179" s="670"/>
      <c r="J179" s="1444">
        <v>162000</v>
      </c>
      <c r="K179" s="1355"/>
      <c r="L179" s="655"/>
      <c r="M179" s="655"/>
      <c r="N179" s="655"/>
      <c r="O179" s="655"/>
      <c r="P179" s="655"/>
      <c r="Q179" s="670"/>
      <c r="R179" s="655"/>
      <c r="S179" s="670"/>
      <c r="T179" s="670"/>
      <c r="U179" s="670"/>
      <c r="V179" s="670"/>
      <c r="W179" s="670"/>
      <c r="X179" s="670"/>
      <c r="Y179" s="670"/>
      <c r="Z179" s="670"/>
      <c r="AA179" s="670"/>
      <c r="AB179" s="670"/>
      <c r="AC179" s="670"/>
      <c r="AD179" s="670"/>
      <c r="AE179" s="670"/>
      <c r="AF179" s="670"/>
      <c r="AG179" s="670"/>
      <c r="AH179" s="670"/>
      <c r="AI179" s="670"/>
      <c r="AJ179" s="670"/>
      <c r="AK179" s="670"/>
      <c r="AL179" s="670"/>
      <c r="AM179" s="670"/>
      <c r="AN179" s="670"/>
      <c r="AO179" s="670"/>
      <c r="AP179" s="670"/>
      <c r="AQ179" s="670"/>
      <c r="AR179" s="670"/>
      <c r="AS179" s="670"/>
      <c r="AT179" s="670"/>
      <c r="AU179" s="670"/>
      <c r="AV179" s="670"/>
      <c r="AW179" s="670"/>
      <c r="AX179" s="670"/>
      <c r="AY179" s="670"/>
      <c r="AZ179" s="670"/>
      <c r="BA179" s="670"/>
      <c r="BB179" s="670"/>
      <c r="BC179" s="670"/>
      <c r="BD179" s="670"/>
      <c r="BE179" s="670"/>
      <c r="BF179" s="670"/>
      <c r="BG179" s="670"/>
      <c r="BH179" s="670"/>
      <c r="BI179" s="670"/>
      <c r="BJ179" s="670"/>
      <c r="BK179" s="670"/>
      <c r="BL179" s="670"/>
      <c r="BM179" s="670"/>
      <c r="BN179" s="670"/>
      <c r="BO179" s="670"/>
      <c r="BP179" s="670"/>
      <c r="BQ179" s="670"/>
      <c r="BR179" s="670"/>
      <c r="BS179" s="670"/>
      <c r="BT179" s="670"/>
      <c r="BU179" s="670"/>
      <c r="BV179" s="670"/>
      <c r="BW179" s="670"/>
      <c r="BX179" s="670"/>
      <c r="BY179" s="670"/>
      <c r="BZ179" s="670"/>
      <c r="CA179" s="670"/>
      <c r="CB179" s="670"/>
      <c r="CC179" s="670"/>
      <c r="CD179" s="670"/>
      <c r="CE179" s="670"/>
      <c r="CF179" s="670"/>
      <c r="CG179" s="670"/>
      <c r="CH179" s="670"/>
      <c r="CI179" s="670"/>
      <c r="CJ179" s="670"/>
      <c r="CK179" s="670"/>
      <c r="CL179" s="670"/>
      <c r="CM179" s="670"/>
      <c r="CN179" s="670"/>
      <c r="CO179" s="670"/>
    </row>
    <row r="180" spans="1:93">
      <c r="A180" s="1590"/>
      <c r="B180" s="1332" t="s">
        <v>2468</v>
      </c>
      <c r="C180" s="1332"/>
      <c r="D180" s="553"/>
      <c r="E180" s="708"/>
      <c r="F180" s="659">
        <v>0</v>
      </c>
      <c r="G180" s="670"/>
      <c r="H180" s="670"/>
      <c r="I180" s="670"/>
      <c r="J180" s="1444"/>
      <c r="K180" s="1355"/>
      <c r="L180" s="685"/>
      <c r="M180" s="655"/>
      <c r="N180" s="655"/>
      <c r="O180" s="655"/>
      <c r="P180" s="655"/>
      <c r="Q180" s="670"/>
      <c r="R180" s="655"/>
      <c r="S180" s="670"/>
      <c r="T180" s="670"/>
      <c r="U180" s="670"/>
      <c r="V180" s="670"/>
      <c r="W180" s="670"/>
      <c r="X180" s="670"/>
      <c r="Y180" s="670"/>
      <c r="Z180" s="670"/>
      <c r="AA180" s="670"/>
      <c r="AB180" s="670"/>
      <c r="AC180" s="670"/>
      <c r="AD180" s="670"/>
      <c r="AE180" s="670"/>
      <c r="AF180" s="670"/>
      <c r="AG180" s="670"/>
      <c r="AH180" s="670"/>
      <c r="AI180" s="670"/>
      <c r="AJ180" s="670"/>
      <c r="AK180" s="670"/>
      <c r="AL180" s="670"/>
      <c r="AM180" s="670"/>
      <c r="AN180" s="670"/>
      <c r="AO180" s="670"/>
      <c r="AP180" s="670"/>
      <c r="AQ180" s="670"/>
      <c r="AR180" s="670"/>
      <c r="AS180" s="670"/>
      <c r="AT180" s="670"/>
      <c r="AU180" s="670"/>
      <c r="AV180" s="670"/>
      <c r="AW180" s="670"/>
      <c r="AX180" s="670"/>
      <c r="AY180" s="670"/>
      <c r="AZ180" s="670"/>
      <c r="BA180" s="670"/>
      <c r="BB180" s="670"/>
      <c r="BC180" s="670"/>
      <c r="BD180" s="670"/>
      <c r="BE180" s="670"/>
      <c r="BF180" s="670"/>
      <c r="BG180" s="670"/>
      <c r="BH180" s="670"/>
      <c r="BI180" s="670"/>
      <c r="BJ180" s="670"/>
      <c r="BK180" s="670"/>
      <c r="BL180" s="670"/>
      <c r="BM180" s="670"/>
      <c r="BN180" s="670"/>
      <c r="BO180" s="670"/>
      <c r="BP180" s="670"/>
      <c r="BQ180" s="670"/>
      <c r="BR180" s="670"/>
      <c r="BS180" s="670"/>
      <c r="BT180" s="670"/>
      <c r="BU180" s="670"/>
      <c r="BV180" s="670"/>
      <c r="BW180" s="670"/>
      <c r="BX180" s="670"/>
      <c r="BY180" s="670"/>
      <c r="BZ180" s="670"/>
      <c r="CA180" s="670"/>
      <c r="CB180" s="670"/>
      <c r="CC180" s="670"/>
      <c r="CD180" s="670"/>
      <c r="CE180" s="670"/>
      <c r="CF180" s="670"/>
      <c r="CG180" s="670"/>
      <c r="CH180" s="670"/>
      <c r="CI180" s="670"/>
      <c r="CJ180" s="670"/>
      <c r="CK180" s="670"/>
      <c r="CL180" s="670"/>
      <c r="CM180" s="670"/>
      <c r="CN180" s="670"/>
      <c r="CO180" s="670"/>
    </row>
    <row r="181" spans="1:93">
      <c r="A181" s="1590"/>
      <c r="B181" s="1332" t="s">
        <v>1284</v>
      </c>
      <c r="C181" s="1332"/>
      <c r="D181" s="730">
        <v>79066</v>
      </c>
      <c r="E181" s="708"/>
      <c r="F181" s="482">
        <v>86039</v>
      </c>
      <c r="G181" s="670"/>
      <c r="H181" s="670"/>
      <c r="I181" s="670"/>
      <c r="J181" s="1445">
        <v>118778</v>
      </c>
      <c r="K181" s="1355"/>
      <c r="L181" s="655"/>
      <c r="M181" s="655"/>
      <c r="N181" s="655"/>
      <c r="O181" s="655"/>
      <c r="P181" s="655"/>
      <c r="Q181" s="670"/>
      <c r="R181" s="655"/>
      <c r="S181" s="670"/>
      <c r="T181" s="670"/>
      <c r="U181" s="670"/>
      <c r="V181" s="670"/>
      <c r="W181" s="670"/>
      <c r="X181" s="670"/>
      <c r="Y181" s="670"/>
      <c r="Z181" s="670"/>
      <c r="AA181" s="670"/>
      <c r="AB181" s="670"/>
      <c r="AC181" s="670"/>
      <c r="AD181" s="670"/>
      <c r="AE181" s="670"/>
      <c r="AF181" s="670"/>
      <c r="AG181" s="670"/>
      <c r="AH181" s="670"/>
      <c r="AI181" s="670"/>
      <c r="AJ181" s="670"/>
      <c r="AK181" s="670"/>
      <c r="AL181" s="670"/>
      <c r="AM181" s="670"/>
      <c r="AN181" s="670"/>
      <c r="AO181" s="670"/>
      <c r="AP181" s="670"/>
      <c r="AQ181" s="670"/>
      <c r="AR181" s="670"/>
      <c r="AS181" s="670"/>
      <c r="AT181" s="670"/>
      <c r="AU181" s="670"/>
      <c r="AV181" s="670"/>
      <c r="AW181" s="670"/>
      <c r="AX181" s="670"/>
      <c r="AY181" s="670"/>
      <c r="AZ181" s="670"/>
      <c r="BA181" s="670"/>
      <c r="BB181" s="670"/>
      <c r="BC181" s="670"/>
      <c r="BD181" s="670"/>
      <c r="BE181" s="670"/>
      <c r="BF181" s="670"/>
      <c r="BG181" s="670"/>
      <c r="BH181" s="670"/>
      <c r="BI181" s="670"/>
      <c r="BJ181" s="670"/>
      <c r="BK181" s="670"/>
      <c r="BL181" s="670"/>
      <c r="BM181" s="670"/>
      <c r="BN181" s="670"/>
      <c r="BO181" s="670"/>
      <c r="BP181" s="670"/>
      <c r="BQ181" s="670"/>
      <c r="BR181" s="670"/>
      <c r="BS181" s="670"/>
      <c r="BT181" s="670"/>
      <c r="BU181" s="670"/>
      <c r="BV181" s="670"/>
      <c r="BW181" s="670"/>
      <c r="BX181" s="670"/>
      <c r="BY181" s="670"/>
      <c r="BZ181" s="670"/>
      <c r="CA181" s="670"/>
      <c r="CB181" s="670"/>
      <c r="CC181" s="670"/>
      <c r="CD181" s="670"/>
      <c r="CE181" s="670"/>
      <c r="CF181" s="670"/>
      <c r="CG181" s="670"/>
      <c r="CH181" s="670"/>
      <c r="CI181" s="670"/>
      <c r="CJ181" s="670"/>
      <c r="CK181" s="670"/>
      <c r="CL181" s="670"/>
      <c r="CM181" s="670"/>
      <c r="CN181" s="670"/>
      <c r="CO181" s="670"/>
    </row>
    <row r="182" spans="1:93">
      <c r="A182" s="1590"/>
      <c r="B182" s="731" t="s">
        <v>1082</v>
      </c>
      <c r="C182" s="731"/>
      <c r="D182" s="732">
        <f>SUM(D183:D186)</f>
        <v>661571</v>
      </c>
      <c r="E182" s="708"/>
      <c r="F182" s="655">
        <f>SUM(F183:F186)</f>
        <v>591021</v>
      </c>
      <c r="G182" s="682"/>
      <c r="H182" s="682"/>
      <c r="I182" s="682"/>
      <c r="J182" s="1439">
        <f>SUM(J183:J186)</f>
        <v>565314.16999999993</v>
      </c>
      <c r="K182" s="1355"/>
      <c r="L182" s="655"/>
      <c r="M182" s="655"/>
      <c r="N182" s="655"/>
      <c r="O182" s="655"/>
      <c r="P182" s="655"/>
      <c r="Q182" s="670"/>
      <c r="R182" s="655"/>
      <c r="S182" s="670"/>
      <c r="T182" s="670"/>
      <c r="U182" s="670"/>
      <c r="V182" s="670"/>
      <c r="W182" s="670"/>
      <c r="X182" s="670"/>
      <c r="Y182" s="670"/>
      <c r="Z182" s="670"/>
      <c r="AA182" s="670"/>
      <c r="AB182" s="670"/>
      <c r="AC182" s="670"/>
      <c r="AD182" s="670"/>
      <c r="AE182" s="670"/>
      <c r="AF182" s="670"/>
      <c r="AG182" s="670"/>
      <c r="AH182" s="670"/>
      <c r="AI182" s="670"/>
      <c r="AJ182" s="670"/>
      <c r="AK182" s="670"/>
      <c r="AL182" s="670"/>
      <c r="AM182" s="670"/>
      <c r="AN182" s="670"/>
      <c r="AO182" s="670"/>
      <c r="AP182" s="670"/>
      <c r="AQ182" s="670"/>
      <c r="AR182" s="670"/>
      <c r="AS182" s="670"/>
      <c r="AT182" s="670"/>
      <c r="AU182" s="670"/>
      <c r="AV182" s="670"/>
      <c r="AW182" s="670"/>
      <c r="AX182" s="670"/>
      <c r="AY182" s="670"/>
      <c r="AZ182" s="670"/>
      <c r="BA182" s="670"/>
      <c r="BB182" s="670"/>
      <c r="BC182" s="670"/>
      <c r="BD182" s="670"/>
      <c r="BE182" s="670"/>
      <c r="BF182" s="670"/>
      <c r="BG182" s="670"/>
      <c r="BH182" s="670"/>
      <c r="BI182" s="670"/>
      <c r="BJ182" s="670"/>
      <c r="BK182" s="670"/>
      <c r="BL182" s="670"/>
      <c r="BM182" s="670"/>
      <c r="BN182" s="670"/>
      <c r="BO182" s="670"/>
      <c r="BP182" s="670"/>
      <c r="BQ182" s="670"/>
      <c r="BR182" s="670"/>
      <c r="BS182" s="670"/>
      <c r="BT182" s="670"/>
      <c r="BU182" s="670"/>
      <c r="BV182" s="670"/>
      <c r="BW182" s="670"/>
      <c r="BX182" s="670"/>
      <c r="BY182" s="670"/>
      <c r="BZ182" s="670"/>
      <c r="CA182" s="670"/>
      <c r="CB182" s="670"/>
      <c r="CC182" s="670"/>
      <c r="CD182" s="670"/>
      <c r="CE182" s="670"/>
      <c r="CF182" s="670"/>
      <c r="CG182" s="670"/>
      <c r="CH182" s="670"/>
      <c r="CI182" s="670"/>
      <c r="CJ182" s="670"/>
      <c r="CK182" s="670"/>
      <c r="CL182" s="670"/>
      <c r="CM182" s="670"/>
      <c r="CN182" s="670"/>
      <c r="CO182" s="670"/>
    </row>
    <row r="183" spans="1:93">
      <c r="A183" s="1590"/>
      <c r="B183" s="1332" t="s">
        <v>1283</v>
      </c>
      <c r="C183" s="1332"/>
      <c r="D183" s="729">
        <v>515320</v>
      </c>
      <c r="E183" s="708"/>
      <c r="F183" s="658">
        <v>423305</v>
      </c>
      <c r="G183" s="670"/>
      <c r="H183" s="670"/>
      <c r="I183" s="670"/>
      <c r="J183" s="1448">
        <v>374485.17</v>
      </c>
      <c r="K183" s="1355"/>
      <c r="L183" s="695"/>
      <c r="M183" s="655"/>
      <c r="N183" s="655"/>
      <c r="O183" s="655"/>
      <c r="P183" s="655"/>
      <c r="Q183" s="670"/>
      <c r="R183" s="655"/>
      <c r="S183" s="670"/>
      <c r="T183" s="670"/>
      <c r="U183" s="670"/>
      <c r="V183" s="670"/>
      <c r="W183" s="670"/>
      <c r="X183" s="670"/>
      <c r="Y183" s="670"/>
      <c r="Z183" s="670"/>
      <c r="AA183" s="670"/>
      <c r="AB183" s="670"/>
      <c r="AC183" s="670"/>
      <c r="AD183" s="670"/>
      <c r="AE183" s="670"/>
      <c r="AF183" s="670"/>
      <c r="AG183" s="670"/>
      <c r="AH183" s="670"/>
      <c r="AI183" s="670"/>
      <c r="AJ183" s="670"/>
      <c r="AK183" s="670"/>
      <c r="AL183" s="670"/>
      <c r="AM183" s="670"/>
      <c r="AN183" s="670"/>
      <c r="AO183" s="670"/>
      <c r="AP183" s="670"/>
      <c r="AQ183" s="670"/>
      <c r="AR183" s="670"/>
      <c r="AS183" s="670"/>
      <c r="AT183" s="670"/>
      <c r="AU183" s="670"/>
      <c r="AV183" s="670"/>
      <c r="AW183" s="670"/>
      <c r="AX183" s="670"/>
      <c r="AY183" s="670"/>
      <c r="AZ183" s="670"/>
      <c r="BA183" s="670"/>
      <c r="BB183" s="670"/>
      <c r="BC183" s="670"/>
      <c r="BD183" s="670"/>
      <c r="BE183" s="670"/>
      <c r="BF183" s="670"/>
      <c r="BG183" s="670"/>
      <c r="BH183" s="670"/>
      <c r="BI183" s="670"/>
      <c r="BJ183" s="670"/>
      <c r="BK183" s="670"/>
      <c r="BL183" s="670"/>
      <c r="BM183" s="670"/>
      <c r="BN183" s="670"/>
      <c r="BO183" s="670"/>
      <c r="BP183" s="670"/>
      <c r="BQ183" s="670"/>
      <c r="BR183" s="670"/>
      <c r="BS183" s="670"/>
      <c r="BT183" s="670"/>
      <c r="BU183" s="670"/>
      <c r="BV183" s="670"/>
      <c r="BW183" s="670"/>
      <c r="BX183" s="670"/>
      <c r="BY183" s="670"/>
      <c r="BZ183" s="670"/>
      <c r="CA183" s="670"/>
      <c r="CB183" s="670"/>
      <c r="CC183" s="670"/>
      <c r="CD183" s="670"/>
      <c r="CE183" s="670"/>
      <c r="CF183" s="670"/>
      <c r="CG183" s="670"/>
      <c r="CH183" s="670"/>
      <c r="CI183" s="670"/>
      <c r="CJ183" s="670"/>
      <c r="CK183" s="670"/>
      <c r="CL183" s="670"/>
      <c r="CM183" s="670"/>
      <c r="CN183" s="670"/>
      <c r="CO183" s="670"/>
    </row>
    <row r="184" spans="1:93">
      <c r="A184" s="1590"/>
      <c r="B184" s="1332" t="s">
        <v>2467</v>
      </c>
      <c r="C184" s="1332"/>
      <c r="D184" s="553">
        <v>89000</v>
      </c>
      <c r="E184" s="708"/>
      <c r="F184" s="659">
        <v>106800</v>
      </c>
      <c r="G184" s="670"/>
      <c r="H184" s="670"/>
      <c r="I184" s="670"/>
      <c r="J184" s="1444">
        <v>108000</v>
      </c>
      <c r="K184" s="1355"/>
      <c r="L184" s="655"/>
      <c r="M184" s="655"/>
      <c r="N184" s="655"/>
      <c r="O184" s="655"/>
      <c r="P184" s="655"/>
      <c r="Q184" s="670"/>
      <c r="R184" s="655"/>
      <c r="S184" s="670"/>
      <c r="T184" s="670"/>
      <c r="U184" s="670"/>
      <c r="V184" s="670"/>
      <c r="W184" s="670"/>
      <c r="X184" s="670"/>
      <c r="Y184" s="670"/>
      <c r="Z184" s="670"/>
      <c r="AA184" s="670"/>
      <c r="AB184" s="670"/>
      <c r="AC184" s="670"/>
      <c r="AD184" s="670"/>
      <c r="AE184" s="670"/>
      <c r="AF184" s="670"/>
      <c r="AG184" s="670"/>
      <c r="AH184" s="670"/>
      <c r="AI184" s="670"/>
      <c r="AJ184" s="670"/>
      <c r="AK184" s="670"/>
      <c r="AL184" s="670"/>
      <c r="AM184" s="670"/>
      <c r="AN184" s="670"/>
      <c r="AO184" s="670"/>
      <c r="AP184" s="670"/>
      <c r="AQ184" s="670"/>
      <c r="AR184" s="670"/>
      <c r="AS184" s="670"/>
      <c r="AT184" s="670"/>
      <c r="AU184" s="670"/>
      <c r="AV184" s="670"/>
      <c r="AW184" s="670"/>
      <c r="AX184" s="670"/>
      <c r="AY184" s="670"/>
      <c r="AZ184" s="670"/>
      <c r="BA184" s="670"/>
      <c r="BB184" s="670"/>
      <c r="BC184" s="670"/>
      <c r="BD184" s="670"/>
      <c r="BE184" s="670"/>
      <c r="BF184" s="670"/>
      <c r="BG184" s="670"/>
      <c r="BH184" s="670"/>
      <c r="BI184" s="670"/>
      <c r="BJ184" s="670"/>
      <c r="BK184" s="670"/>
      <c r="BL184" s="670"/>
      <c r="BM184" s="670"/>
      <c r="BN184" s="670"/>
      <c r="BO184" s="670"/>
      <c r="BP184" s="670"/>
      <c r="BQ184" s="670"/>
      <c r="BR184" s="670"/>
      <c r="BS184" s="670"/>
      <c r="BT184" s="670"/>
      <c r="BU184" s="670"/>
      <c r="BV184" s="670"/>
      <c r="BW184" s="670"/>
      <c r="BX184" s="670"/>
      <c r="BY184" s="670"/>
      <c r="BZ184" s="670"/>
      <c r="CA184" s="670"/>
      <c r="CB184" s="670"/>
      <c r="CC184" s="670"/>
      <c r="CD184" s="670"/>
      <c r="CE184" s="670"/>
      <c r="CF184" s="670"/>
      <c r="CG184" s="670"/>
      <c r="CH184" s="670"/>
      <c r="CI184" s="670"/>
      <c r="CJ184" s="670"/>
      <c r="CK184" s="670"/>
      <c r="CL184" s="670"/>
      <c r="CM184" s="670"/>
      <c r="CN184" s="670"/>
      <c r="CO184" s="670"/>
    </row>
    <row r="185" spans="1:93">
      <c r="A185" s="1590"/>
      <c r="B185" s="1332" t="s">
        <v>2468</v>
      </c>
      <c r="C185" s="1332"/>
      <c r="D185" s="553"/>
      <c r="E185" s="708"/>
      <c r="F185" s="659">
        <v>0</v>
      </c>
      <c r="G185" s="670"/>
      <c r="H185" s="670"/>
      <c r="I185" s="670"/>
      <c r="J185" s="1444"/>
      <c r="K185" s="1355"/>
      <c r="L185" s="695" t="s">
        <v>45</v>
      </c>
      <c r="M185" s="655"/>
      <c r="N185" s="655"/>
      <c r="O185" s="655"/>
      <c r="P185" s="655"/>
      <c r="Q185" s="670"/>
      <c r="R185" s="655"/>
      <c r="S185" s="670"/>
      <c r="T185" s="670"/>
      <c r="U185" s="670"/>
      <c r="V185" s="670"/>
      <c r="W185" s="670"/>
      <c r="X185" s="670"/>
      <c r="Y185" s="670"/>
      <c r="Z185" s="670"/>
      <c r="AA185" s="670"/>
      <c r="AB185" s="670"/>
      <c r="AC185" s="670"/>
      <c r="AD185" s="670"/>
      <c r="AE185" s="670"/>
      <c r="AF185" s="670"/>
      <c r="AG185" s="670"/>
      <c r="AH185" s="670"/>
      <c r="AI185" s="670"/>
      <c r="AJ185" s="670"/>
      <c r="AK185" s="670"/>
      <c r="AL185" s="670"/>
      <c r="AM185" s="670"/>
      <c r="AN185" s="670"/>
      <c r="AO185" s="670"/>
      <c r="AP185" s="670"/>
      <c r="AQ185" s="670"/>
      <c r="AR185" s="670"/>
      <c r="AS185" s="670"/>
      <c r="AT185" s="670"/>
      <c r="AU185" s="670"/>
      <c r="AV185" s="670"/>
      <c r="AW185" s="670"/>
      <c r="AX185" s="670"/>
      <c r="AY185" s="670"/>
      <c r="AZ185" s="670"/>
      <c r="BA185" s="670"/>
      <c r="BB185" s="670"/>
      <c r="BC185" s="670"/>
      <c r="BD185" s="670"/>
      <c r="BE185" s="670"/>
      <c r="BF185" s="670"/>
      <c r="BG185" s="670"/>
      <c r="BH185" s="670"/>
      <c r="BI185" s="670"/>
      <c r="BJ185" s="670"/>
      <c r="BK185" s="670"/>
      <c r="BL185" s="670"/>
      <c r="BM185" s="670"/>
      <c r="BN185" s="670"/>
      <c r="BO185" s="670"/>
      <c r="BP185" s="670"/>
      <c r="BQ185" s="670"/>
      <c r="BR185" s="670"/>
      <c r="BS185" s="670"/>
      <c r="BT185" s="670"/>
      <c r="BU185" s="670"/>
      <c r="BV185" s="670"/>
      <c r="BW185" s="670"/>
      <c r="BX185" s="670"/>
      <c r="BY185" s="670"/>
      <c r="BZ185" s="670"/>
      <c r="CA185" s="670"/>
      <c r="CB185" s="670"/>
      <c r="CC185" s="670"/>
      <c r="CD185" s="670"/>
      <c r="CE185" s="670"/>
      <c r="CF185" s="670"/>
      <c r="CG185" s="670"/>
      <c r="CH185" s="670"/>
      <c r="CI185" s="670"/>
      <c r="CJ185" s="670"/>
      <c r="CK185" s="670"/>
      <c r="CL185" s="670"/>
      <c r="CM185" s="670"/>
      <c r="CN185" s="670"/>
      <c r="CO185" s="670"/>
    </row>
    <row r="186" spans="1:93">
      <c r="A186" s="1590"/>
      <c r="B186" s="1332" t="s">
        <v>1284</v>
      </c>
      <c r="C186" s="1332"/>
      <c r="D186" s="730">
        <v>57251</v>
      </c>
      <c r="E186" s="708"/>
      <c r="F186" s="482">
        <v>60916</v>
      </c>
      <c r="G186" s="670"/>
      <c r="H186" s="670"/>
      <c r="I186" s="670"/>
      <c r="J186" s="1445">
        <v>82829</v>
      </c>
      <c r="K186" s="1355"/>
      <c r="L186" s="655"/>
      <c r="M186" s="655"/>
      <c r="N186" s="655"/>
      <c r="O186" s="655"/>
      <c r="P186" s="655"/>
      <c r="Q186" s="670"/>
      <c r="R186" s="655"/>
      <c r="S186" s="670"/>
      <c r="T186" s="670"/>
      <c r="U186" s="670"/>
      <c r="V186" s="670"/>
      <c r="W186" s="670"/>
      <c r="X186" s="670"/>
      <c r="Y186" s="670"/>
      <c r="Z186" s="670"/>
      <c r="AA186" s="670"/>
      <c r="AB186" s="670"/>
      <c r="AC186" s="670"/>
      <c r="AD186" s="670"/>
      <c r="AE186" s="670"/>
      <c r="AF186" s="670"/>
      <c r="AG186" s="670"/>
      <c r="AH186" s="670"/>
      <c r="AI186" s="670"/>
      <c r="AJ186" s="670"/>
      <c r="AK186" s="670"/>
      <c r="AL186" s="670"/>
      <c r="AM186" s="670"/>
      <c r="AN186" s="670"/>
      <c r="AO186" s="670"/>
      <c r="AP186" s="670"/>
      <c r="AQ186" s="670"/>
      <c r="AR186" s="670"/>
      <c r="AS186" s="670"/>
      <c r="AT186" s="670"/>
      <c r="AU186" s="670"/>
      <c r="AV186" s="670"/>
      <c r="AW186" s="670"/>
      <c r="AX186" s="670"/>
      <c r="AY186" s="670"/>
      <c r="AZ186" s="670"/>
      <c r="BA186" s="670"/>
      <c r="BB186" s="670"/>
      <c r="BC186" s="670"/>
      <c r="BD186" s="670"/>
      <c r="BE186" s="670"/>
      <c r="BF186" s="670"/>
      <c r="BG186" s="670"/>
      <c r="BH186" s="670"/>
      <c r="BI186" s="670"/>
      <c r="BJ186" s="670"/>
      <c r="BK186" s="670"/>
      <c r="BL186" s="670"/>
      <c r="BM186" s="670"/>
      <c r="BN186" s="670"/>
      <c r="BO186" s="670"/>
      <c r="BP186" s="670"/>
      <c r="BQ186" s="670"/>
      <c r="BR186" s="670"/>
      <c r="BS186" s="670"/>
      <c r="BT186" s="670"/>
      <c r="BU186" s="670"/>
      <c r="BV186" s="670"/>
      <c r="BW186" s="670"/>
      <c r="BX186" s="670"/>
      <c r="BY186" s="670"/>
      <c r="BZ186" s="670"/>
      <c r="CA186" s="670"/>
      <c r="CB186" s="670"/>
      <c r="CC186" s="670"/>
      <c r="CD186" s="670"/>
      <c r="CE186" s="670"/>
      <c r="CF186" s="670"/>
      <c r="CG186" s="670"/>
      <c r="CH186" s="670"/>
      <c r="CI186" s="670"/>
      <c r="CJ186" s="670"/>
      <c r="CK186" s="670"/>
      <c r="CL186" s="670"/>
      <c r="CM186" s="670"/>
      <c r="CN186" s="670"/>
      <c r="CO186" s="670"/>
    </row>
    <row r="187" spans="1:93">
      <c r="A187" s="1590"/>
      <c r="B187" s="731" t="s">
        <v>1083</v>
      </c>
      <c r="C187" s="731"/>
      <c r="D187" s="733">
        <f>SUM(D188:D191)</f>
        <v>509236</v>
      </c>
      <c r="E187" s="708"/>
      <c r="F187" s="655">
        <f>SUM(F188:F191)</f>
        <v>514342</v>
      </c>
      <c r="G187" s="670"/>
      <c r="H187" s="670"/>
      <c r="I187" s="670"/>
      <c r="J187" s="1439">
        <f>SUM(J188:J191)</f>
        <v>473468.96</v>
      </c>
      <c r="K187" s="1355"/>
      <c r="L187" s="655"/>
      <c r="M187" s="655"/>
      <c r="N187" s="655"/>
      <c r="O187" s="655"/>
      <c r="P187" s="655"/>
      <c r="Q187" s="670"/>
      <c r="R187" s="655"/>
      <c r="S187" s="670"/>
      <c r="T187" s="670"/>
      <c r="U187" s="670"/>
      <c r="V187" s="670"/>
      <c r="W187" s="670"/>
      <c r="X187" s="670"/>
      <c r="Y187" s="670"/>
      <c r="Z187" s="670"/>
      <c r="AA187" s="670"/>
      <c r="AB187" s="681"/>
    </row>
    <row r="188" spans="1:93">
      <c r="A188" s="1590"/>
      <c r="B188" s="1332" t="s">
        <v>1283</v>
      </c>
      <c r="C188" s="1332"/>
      <c r="D188" s="729">
        <v>419236</v>
      </c>
      <c r="E188" s="708"/>
      <c r="F188" s="658">
        <v>373792</v>
      </c>
      <c r="G188" s="670"/>
      <c r="H188" s="670"/>
      <c r="I188" s="670"/>
      <c r="J188" s="1448">
        <v>323076.96000000002</v>
      </c>
      <c r="K188" s="1355"/>
      <c r="L188" s="655"/>
      <c r="M188" s="655"/>
      <c r="N188" s="655"/>
      <c r="O188" s="655"/>
      <c r="P188" s="655"/>
      <c r="Q188" s="670"/>
      <c r="R188" s="655"/>
      <c r="S188" s="670"/>
      <c r="T188" s="670"/>
      <c r="U188" s="670"/>
      <c r="V188" s="670"/>
      <c r="W188" s="670"/>
      <c r="X188" s="670"/>
      <c r="Y188" s="670"/>
      <c r="Z188" s="670"/>
      <c r="AA188" s="670"/>
      <c r="AB188" s="681"/>
    </row>
    <row r="189" spans="1:93">
      <c r="A189" s="1590"/>
      <c r="B189" s="1332" t="s">
        <v>2467</v>
      </c>
      <c r="C189" s="1332"/>
      <c r="D189" s="553">
        <v>90000</v>
      </c>
      <c r="E189" s="708"/>
      <c r="F189" s="659">
        <v>91200</v>
      </c>
      <c r="G189" s="670"/>
      <c r="H189" s="670"/>
      <c r="I189" s="670"/>
      <c r="J189" s="1444">
        <v>108000</v>
      </c>
      <c r="K189" s="1355"/>
      <c r="L189" s="655"/>
      <c r="M189" s="655"/>
      <c r="N189" s="655"/>
      <c r="O189" s="655"/>
      <c r="P189" s="655"/>
      <c r="Q189" s="670"/>
      <c r="R189" s="655"/>
      <c r="S189" s="670"/>
      <c r="T189" s="670"/>
      <c r="U189" s="670"/>
      <c r="V189" s="670"/>
      <c r="W189" s="670"/>
      <c r="X189" s="670"/>
      <c r="Y189" s="670"/>
      <c r="Z189" s="670"/>
      <c r="AA189" s="670"/>
      <c r="AB189" s="681"/>
    </row>
    <row r="190" spans="1:93">
      <c r="A190" s="1590"/>
      <c r="B190" s="1332" t="s">
        <v>2468</v>
      </c>
      <c r="C190" s="1332"/>
      <c r="D190" s="553"/>
      <c r="E190" s="708"/>
      <c r="F190" s="659">
        <v>0</v>
      </c>
      <c r="G190" s="670"/>
      <c r="H190" s="670"/>
      <c r="I190" s="670"/>
      <c r="J190" s="1444"/>
      <c r="K190" s="1355"/>
      <c r="L190" s="655"/>
      <c r="M190" s="655"/>
      <c r="N190" s="655"/>
      <c r="O190" s="655"/>
      <c r="P190" s="655"/>
      <c r="Q190" s="670"/>
      <c r="R190" s="655"/>
      <c r="S190" s="670"/>
      <c r="T190" s="670"/>
      <c r="U190" s="670"/>
      <c r="V190" s="670"/>
      <c r="W190" s="670"/>
      <c r="X190" s="670"/>
      <c r="Y190" s="670"/>
      <c r="Z190" s="670"/>
      <c r="AA190" s="670"/>
      <c r="AB190" s="681"/>
    </row>
    <row r="191" spans="1:93">
      <c r="A191" s="1590"/>
      <c r="B191" s="1332" t="s">
        <v>1284</v>
      </c>
      <c r="C191" s="1332"/>
      <c r="D191" s="730"/>
      <c r="E191" s="708"/>
      <c r="F191" s="482">
        <v>49350</v>
      </c>
      <c r="G191" s="670"/>
      <c r="H191" s="670"/>
      <c r="I191" s="670"/>
      <c r="J191" s="1445">
        <v>42392</v>
      </c>
      <c r="K191" s="1355"/>
      <c r="L191" s="655"/>
      <c r="M191" s="655"/>
      <c r="N191" s="655"/>
      <c r="O191" s="655"/>
      <c r="P191" s="655"/>
      <c r="Q191" s="670"/>
      <c r="R191" s="655"/>
      <c r="S191" s="670"/>
      <c r="T191" s="670"/>
      <c r="U191" s="670"/>
      <c r="V191" s="670"/>
      <c r="W191" s="670"/>
      <c r="X191" s="670"/>
      <c r="Y191" s="670"/>
      <c r="Z191" s="670"/>
      <c r="AA191" s="670"/>
      <c r="AB191" s="681"/>
    </row>
    <row r="192" spans="1:93">
      <c r="A192" s="1590"/>
      <c r="B192" s="731" t="s">
        <v>1084</v>
      </c>
      <c r="C192" s="731"/>
      <c r="D192" s="732">
        <f>SUM(D193:D196)</f>
        <v>536261</v>
      </c>
      <c r="E192" s="708"/>
      <c r="F192" s="655">
        <f>SUM(F193:F196)</f>
        <v>477798</v>
      </c>
      <c r="G192" s="670"/>
      <c r="H192" s="670"/>
      <c r="I192" s="670"/>
      <c r="J192" s="1439">
        <f>SUM(J193:J196)</f>
        <v>483006.24</v>
      </c>
      <c r="K192" s="1355"/>
      <c r="L192" s="655"/>
      <c r="M192" s="655"/>
      <c r="N192" s="655"/>
      <c r="O192" s="655"/>
      <c r="P192" s="655"/>
      <c r="Q192" s="670"/>
      <c r="R192" s="655"/>
      <c r="S192" s="670"/>
      <c r="T192" s="670"/>
      <c r="U192" s="670"/>
      <c r="V192" s="670"/>
      <c r="W192" s="670"/>
      <c r="X192" s="670"/>
      <c r="Y192" s="670"/>
      <c r="Z192" s="670"/>
      <c r="AA192" s="670"/>
      <c r="AB192" s="681"/>
    </row>
    <row r="193" spans="1:28">
      <c r="A193" s="1590"/>
      <c r="B193" s="1332" t="s">
        <v>1283</v>
      </c>
      <c r="C193" s="1332"/>
      <c r="D193" s="729">
        <v>419236</v>
      </c>
      <c r="E193" s="708"/>
      <c r="F193" s="658">
        <v>356699</v>
      </c>
      <c r="G193" s="670"/>
      <c r="H193" s="670"/>
      <c r="I193" s="670"/>
      <c r="J193" s="1448">
        <v>338406.24</v>
      </c>
      <c r="K193" s="1355"/>
      <c r="L193" s="655"/>
      <c r="M193" s="655"/>
      <c r="N193" s="655"/>
      <c r="O193" s="655"/>
      <c r="P193" s="655"/>
      <c r="Q193" s="670"/>
      <c r="R193" s="655"/>
      <c r="S193" s="670"/>
      <c r="T193" s="670"/>
      <c r="U193" s="670"/>
      <c r="V193" s="670"/>
      <c r="W193" s="670"/>
      <c r="X193" s="670"/>
      <c r="Y193" s="670"/>
      <c r="Z193" s="670"/>
      <c r="AA193" s="670"/>
      <c r="AB193" s="681"/>
    </row>
    <row r="194" spans="1:28">
      <c r="A194" s="1590"/>
      <c r="B194" s="1332" t="s">
        <v>2467</v>
      </c>
      <c r="C194" s="1332"/>
      <c r="D194" s="553">
        <v>90000</v>
      </c>
      <c r="E194" s="708"/>
      <c r="F194" s="659">
        <v>90000</v>
      </c>
      <c r="G194" s="670"/>
      <c r="H194" s="670"/>
      <c r="I194" s="670"/>
      <c r="J194" s="1444">
        <v>108000</v>
      </c>
      <c r="K194" s="1355"/>
      <c r="L194" s="655"/>
      <c r="M194" s="655"/>
      <c r="N194" s="655"/>
      <c r="O194" s="655"/>
      <c r="P194" s="655"/>
      <c r="Q194" s="670"/>
      <c r="R194" s="655"/>
      <c r="S194" s="670"/>
      <c r="T194" s="670"/>
      <c r="U194" s="670"/>
      <c r="V194" s="670"/>
      <c r="W194" s="670"/>
      <c r="X194" s="670"/>
      <c r="Y194" s="670"/>
      <c r="Z194" s="670"/>
      <c r="AA194" s="670"/>
      <c r="AB194" s="681"/>
    </row>
    <row r="195" spans="1:28">
      <c r="A195" s="1590"/>
      <c r="B195" s="1332" t="s">
        <v>2468</v>
      </c>
      <c r="C195" s="1332"/>
      <c r="D195" s="553"/>
      <c r="E195" s="708"/>
      <c r="F195" s="659">
        <v>0</v>
      </c>
      <c r="G195" s="670"/>
      <c r="H195" s="670"/>
      <c r="I195" s="670"/>
      <c r="J195" s="1444"/>
      <c r="K195" s="1355"/>
      <c r="L195" s="655"/>
      <c r="M195" s="655"/>
      <c r="N195" s="655"/>
      <c r="O195" s="655"/>
      <c r="P195" s="655"/>
      <c r="Q195" s="670"/>
      <c r="R195" s="655"/>
      <c r="S195" s="670"/>
      <c r="T195" s="670"/>
      <c r="U195" s="670"/>
      <c r="V195" s="670"/>
      <c r="W195" s="670"/>
      <c r="X195" s="670"/>
      <c r="Y195" s="670"/>
      <c r="Z195" s="670"/>
      <c r="AA195" s="670"/>
      <c r="AB195" s="681"/>
    </row>
    <row r="196" spans="1:28">
      <c r="A196" s="1590"/>
      <c r="B196" s="1332" t="s">
        <v>1284</v>
      </c>
      <c r="C196" s="1332"/>
      <c r="D196" s="730">
        <v>27025</v>
      </c>
      <c r="E196" s="708"/>
      <c r="F196" s="482">
        <v>31099</v>
      </c>
      <c r="G196" s="670"/>
      <c r="H196" s="670"/>
      <c r="I196" s="670"/>
      <c r="J196" s="1445">
        <v>36600</v>
      </c>
      <c r="K196" s="1355"/>
      <c r="L196" s="655"/>
      <c r="M196" s="655"/>
      <c r="N196" s="655"/>
      <c r="O196" s="655"/>
      <c r="P196" s="655"/>
      <c r="Q196" s="670"/>
      <c r="R196" s="655"/>
      <c r="S196" s="670"/>
      <c r="T196" s="670"/>
      <c r="U196" s="670"/>
      <c r="V196" s="670"/>
      <c r="W196" s="670"/>
      <c r="X196" s="670"/>
      <c r="Y196" s="670"/>
      <c r="Z196" s="670"/>
      <c r="AA196" s="670"/>
      <c r="AB196" s="681"/>
    </row>
    <row r="197" spans="1:28">
      <c r="A197" s="1590"/>
      <c r="B197" s="731" t="s">
        <v>1085</v>
      </c>
      <c r="C197" s="731"/>
      <c r="D197" s="732">
        <f>SUM(D198:D201)</f>
        <v>540952</v>
      </c>
      <c r="E197" s="708"/>
      <c r="F197" s="655">
        <f>SUM(F198:F201)</f>
        <v>492645</v>
      </c>
      <c r="G197" s="670"/>
      <c r="H197" s="670"/>
      <c r="I197" s="670"/>
      <c r="J197" s="1439">
        <f>SUM(J198:J201)</f>
        <v>487261.24</v>
      </c>
      <c r="K197" s="1355"/>
      <c r="L197" s="655"/>
      <c r="M197" s="655"/>
      <c r="N197" s="655"/>
      <c r="O197" s="655"/>
      <c r="P197" s="655"/>
      <c r="Q197" s="670"/>
      <c r="R197" s="655"/>
      <c r="S197" s="670"/>
      <c r="T197" s="670"/>
      <c r="U197" s="670"/>
      <c r="V197" s="670"/>
      <c r="W197" s="670"/>
      <c r="X197" s="670"/>
      <c r="Y197" s="670"/>
      <c r="Z197" s="670"/>
      <c r="AA197" s="670"/>
      <c r="AB197" s="681"/>
    </row>
    <row r="198" spans="1:28">
      <c r="A198" s="1590"/>
      <c r="B198" s="1332" t="s">
        <v>1283</v>
      </c>
      <c r="C198" s="1332"/>
      <c r="D198" s="729">
        <v>419236</v>
      </c>
      <c r="E198" s="708"/>
      <c r="F198" s="658">
        <v>356699</v>
      </c>
      <c r="G198" s="670"/>
      <c r="H198" s="670"/>
      <c r="I198" s="670"/>
      <c r="J198" s="1448">
        <v>338406.24</v>
      </c>
      <c r="K198" s="1355"/>
      <c r="L198" s="655"/>
      <c r="M198" s="655"/>
      <c r="N198" s="655"/>
      <c r="O198" s="655"/>
      <c r="P198" s="655"/>
      <c r="Q198" s="670"/>
      <c r="R198" s="655"/>
      <c r="S198" s="670"/>
      <c r="T198" s="670"/>
      <c r="U198" s="670"/>
      <c r="V198" s="670"/>
      <c r="W198" s="670"/>
      <c r="X198" s="670"/>
      <c r="Y198" s="670"/>
      <c r="Z198" s="670"/>
      <c r="AA198" s="670"/>
      <c r="AB198" s="681"/>
    </row>
    <row r="199" spans="1:28">
      <c r="A199" s="1590"/>
      <c r="B199" s="1332" t="s">
        <v>2467</v>
      </c>
      <c r="C199" s="1332"/>
      <c r="D199" s="553">
        <v>90000</v>
      </c>
      <c r="E199" s="708"/>
      <c r="F199" s="659">
        <v>90000</v>
      </c>
      <c r="G199" s="670"/>
      <c r="H199" s="670"/>
      <c r="I199" s="670"/>
      <c r="J199" s="1444">
        <v>108000</v>
      </c>
      <c r="K199" s="1355"/>
      <c r="L199" s="655"/>
      <c r="M199" s="655"/>
      <c r="N199" s="655"/>
      <c r="O199" s="655"/>
      <c r="P199" s="655"/>
      <c r="Q199" s="670"/>
      <c r="R199" s="655"/>
      <c r="S199" s="670"/>
      <c r="T199" s="670"/>
      <c r="U199" s="670"/>
      <c r="V199" s="670"/>
      <c r="W199" s="670"/>
      <c r="X199" s="670"/>
      <c r="Y199" s="670"/>
      <c r="Z199" s="670"/>
      <c r="AA199" s="670"/>
      <c r="AB199" s="681"/>
    </row>
    <row r="200" spans="1:28">
      <c r="A200" s="1590"/>
      <c r="B200" s="1332" t="s">
        <v>2468</v>
      </c>
      <c r="C200" s="1332"/>
      <c r="D200" s="553"/>
      <c r="E200" s="708"/>
      <c r="F200" s="659">
        <v>0</v>
      </c>
      <c r="G200" s="670"/>
      <c r="H200" s="670"/>
      <c r="I200" s="670"/>
      <c r="J200" s="1444"/>
      <c r="K200" s="1355"/>
      <c r="L200" s="655"/>
      <c r="M200" s="655"/>
      <c r="N200" s="655"/>
      <c r="O200" s="655"/>
      <c r="P200" s="655"/>
      <c r="Q200" s="670"/>
      <c r="R200" s="655"/>
      <c r="S200" s="670"/>
      <c r="T200" s="670"/>
      <c r="U200" s="670"/>
      <c r="V200" s="670"/>
      <c r="W200" s="670"/>
      <c r="X200" s="670"/>
      <c r="Y200" s="670"/>
      <c r="Z200" s="670"/>
      <c r="AA200" s="670"/>
      <c r="AB200" s="681"/>
    </row>
    <row r="201" spans="1:28">
      <c r="A201" s="1590"/>
      <c r="B201" s="1332" t="s">
        <v>1284</v>
      </c>
      <c r="C201" s="1332"/>
      <c r="D201" s="730">
        <v>31716</v>
      </c>
      <c r="E201" s="708"/>
      <c r="F201" s="482">
        <v>45946</v>
      </c>
      <c r="G201" s="670"/>
      <c r="H201" s="670"/>
      <c r="I201" s="670"/>
      <c r="J201" s="1445">
        <v>40855</v>
      </c>
      <c r="K201" s="1355"/>
      <c r="L201" s="655"/>
      <c r="M201" s="655"/>
      <c r="N201" s="655"/>
      <c r="O201" s="655"/>
      <c r="P201" s="655"/>
      <c r="Q201" s="670"/>
      <c r="R201" s="655"/>
      <c r="S201" s="670"/>
      <c r="T201" s="670"/>
      <c r="U201" s="670"/>
      <c r="V201" s="670"/>
      <c r="W201" s="670"/>
      <c r="X201" s="670"/>
      <c r="Y201" s="670"/>
      <c r="Z201" s="670"/>
      <c r="AA201" s="670"/>
      <c r="AB201" s="681"/>
    </row>
    <row r="202" spans="1:28" ht="13.5" thickBot="1">
      <c r="A202" s="1590"/>
      <c r="B202" s="709" t="s">
        <v>1740</v>
      </c>
      <c r="C202" s="709"/>
      <c r="D202" s="710">
        <f>D197+D192+D187+D182+D177</f>
        <v>3180641</v>
      </c>
      <c r="E202" s="708"/>
      <c r="F202" s="710">
        <f>F197+F192+F187+F182+F177</f>
        <v>2910578</v>
      </c>
      <c r="G202" s="670"/>
      <c r="H202" s="670"/>
      <c r="I202" s="670"/>
      <c r="J202" s="1685">
        <f>J197+J192+J187+J182+J177</f>
        <v>2812853.61</v>
      </c>
      <c r="K202" s="1355"/>
      <c r="L202" s="655"/>
      <c r="M202" s="655"/>
      <c r="N202" s="655"/>
      <c r="O202" s="655"/>
      <c r="P202" s="655"/>
      <c r="Q202" s="670"/>
      <c r="R202" s="655"/>
      <c r="S202" s="670"/>
      <c r="T202" s="670"/>
      <c r="U202" s="670"/>
      <c r="V202" s="670"/>
      <c r="W202" s="670"/>
      <c r="X202" s="670"/>
      <c r="Y202" s="670"/>
      <c r="Z202" s="670"/>
      <c r="AA202" s="670"/>
      <c r="AB202" s="681"/>
    </row>
    <row r="203" spans="1:28" ht="13.5" thickTop="1">
      <c r="A203" s="1590"/>
      <c r="B203" s="670"/>
      <c r="C203" s="670"/>
      <c r="D203" s="655"/>
      <c r="E203" s="670"/>
      <c r="F203" s="655"/>
      <c r="G203" s="670"/>
      <c r="H203" s="670"/>
      <c r="I203" s="670"/>
      <c r="J203" s="1439"/>
      <c r="K203" s="1355"/>
      <c r="L203" s="655"/>
      <c r="M203" s="655"/>
      <c r="N203" s="655"/>
      <c r="O203" s="655"/>
      <c r="P203" s="655"/>
      <c r="Q203" s="670"/>
      <c r="R203" s="655"/>
      <c r="S203" s="670"/>
      <c r="T203" s="670"/>
      <c r="U203" s="670"/>
      <c r="V203" s="670"/>
      <c r="W203" s="670"/>
      <c r="X203" s="670"/>
      <c r="Y203" s="670"/>
      <c r="Z203" s="670"/>
      <c r="AA203" s="670"/>
      <c r="AB203" s="681"/>
    </row>
    <row r="204" spans="1:28" ht="25.5">
      <c r="A204" s="1691"/>
      <c r="B204" s="615" t="s">
        <v>1286</v>
      </c>
      <c r="C204" s="615"/>
      <c r="D204" s="719"/>
      <c r="E204" s="615"/>
      <c r="F204" s="615"/>
      <c r="G204" s="615"/>
      <c r="H204" s="615"/>
      <c r="I204" s="615"/>
      <c r="J204" s="1692"/>
      <c r="K204" s="1360"/>
      <c r="L204" s="655"/>
      <c r="M204" s="655"/>
      <c r="N204" s="655"/>
      <c r="O204" s="655"/>
      <c r="P204" s="655"/>
      <c r="Q204" s="670"/>
      <c r="R204" s="655"/>
      <c r="S204" s="670"/>
      <c r="T204" s="670"/>
      <c r="U204" s="670"/>
      <c r="V204" s="670"/>
      <c r="W204" s="670"/>
      <c r="X204" s="670"/>
      <c r="Y204" s="670"/>
      <c r="Z204" s="670"/>
      <c r="AA204" s="670"/>
      <c r="AB204" s="681"/>
    </row>
    <row r="205" spans="1:28">
      <c r="A205" s="1691"/>
      <c r="B205" s="615" t="s">
        <v>1285</v>
      </c>
      <c r="C205" s="615"/>
      <c r="D205" s="719"/>
      <c r="E205" s="615"/>
      <c r="F205" s="615"/>
      <c r="G205" s="615"/>
      <c r="H205" s="615"/>
      <c r="I205" s="615"/>
      <c r="J205" s="1692"/>
      <c r="K205" s="1360"/>
      <c r="L205" s="655"/>
      <c r="M205" s="655"/>
      <c r="N205" s="655"/>
      <c r="O205" s="655"/>
      <c r="P205" s="655"/>
      <c r="Q205" s="670"/>
      <c r="R205" s="655"/>
      <c r="S205" s="670"/>
      <c r="T205" s="670"/>
      <c r="U205" s="670"/>
      <c r="V205" s="670"/>
      <c r="W205" s="670"/>
      <c r="X205" s="670"/>
      <c r="Y205" s="670"/>
      <c r="Z205" s="670"/>
      <c r="AA205" s="670"/>
      <c r="AB205" s="681"/>
    </row>
    <row r="206" spans="1:28">
      <c r="A206" s="1596"/>
      <c r="B206" s="699"/>
      <c r="C206" s="699"/>
      <c r="D206" s="700"/>
      <c r="E206" s="699"/>
      <c r="F206" s="700"/>
      <c r="G206" s="699"/>
      <c r="H206" s="699"/>
      <c r="I206" s="699"/>
      <c r="J206" s="1570"/>
      <c r="K206" s="1352"/>
      <c r="L206" s="655"/>
      <c r="M206" s="655"/>
      <c r="N206" s="655"/>
      <c r="O206" s="655"/>
      <c r="P206" s="655"/>
      <c r="Q206" s="670"/>
      <c r="R206" s="655"/>
      <c r="S206" s="670"/>
      <c r="T206" s="670"/>
      <c r="U206" s="670"/>
      <c r="V206" s="670"/>
      <c r="W206" s="670"/>
      <c r="X206" s="670"/>
      <c r="Y206" s="670"/>
      <c r="Z206" s="670"/>
      <c r="AA206" s="670"/>
      <c r="AB206" s="681"/>
    </row>
    <row r="207" spans="1:28">
      <c r="A207" s="1684"/>
      <c r="B207" s="677"/>
      <c r="C207" s="677"/>
      <c r="D207" s="676"/>
      <c r="E207" s="677"/>
      <c r="F207" s="676"/>
      <c r="G207" s="677"/>
      <c r="H207" s="677"/>
      <c r="I207" s="677"/>
      <c r="J207" s="1572"/>
      <c r="K207" s="1353"/>
      <c r="L207" s="655"/>
      <c r="M207" s="655"/>
      <c r="N207" s="655"/>
      <c r="O207" s="655"/>
      <c r="P207" s="670"/>
      <c r="Q207" s="670"/>
      <c r="R207" s="655"/>
      <c r="S207" s="670"/>
      <c r="T207" s="670"/>
      <c r="U207" s="670"/>
      <c r="V207" s="670"/>
      <c r="W207" s="670"/>
      <c r="X207" s="670"/>
      <c r="Y207" s="670"/>
      <c r="Z207" s="670"/>
      <c r="AA207" s="670"/>
      <c r="AB207" s="681"/>
    </row>
    <row r="208" spans="1:28">
      <c r="A208" s="1590"/>
      <c r="B208" s="703"/>
      <c r="C208" s="703"/>
      <c r="D208" s="704" t="s">
        <v>3484</v>
      </c>
      <c r="E208" s="703"/>
      <c r="F208" s="704" t="s">
        <v>2651</v>
      </c>
      <c r="G208" s="703"/>
      <c r="H208" s="703"/>
      <c r="I208" s="703"/>
      <c r="J208" s="1440" t="s">
        <v>1634</v>
      </c>
      <c r="K208" s="1354"/>
      <c r="L208" s="655"/>
      <c r="M208" s="655"/>
      <c r="N208" s="655"/>
      <c r="O208" s="655"/>
      <c r="P208" s="670"/>
      <c r="Q208" s="670"/>
      <c r="R208" s="655"/>
      <c r="S208" s="670"/>
      <c r="T208" s="670"/>
      <c r="U208" s="670"/>
      <c r="V208" s="670"/>
      <c r="W208" s="670"/>
      <c r="X208" s="670"/>
      <c r="Y208" s="670"/>
      <c r="Z208" s="670"/>
      <c r="AA208" s="670"/>
      <c r="AB208" s="681"/>
    </row>
    <row r="209" spans="1:28">
      <c r="A209" s="1590"/>
      <c r="B209" s="703"/>
      <c r="C209" s="703"/>
      <c r="D209" s="706"/>
      <c r="E209" s="703"/>
      <c r="F209" s="706" t="s">
        <v>2422</v>
      </c>
      <c r="G209" s="703"/>
      <c r="H209" s="703"/>
      <c r="I209" s="703"/>
      <c r="J209" s="1441" t="s">
        <v>2422</v>
      </c>
      <c r="K209" s="1354"/>
      <c r="L209" s="655"/>
      <c r="M209" s="655"/>
      <c r="N209" s="655"/>
      <c r="O209" s="655"/>
      <c r="P209" s="670"/>
      <c r="Q209" s="670"/>
      <c r="R209" s="655"/>
      <c r="S209" s="670"/>
      <c r="T209" s="670"/>
      <c r="U209" s="670"/>
      <c r="V209" s="670"/>
      <c r="W209" s="670"/>
      <c r="X209" s="670"/>
      <c r="Y209" s="670"/>
      <c r="Z209" s="670"/>
      <c r="AA209" s="670"/>
      <c r="AB209" s="681"/>
    </row>
    <row r="210" spans="1:28">
      <c r="A210" s="1679" t="s">
        <v>725</v>
      </c>
      <c r="B210" s="709" t="s">
        <v>1287</v>
      </c>
      <c r="C210" s="709"/>
      <c r="D210" s="711"/>
      <c r="E210" s="709"/>
      <c r="F210" s="655"/>
      <c r="G210" s="670"/>
      <c r="H210" s="670"/>
      <c r="I210" s="670"/>
      <c r="J210" s="1439"/>
      <c r="K210" s="1356"/>
      <c r="L210" s="655"/>
      <c r="M210" s="655"/>
      <c r="N210" s="655"/>
      <c r="O210" s="655"/>
      <c r="P210" s="670"/>
      <c r="Q210" s="670"/>
      <c r="R210" s="655"/>
      <c r="S210" s="670"/>
      <c r="T210" s="670"/>
      <c r="U210" s="670"/>
      <c r="V210" s="670"/>
      <c r="W210" s="670"/>
      <c r="X210" s="670"/>
      <c r="Y210" s="670"/>
      <c r="Z210" s="670"/>
      <c r="AA210" s="670"/>
      <c r="AB210" s="681"/>
    </row>
    <row r="211" spans="1:28">
      <c r="A211" s="1590"/>
      <c r="B211" s="708" t="s">
        <v>584</v>
      </c>
      <c r="C211" s="708"/>
      <c r="D211" s="713">
        <f>'EMPLOYEE COST 0910'!E185</f>
        <v>572108.04</v>
      </c>
      <c r="E211" s="708"/>
      <c r="F211" s="655">
        <f>SUM('TRAIL BALANCE'!G35)</f>
        <v>534681</v>
      </c>
      <c r="G211" s="670"/>
      <c r="H211" s="670"/>
      <c r="I211" s="670"/>
      <c r="J211" s="1439">
        <f>SUM('TRAIL BALANCE'!E35)</f>
        <v>451952.04</v>
      </c>
      <c r="K211" s="1355"/>
      <c r="L211" s="655"/>
      <c r="M211" s="655"/>
      <c r="N211" s="655"/>
      <c r="O211" s="655"/>
      <c r="P211" s="670"/>
      <c r="Q211" s="670"/>
      <c r="R211" s="655"/>
      <c r="S211" s="670"/>
      <c r="T211" s="670"/>
      <c r="U211" s="670"/>
      <c r="V211" s="670"/>
      <c r="W211" s="670"/>
      <c r="X211" s="670"/>
      <c r="Y211" s="670"/>
      <c r="Z211" s="670"/>
      <c r="AA211" s="670"/>
      <c r="AB211" s="681"/>
    </row>
    <row r="212" spans="1:28">
      <c r="A212" s="1590"/>
      <c r="B212" s="708" t="s">
        <v>1288</v>
      </c>
      <c r="C212" s="708"/>
      <c r="D212" s="713"/>
      <c r="E212" s="708"/>
      <c r="F212" s="655"/>
      <c r="G212" s="670"/>
      <c r="H212" s="670"/>
      <c r="I212" s="670"/>
      <c r="J212" s="1439">
        <v>0</v>
      </c>
      <c r="K212" s="1355"/>
      <c r="L212" s="655"/>
      <c r="M212" s="655"/>
      <c r="N212" s="655"/>
      <c r="O212" s="655"/>
      <c r="P212" s="670"/>
      <c r="Q212" s="670"/>
      <c r="R212" s="655"/>
      <c r="S212" s="670"/>
      <c r="T212" s="670"/>
      <c r="U212" s="670"/>
      <c r="V212" s="670"/>
      <c r="W212" s="670"/>
      <c r="X212" s="670"/>
      <c r="Y212" s="670"/>
      <c r="Z212" s="670"/>
      <c r="AA212" s="670"/>
      <c r="AB212" s="681"/>
    </row>
    <row r="213" spans="1:28">
      <c r="A213" s="1590"/>
      <c r="B213" s="708" t="s">
        <v>1289</v>
      </c>
      <c r="C213" s="708"/>
      <c r="D213" s="713">
        <f>'EMPLOYEE COST 0910'!E186</f>
        <v>433355.02</v>
      </c>
      <c r="E213" s="708"/>
      <c r="F213" s="655">
        <f>'TRAIL BALANCE'!G36</f>
        <v>166689.47</v>
      </c>
      <c r="G213" s="682"/>
      <c r="H213" s="682"/>
      <c r="I213" s="682"/>
      <c r="J213" s="1439">
        <v>0</v>
      </c>
      <c r="K213" s="1355"/>
      <c r="L213" s="735" t="s">
        <v>45</v>
      </c>
      <c r="M213" s="655"/>
      <c r="N213" s="655"/>
      <c r="O213" s="655"/>
      <c r="P213" s="670"/>
      <c r="Q213" s="670"/>
      <c r="R213" s="655"/>
      <c r="S213" s="670"/>
      <c r="T213" s="670"/>
      <c r="U213" s="670"/>
      <c r="V213" s="670"/>
      <c r="W213" s="670"/>
      <c r="X213" s="670"/>
      <c r="Y213" s="670"/>
      <c r="Z213" s="670"/>
      <c r="AA213" s="670"/>
      <c r="AB213" s="681"/>
    </row>
    <row r="214" spans="1:28">
      <c r="A214" s="1590"/>
      <c r="B214" s="708" t="s">
        <v>1290</v>
      </c>
      <c r="C214" s="708"/>
      <c r="D214" s="713">
        <f>'EMPLOYEE COST 0910'!E187</f>
        <v>1123880.32</v>
      </c>
      <c r="E214" s="708"/>
      <c r="F214" s="655">
        <f>SUM('TRAIL BALANCE'!G37)</f>
        <v>1201138.73</v>
      </c>
      <c r="G214" s="670"/>
      <c r="H214" s="670"/>
      <c r="I214" s="670"/>
      <c r="J214" s="1439">
        <f>SUM('TRAIL BALANCE'!E37)</f>
        <v>1132163.3999999999</v>
      </c>
      <c r="K214" s="1355"/>
      <c r="L214" s="685"/>
      <c r="M214" s="655"/>
      <c r="N214" s="655"/>
      <c r="O214" s="655"/>
      <c r="P214" s="670"/>
      <c r="Q214" s="670"/>
      <c r="R214" s="655"/>
      <c r="S214" s="670"/>
      <c r="T214" s="670"/>
      <c r="U214" s="670"/>
      <c r="V214" s="670"/>
      <c r="W214" s="670"/>
      <c r="X214" s="670"/>
      <c r="Y214" s="670"/>
      <c r="Z214" s="670"/>
      <c r="AA214" s="670"/>
      <c r="AB214" s="681"/>
    </row>
    <row r="215" spans="1:28">
      <c r="A215" s="1590"/>
      <c r="B215" s="708" t="s">
        <v>1291</v>
      </c>
      <c r="C215" s="708"/>
      <c r="D215" s="713">
        <f>'EMPLOYEE COST 0910'!E190</f>
        <v>335464.15000000002</v>
      </c>
      <c r="E215" s="708"/>
      <c r="F215" s="655">
        <f>SUM('TRAIL BALANCE'!G41)</f>
        <v>167596.84</v>
      </c>
      <c r="G215" s="670"/>
      <c r="H215" s="670"/>
      <c r="I215" s="670"/>
      <c r="J215" s="1439">
        <f>SUM('TRAIL BALANCE'!E41)</f>
        <v>219048.88</v>
      </c>
      <c r="K215" s="1355"/>
      <c r="L215" s="655"/>
      <c r="M215" s="655"/>
      <c r="N215" s="655"/>
      <c r="O215" s="655"/>
      <c r="P215" s="670"/>
      <c r="Q215" s="670"/>
      <c r="R215" s="655"/>
      <c r="S215" s="670"/>
      <c r="T215" s="670"/>
      <c r="U215" s="670"/>
      <c r="V215" s="670"/>
      <c r="W215" s="670"/>
      <c r="X215" s="670"/>
      <c r="Y215" s="670"/>
      <c r="Z215" s="670"/>
      <c r="AA215" s="670"/>
      <c r="AB215" s="681"/>
    </row>
    <row r="216" spans="1:28">
      <c r="A216" s="1590"/>
      <c r="B216" s="708" t="s">
        <v>1292</v>
      </c>
      <c r="C216" s="708"/>
      <c r="D216" s="713">
        <f>'EMPLOYEE COST 0910'!E188</f>
        <v>374625</v>
      </c>
      <c r="E216" s="708"/>
      <c r="F216" s="655">
        <f>SUM('TRAIL BALANCE'!G38)</f>
        <v>398800.9</v>
      </c>
      <c r="G216" s="670"/>
      <c r="H216" s="670"/>
      <c r="I216" s="670"/>
      <c r="J216" s="1439">
        <f>SUM('TRAIL BALANCE'!E38)</f>
        <v>376845.36</v>
      </c>
      <c r="K216" s="1355"/>
      <c r="L216" s="655"/>
      <c r="M216" s="655"/>
      <c r="N216" s="655"/>
      <c r="O216" s="655"/>
      <c r="P216" s="670"/>
      <c r="Q216" s="670"/>
      <c r="R216" s="655"/>
      <c r="S216" s="670"/>
      <c r="T216" s="670"/>
      <c r="U216" s="670"/>
      <c r="V216" s="670"/>
      <c r="W216" s="670"/>
      <c r="X216" s="670"/>
      <c r="Y216" s="670"/>
      <c r="Z216" s="670"/>
      <c r="AA216" s="670"/>
      <c r="AB216" s="681"/>
    </row>
    <row r="217" spans="1:28">
      <c r="A217" s="1590"/>
      <c r="B217" s="708" t="s">
        <v>1293</v>
      </c>
      <c r="C217" s="708"/>
      <c r="D217" s="713">
        <f>'EMPLOYEE COST 0910'!E189</f>
        <v>96012</v>
      </c>
      <c r="E217" s="708"/>
      <c r="F217" s="655">
        <f>SUM('TRAIL BALANCE'!G40)</f>
        <v>98779.93</v>
      </c>
      <c r="G217" s="670"/>
      <c r="H217" s="670"/>
      <c r="I217" s="670"/>
      <c r="J217" s="1439">
        <f>SUM('TRAIL BALANCE'!E40)</f>
        <v>95292</v>
      </c>
      <c r="K217" s="1355"/>
      <c r="L217" s="655"/>
      <c r="M217" s="655"/>
      <c r="N217" s="655"/>
      <c r="O217" s="655"/>
      <c r="P217" s="670"/>
      <c r="Q217" s="670"/>
      <c r="R217" s="655"/>
      <c r="S217" s="670"/>
      <c r="T217" s="670"/>
      <c r="U217" s="670"/>
      <c r="V217" s="670"/>
      <c r="W217" s="670"/>
      <c r="X217" s="670"/>
      <c r="Y217" s="670"/>
      <c r="Z217" s="670"/>
      <c r="AA217" s="670"/>
      <c r="AB217" s="681"/>
    </row>
    <row r="218" spans="1:28">
      <c r="A218" s="1590"/>
      <c r="B218" s="708" t="s">
        <v>1294</v>
      </c>
      <c r="C218" s="708"/>
      <c r="D218" s="713">
        <f>'EMPLOYEE COST 0910'!E184</f>
        <v>3180.92</v>
      </c>
      <c r="E218" s="708"/>
      <c r="F218" s="655">
        <v>0</v>
      </c>
      <c r="G218" s="670"/>
      <c r="H218" s="670"/>
      <c r="I218" s="670"/>
      <c r="J218" s="1439">
        <f>SUM('TRAIL BALANCE'!E30)</f>
        <v>13827.15</v>
      </c>
      <c r="K218" s="1355"/>
      <c r="L218" s="655"/>
      <c r="M218" s="655"/>
      <c r="N218" s="655"/>
      <c r="O218" s="655"/>
      <c r="P218" s="670"/>
      <c r="Q218" s="670"/>
      <c r="R218" s="655"/>
      <c r="S218" s="670"/>
      <c r="T218" s="670"/>
      <c r="U218" s="670"/>
      <c r="V218" s="670"/>
      <c r="W218" s="670"/>
      <c r="X218" s="670"/>
      <c r="Y218" s="670"/>
      <c r="Z218" s="670"/>
      <c r="AA218" s="670"/>
      <c r="AB218" s="681"/>
    </row>
    <row r="219" spans="1:28" ht="13.5" thickBot="1">
      <c r="A219" s="1590"/>
      <c r="B219" s="709" t="s">
        <v>1295</v>
      </c>
      <c r="C219" s="709"/>
      <c r="D219" s="710">
        <f>SUM(D211:D218)</f>
        <v>2938625.4499999997</v>
      </c>
      <c r="E219" s="708"/>
      <c r="F219" s="710">
        <f>SUM(F211:F218)</f>
        <v>2567686.87</v>
      </c>
      <c r="G219" s="670"/>
      <c r="H219" s="670"/>
      <c r="I219" s="670"/>
      <c r="J219" s="1685">
        <f>SUM(J211:J218)</f>
        <v>2289128.8299999996</v>
      </c>
      <c r="K219" s="1355"/>
      <c r="L219" s="655"/>
      <c r="M219" s="655"/>
      <c r="N219" s="655"/>
      <c r="O219" s="655"/>
      <c r="P219" s="670"/>
      <c r="Q219" s="670"/>
      <c r="R219" s="655"/>
      <c r="S219" s="670"/>
      <c r="T219" s="670"/>
      <c r="U219" s="670"/>
      <c r="V219" s="670"/>
      <c r="W219" s="670"/>
      <c r="X219" s="670"/>
      <c r="Y219" s="670"/>
      <c r="Z219" s="670"/>
      <c r="AA219" s="670"/>
      <c r="AB219" s="681"/>
    </row>
    <row r="220" spans="1:28" ht="13.5" thickTop="1">
      <c r="A220" s="1590"/>
      <c r="B220" s="708"/>
      <c r="C220" s="708"/>
      <c r="D220" s="713"/>
      <c r="E220" s="708"/>
      <c r="F220" s="655"/>
      <c r="G220" s="670"/>
      <c r="H220" s="670"/>
      <c r="I220" s="670"/>
      <c r="J220" s="1439"/>
      <c r="K220" s="1355"/>
      <c r="L220" s="655"/>
      <c r="M220" s="655"/>
      <c r="N220" s="655"/>
      <c r="O220" s="655"/>
      <c r="P220" s="670"/>
      <c r="Q220" s="670"/>
      <c r="R220" s="655"/>
      <c r="S220" s="670"/>
      <c r="T220" s="670"/>
      <c r="U220" s="670"/>
      <c r="V220" s="670"/>
      <c r="W220" s="670"/>
      <c r="X220" s="670"/>
      <c r="Y220" s="670"/>
      <c r="Z220" s="670"/>
      <c r="AA220" s="670"/>
      <c r="AB220" s="681"/>
    </row>
    <row r="221" spans="1:28" ht="25.5">
      <c r="A221" s="1691"/>
      <c r="B221" s="615" t="s">
        <v>1086</v>
      </c>
      <c r="C221" s="615"/>
      <c r="D221" s="719"/>
      <c r="E221" s="615"/>
      <c r="F221" s="615"/>
      <c r="G221" s="615"/>
      <c r="H221" s="615"/>
      <c r="I221" s="615"/>
      <c r="J221" s="1692"/>
      <c r="K221" s="1360"/>
      <c r="L221" s="655"/>
      <c r="M221" s="655"/>
      <c r="N221" s="655"/>
      <c r="O221" s="655"/>
      <c r="P221" s="670"/>
      <c r="Q221" s="670"/>
      <c r="R221" s="655"/>
      <c r="S221" s="670"/>
      <c r="T221" s="670"/>
      <c r="U221" s="670"/>
      <c r="V221" s="670"/>
      <c r="W221" s="670"/>
      <c r="X221" s="670"/>
      <c r="Y221" s="670"/>
      <c r="Z221" s="670"/>
      <c r="AA221" s="670"/>
      <c r="AB221" s="681"/>
    </row>
    <row r="222" spans="1:28" ht="25.5">
      <c r="A222" s="1691"/>
      <c r="B222" s="615" t="s">
        <v>1087</v>
      </c>
      <c r="C222" s="615"/>
      <c r="D222" s="719"/>
      <c r="E222" s="615"/>
      <c r="F222" s="615"/>
      <c r="G222" s="615"/>
      <c r="H222" s="615"/>
      <c r="I222" s="615"/>
      <c r="J222" s="1692"/>
      <c r="K222" s="1360"/>
      <c r="L222" s="655"/>
      <c r="M222" s="655"/>
      <c r="N222" s="655"/>
      <c r="O222" s="655"/>
      <c r="P222" s="670"/>
      <c r="Q222" s="670"/>
      <c r="R222" s="655"/>
      <c r="S222" s="670"/>
      <c r="T222" s="670"/>
      <c r="U222" s="670"/>
      <c r="V222" s="670"/>
      <c r="W222" s="670"/>
      <c r="X222" s="670"/>
      <c r="Y222" s="670"/>
      <c r="Z222" s="670"/>
      <c r="AA222" s="670"/>
      <c r="AB222" s="681"/>
    </row>
    <row r="223" spans="1:28">
      <c r="A223" s="1691"/>
      <c r="B223" s="615" t="s">
        <v>1296</v>
      </c>
      <c r="C223" s="615"/>
      <c r="D223" s="719"/>
      <c r="E223" s="615"/>
      <c r="F223" s="615"/>
      <c r="G223" s="615"/>
      <c r="H223" s="615"/>
      <c r="I223" s="615"/>
      <c r="J223" s="1692"/>
      <c r="K223" s="1360"/>
      <c r="L223" s="655"/>
      <c r="M223" s="655"/>
      <c r="N223" s="655"/>
      <c r="O223" s="655"/>
      <c r="P223" s="670"/>
      <c r="Q223" s="670"/>
      <c r="R223" s="655"/>
      <c r="S223" s="670"/>
      <c r="T223" s="670"/>
      <c r="U223" s="670"/>
      <c r="V223" s="670"/>
      <c r="W223" s="670"/>
      <c r="X223" s="670"/>
      <c r="Y223" s="670"/>
      <c r="Z223" s="670"/>
      <c r="AA223" s="670"/>
      <c r="AB223" s="681"/>
    </row>
    <row r="224" spans="1:28">
      <c r="A224" s="1696"/>
      <c r="B224" s="737"/>
      <c r="C224" s="737"/>
      <c r="D224" s="738"/>
      <c r="E224" s="737"/>
      <c r="F224" s="738"/>
      <c r="G224" s="737"/>
      <c r="H224" s="737"/>
      <c r="I224" s="737"/>
      <c r="J224" s="1697"/>
      <c r="K224" s="1361"/>
      <c r="L224" s="655"/>
      <c r="M224" s="655"/>
      <c r="N224" s="655"/>
      <c r="O224" s="655"/>
      <c r="P224" s="670"/>
      <c r="Q224" s="670"/>
      <c r="R224" s="655"/>
      <c r="S224" s="670"/>
      <c r="T224" s="670"/>
      <c r="U224" s="670"/>
      <c r="V224" s="670"/>
      <c r="W224" s="670"/>
      <c r="X224" s="670"/>
      <c r="Y224" s="670"/>
      <c r="Z224" s="670"/>
      <c r="AA224" s="670"/>
      <c r="AB224" s="681"/>
    </row>
    <row r="225" spans="1:28">
      <c r="A225" s="1684"/>
      <c r="B225" s="677"/>
      <c r="C225" s="677"/>
      <c r="D225" s="676"/>
      <c r="E225" s="677"/>
      <c r="F225" s="676"/>
      <c r="G225" s="677"/>
      <c r="H225" s="677"/>
      <c r="I225" s="677"/>
      <c r="J225" s="1572"/>
      <c r="K225" s="1353"/>
      <c r="L225" s="655"/>
      <c r="M225" s="655"/>
      <c r="N225" s="655"/>
      <c r="O225" s="655"/>
      <c r="P225" s="670"/>
      <c r="Q225" s="670"/>
      <c r="R225" s="655"/>
      <c r="S225" s="670"/>
      <c r="T225" s="670"/>
      <c r="U225" s="670"/>
      <c r="V225" s="670"/>
      <c r="W225" s="670"/>
      <c r="X225" s="670"/>
      <c r="Y225" s="670"/>
      <c r="Z225" s="670"/>
      <c r="AA225" s="670"/>
      <c r="AB225" s="681"/>
    </row>
    <row r="226" spans="1:28">
      <c r="A226" s="1590"/>
      <c r="B226" s="703"/>
      <c r="C226" s="703"/>
      <c r="D226" s="704" t="s">
        <v>3484</v>
      </c>
      <c r="E226" s="703"/>
      <c r="F226" s="704" t="s">
        <v>2651</v>
      </c>
      <c r="G226" s="703"/>
      <c r="H226" s="703"/>
      <c r="I226" s="703"/>
      <c r="J226" s="1440" t="s">
        <v>1634</v>
      </c>
      <c r="K226" s="1354"/>
      <c r="L226" s="655"/>
      <c r="M226" s="655"/>
      <c r="N226" s="655"/>
      <c r="O226" s="655"/>
      <c r="P226" s="670"/>
      <c r="Q226" s="670"/>
      <c r="R226" s="655"/>
      <c r="S226" s="670"/>
      <c r="T226" s="670"/>
      <c r="U226" s="670"/>
      <c r="V226" s="670"/>
      <c r="W226" s="670"/>
      <c r="X226" s="670"/>
      <c r="Y226" s="670"/>
      <c r="Z226" s="670"/>
      <c r="AA226" s="670"/>
      <c r="AB226" s="681"/>
    </row>
    <row r="227" spans="1:28">
      <c r="A227" s="1590"/>
      <c r="B227" s="703"/>
      <c r="C227" s="703"/>
      <c r="D227" s="706"/>
      <c r="E227" s="703"/>
      <c r="F227" s="706" t="s">
        <v>2422</v>
      </c>
      <c r="G227" s="703"/>
      <c r="H227" s="703"/>
      <c r="I227" s="703"/>
      <c r="J227" s="1441" t="s">
        <v>2422</v>
      </c>
      <c r="K227" s="1354"/>
      <c r="L227" s="655"/>
      <c r="M227" s="655"/>
      <c r="N227" s="655"/>
      <c r="O227" s="655"/>
      <c r="P227" s="670"/>
      <c r="Q227" s="670"/>
      <c r="R227" s="655"/>
      <c r="S227" s="670"/>
      <c r="T227" s="670"/>
      <c r="U227" s="670"/>
      <c r="V227" s="670"/>
      <c r="W227" s="670"/>
      <c r="X227" s="670"/>
      <c r="Y227" s="670"/>
      <c r="Z227" s="670"/>
      <c r="AA227" s="670"/>
      <c r="AB227" s="681"/>
    </row>
    <row r="228" spans="1:28" ht="15">
      <c r="A228" s="1679" t="s">
        <v>726</v>
      </c>
      <c r="B228" s="740" t="s">
        <v>2469</v>
      </c>
      <c r="C228" s="740"/>
      <c r="D228" s="741"/>
      <c r="E228" s="682"/>
      <c r="F228" s="683"/>
      <c r="G228" s="682"/>
      <c r="H228" s="682"/>
      <c r="I228" s="682"/>
      <c r="J228" s="1446"/>
      <c r="K228" s="1356"/>
      <c r="L228" s="685"/>
      <c r="M228" s="655"/>
      <c r="N228" s="655"/>
      <c r="O228" s="655"/>
      <c r="P228" s="670"/>
      <c r="Q228" s="670"/>
      <c r="R228" s="655"/>
      <c r="S228" s="670"/>
      <c r="T228" s="670"/>
      <c r="U228" s="670"/>
      <c r="V228" s="670"/>
      <c r="W228" s="670"/>
      <c r="X228" s="670"/>
      <c r="Y228" s="670"/>
      <c r="Z228" s="670"/>
      <c r="AA228" s="670"/>
      <c r="AB228" s="681"/>
    </row>
    <row r="229" spans="1:28" ht="14.25">
      <c r="A229" s="1590"/>
      <c r="B229" s="1345" t="s">
        <v>2026</v>
      </c>
      <c r="C229" s="1345"/>
      <c r="D229" s="742"/>
      <c r="E229" s="670"/>
      <c r="F229" s="655">
        <v>0</v>
      </c>
      <c r="G229" s="670"/>
      <c r="H229" s="670"/>
      <c r="I229" s="670"/>
      <c r="J229" s="1439">
        <v>0</v>
      </c>
      <c r="K229" s="1355"/>
      <c r="L229" s="655"/>
      <c r="M229" s="655"/>
      <c r="N229" s="655"/>
      <c r="O229" s="655"/>
      <c r="P229" s="670"/>
      <c r="Q229" s="670"/>
      <c r="R229" s="655"/>
      <c r="S229" s="670"/>
      <c r="T229" s="670"/>
      <c r="U229" s="670"/>
      <c r="V229" s="670"/>
      <c r="W229" s="670"/>
      <c r="X229" s="670"/>
      <c r="Y229" s="670"/>
      <c r="Z229" s="670"/>
      <c r="AA229" s="670"/>
      <c r="AB229" s="681"/>
    </row>
    <row r="230" spans="1:28" ht="14.25">
      <c r="A230" s="1590"/>
      <c r="B230" s="1345" t="s">
        <v>2027</v>
      </c>
      <c r="C230" s="1345"/>
      <c r="D230" s="742"/>
      <c r="E230" s="670"/>
      <c r="F230" s="655">
        <v>0</v>
      </c>
      <c r="G230" s="670"/>
      <c r="H230" s="670"/>
      <c r="I230" s="670"/>
      <c r="J230" s="1439">
        <v>0</v>
      </c>
      <c r="K230" s="1355"/>
      <c r="L230" s="655"/>
      <c r="M230" s="655"/>
      <c r="N230" s="655"/>
      <c r="O230" s="655"/>
      <c r="P230" s="670"/>
      <c r="Q230" s="670"/>
      <c r="R230" s="655"/>
      <c r="S230" s="670"/>
      <c r="T230" s="670"/>
      <c r="U230" s="670"/>
      <c r="V230" s="670"/>
      <c r="W230" s="670"/>
      <c r="X230" s="670"/>
      <c r="Y230" s="670"/>
      <c r="Z230" s="670"/>
      <c r="AA230" s="670"/>
      <c r="AB230" s="681"/>
    </row>
    <row r="231" spans="1:28" ht="14.25">
      <c r="A231" s="1590"/>
      <c r="B231" s="1345" t="s">
        <v>2028</v>
      </c>
      <c r="C231" s="1345"/>
      <c r="D231" s="742">
        <v>237738.64</v>
      </c>
      <c r="E231" s="670"/>
      <c r="F231" s="655">
        <v>0</v>
      </c>
      <c r="G231" s="670"/>
      <c r="H231" s="670"/>
      <c r="I231" s="670"/>
      <c r="J231" s="1439">
        <v>0</v>
      </c>
      <c r="K231" s="1355"/>
      <c r="L231" s="655"/>
      <c r="M231" s="655"/>
      <c r="N231" s="655"/>
      <c r="O231" s="655"/>
      <c r="P231" s="670"/>
      <c r="Q231" s="670"/>
      <c r="R231" s="655"/>
      <c r="S231" s="670"/>
      <c r="T231" s="670"/>
      <c r="U231" s="670"/>
      <c r="V231" s="670"/>
      <c r="W231" s="670"/>
      <c r="X231" s="670"/>
      <c r="Y231" s="670"/>
      <c r="Z231" s="670"/>
      <c r="AA231" s="670"/>
      <c r="AB231" s="681"/>
    </row>
    <row r="232" spans="1:28" ht="14.25">
      <c r="A232" s="1590"/>
      <c r="B232" s="1345" t="s">
        <v>2029</v>
      </c>
      <c r="C232" s="1345"/>
      <c r="D232" s="742">
        <f>'WORK PAPER APP0910 E (1)'!E297-237739</f>
        <v>2074878.4900000002</v>
      </c>
      <c r="E232" s="670"/>
      <c r="F232" s="655">
        <f>'TRAIL BALANCE'!G47+'TRAIL BALANCE'!G488+'TRAIL BALANCE'!G571+'TRAIL BALANCE'!G599+'TRAIL BALANCE'!G653+'TRAIL BALANCE'!G788</f>
        <v>1673173.9500000002</v>
      </c>
      <c r="G232" s="670"/>
      <c r="H232" s="670"/>
      <c r="I232" s="670"/>
      <c r="J232" s="1439">
        <f>'TRAIL BALANCE'!E47+'TRAIL BALANCE'!E488+'TRAIL BALANCE'!E571+'TRAIL BALANCE'!E599+'TRAIL BALANCE'!E653+'TRAIL BALANCE'!E788</f>
        <v>1186125.32</v>
      </c>
      <c r="K232" s="1355"/>
      <c r="L232" s="735" t="s">
        <v>45</v>
      </c>
      <c r="M232" s="655"/>
      <c r="N232" s="655"/>
      <c r="O232" s="655"/>
      <c r="P232" s="670"/>
      <c r="Q232" s="670"/>
      <c r="R232" s="655"/>
      <c r="S232" s="670"/>
      <c r="T232" s="670"/>
      <c r="U232" s="670"/>
      <c r="V232" s="670"/>
      <c r="W232" s="670"/>
      <c r="X232" s="670"/>
      <c r="Y232" s="670"/>
      <c r="Z232" s="670"/>
      <c r="AA232" s="670"/>
      <c r="AB232" s="681"/>
    </row>
    <row r="233" spans="1:28" ht="15.75" thickBot="1">
      <c r="A233" s="1590"/>
      <c r="B233" s="740" t="s">
        <v>1740</v>
      </c>
      <c r="C233" s="740"/>
      <c r="D233" s="710">
        <f>SUM(D229:D232)</f>
        <v>2312617.1300000004</v>
      </c>
      <c r="E233" s="670"/>
      <c r="F233" s="710">
        <f>SUM(F229:F232)</f>
        <v>1673173.9500000002</v>
      </c>
      <c r="G233" s="670"/>
      <c r="H233" s="670"/>
      <c r="I233" s="670"/>
      <c r="J233" s="1685">
        <f>SUM(J229:J232)</f>
        <v>1186125.32</v>
      </c>
      <c r="K233" s="1355"/>
      <c r="L233" s="655"/>
      <c r="M233" s="655"/>
      <c r="N233" s="655"/>
      <c r="O233" s="655"/>
      <c r="P233" s="670"/>
      <c r="Q233" s="670"/>
      <c r="R233" s="655"/>
      <c r="S233" s="670"/>
      <c r="T233" s="670"/>
      <c r="U233" s="670"/>
      <c r="V233" s="670"/>
      <c r="W233" s="670"/>
      <c r="X233" s="670"/>
      <c r="Y233" s="670"/>
      <c r="Z233" s="670"/>
      <c r="AA233" s="670"/>
      <c r="AB233" s="681"/>
    </row>
    <row r="234" spans="1:28" ht="13.5" thickTop="1">
      <c r="A234" s="1590"/>
      <c r="B234" s="670"/>
      <c r="C234" s="670"/>
      <c r="D234" s="655"/>
      <c r="E234" s="670"/>
      <c r="F234" s="655"/>
      <c r="G234" s="670"/>
      <c r="H234" s="670"/>
      <c r="I234" s="670"/>
      <c r="J234" s="1439"/>
      <c r="K234" s="1355"/>
      <c r="L234" s="655"/>
      <c r="M234" s="655"/>
      <c r="N234" s="655"/>
      <c r="O234" s="655"/>
      <c r="P234" s="670"/>
      <c r="Q234" s="670"/>
      <c r="R234" s="655"/>
      <c r="S234" s="670"/>
      <c r="T234" s="670"/>
      <c r="U234" s="670"/>
      <c r="V234" s="670"/>
      <c r="W234" s="670"/>
      <c r="X234" s="670"/>
      <c r="Y234" s="670"/>
      <c r="Z234" s="670"/>
      <c r="AA234" s="670"/>
      <c r="AB234" s="681"/>
    </row>
    <row r="235" spans="1:28">
      <c r="A235" s="1596"/>
      <c r="B235" s="699"/>
      <c r="C235" s="699"/>
      <c r="D235" s="700"/>
      <c r="E235" s="699"/>
      <c r="F235" s="700"/>
      <c r="G235" s="699"/>
      <c r="H235" s="699"/>
      <c r="I235" s="699"/>
      <c r="J235" s="1570"/>
      <c r="K235" s="1352"/>
      <c r="L235" s="655"/>
      <c r="M235" s="655"/>
      <c r="N235" s="655"/>
      <c r="O235" s="655"/>
      <c r="P235" s="670"/>
      <c r="Q235" s="670"/>
      <c r="R235" s="655"/>
      <c r="S235" s="670"/>
      <c r="T235" s="670"/>
      <c r="U235" s="670"/>
      <c r="V235" s="670"/>
      <c r="W235" s="670"/>
      <c r="X235" s="670"/>
      <c r="Y235" s="670"/>
      <c r="Z235" s="670"/>
      <c r="AA235" s="670"/>
      <c r="AB235" s="681"/>
    </row>
    <row r="236" spans="1:28" ht="15">
      <c r="A236" s="1681" t="s">
        <v>727</v>
      </c>
      <c r="B236" s="743" t="s">
        <v>2030</v>
      </c>
      <c r="C236" s="743"/>
      <c r="D236" s="744"/>
      <c r="E236" s="677"/>
      <c r="F236" s="676"/>
      <c r="G236" s="677"/>
      <c r="H236" s="677"/>
      <c r="I236" s="677"/>
      <c r="J236" s="1572"/>
      <c r="K236" s="1353"/>
      <c r="L236" s="655"/>
      <c r="M236" s="655"/>
      <c r="N236" s="655"/>
      <c r="O236" s="655"/>
      <c r="P236" s="670"/>
      <c r="Q236" s="670"/>
      <c r="R236" s="655"/>
      <c r="S236" s="670"/>
      <c r="T236" s="670"/>
      <c r="U236" s="670"/>
      <c r="V236" s="670"/>
      <c r="W236" s="670"/>
      <c r="X236" s="670"/>
      <c r="Y236" s="670"/>
      <c r="Z236" s="670"/>
      <c r="AA236" s="670"/>
      <c r="AB236" s="681"/>
    </row>
    <row r="237" spans="1:28" ht="14.25">
      <c r="A237" s="1590"/>
      <c r="B237" s="1345" t="s">
        <v>1114</v>
      </c>
      <c r="C237" s="1345"/>
      <c r="D237" s="713">
        <f>'TRAIL BALANCE'!S655</f>
        <v>28933065.280000001</v>
      </c>
      <c r="E237" s="670"/>
      <c r="F237" s="655">
        <f>'TRAIL BALANCE'!G655</f>
        <v>16578331.51</v>
      </c>
      <c r="G237" s="670"/>
      <c r="H237" s="670"/>
      <c r="I237" s="670"/>
      <c r="J237" s="1439">
        <f>'TRAIL BALANCE'!E655</f>
        <v>12752281.619999999</v>
      </c>
      <c r="K237" s="1355"/>
      <c r="L237" s="735" t="s">
        <v>45</v>
      </c>
      <c r="M237" s="655"/>
      <c r="N237" s="655"/>
      <c r="O237" s="655"/>
      <c r="P237" s="670"/>
      <c r="Q237" s="670"/>
      <c r="R237" s="655"/>
      <c r="S237" s="670"/>
      <c r="T237" s="670"/>
      <c r="U237" s="670"/>
      <c r="V237" s="670"/>
      <c r="W237" s="670"/>
      <c r="X237" s="670"/>
      <c r="Y237" s="670"/>
      <c r="Z237" s="670"/>
      <c r="AA237" s="670"/>
      <c r="AB237" s="681"/>
    </row>
    <row r="238" spans="1:28" ht="14.25">
      <c r="A238" s="1590"/>
      <c r="B238" s="1345" t="s">
        <v>1117</v>
      </c>
      <c r="C238" s="1345"/>
      <c r="D238" s="742"/>
      <c r="E238" s="670"/>
      <c r="F238" s="655"/>
      <c r="G238" s="670"/>
      <c r="H238" s="670"/>
      <c r="I238" s="670"/>
      <c r="J238" s="1439"/>
      <c r="K238" s="1355"/>
      <c r="L238" s="685"/>
      <c r="M238" s="655"/>
      <c r="N238" s="655"/>
      <c r="O238" s="655"/>
      <c r="P238" s="670"/>
      <c r="Q238" s="670"/>
      <c r="R238" s="655"/>
      <c r="S238" s="670"/>
      <c r="T238" s="670"/>
      <c r="U238" s="670"/>
      <c r="V238" s="670"/>
      <c r="W238" s="670"/>
      <c r="X238" s="670"/>
      <c r="Y238" s="670"/>
      <c r="Z238" s="670"/>
      <c r="AA238" s="670"/>
      <c r="AB238" s="681"/>
    </row>
    <row r="239" spans="1:28" ht="15.75" thickBot="1">
      <c r="A239" s="1590"/>
      <c r="B239" s="740" t="s">
        <v>1740</v>
      </c>
      <c r="C239" s="740"/>
      <c r="D239" s="710">
        <f>SUM(D237:D238)</f>
        <v>28933065.280000001</v>
      </c>
      <c r="E239" s="670"/>
      <c r="F239" s="710">
        <f>SUM(F237:F238)</f>
        <v>16578331.51</v>
      </c>
      <c r="G239" s="670"/>
      <c r="H239" s="670"/>
      <c r="I239" s="670"/>
      <c r="J239" s="1685">
        <f>SUM(J237:J238)</f>
        <v>12752281.619999999</v>
      </c>
      <c r="K239" s="1355"/>
      <c r="L239" s="655"/>
      <c r="M239" s="655"/>
      <c r="N239" s="655"/>
      <c r="O239" s="655"/>
      <c r="P239" s="670"/>
      <c r="Q239" s="670"/>
      <c r="R239" s="655"/>
      <c r="S239" s="670"/>
      <c r="T239" s="670"/>
      <c r="U239" s="670"/>
      <c r="V239" s="670"/>
      <c r="W239" s="670"/>
      <c r="X239" s="670"/>
      <c r="Y239" s="670"/>
      <c r="Z239" s="670"/>
      <c r="AA239" s="670"/>
      <c r="AB239" s="681"/>
    </row>
    <row r="240" spans="1:28" ht="13.5" thickTop="1">
      <c r="A240" s="1590"/>
      <c r="B240" s="745"/>
      <c r="C240" s="745"/>
      <c r="D240" s="746"/>
      <c r="E240" s="670"/>
      <c r="F240" s="655"/>
      <c r="G240" s="670"/>
      <c r="H240" s="670"/>
      <c r="I240" s="670"/>
      <c r="J240" s="1439"/>
      <c r="K240" s="1355"/>
      <c r="L240" s="655"/>
      <c r="M240" s="655"/>
      <c r="N240" s="655"/>
      <c r="O240" s="655"/>
      <c r="P240" s="670"/>
      <c r="Q240" s="670"/>
      <c r="R240" s="655"/>
      <c r="S240" s="670"/>
      <c r="T240" s="670"/>
      <c r="U240" s="670"/>
      <c r="V240" s="670"/>
      <c r="W240" s="670"/>
      <c r="X240" s="670"/>
      <c r="Y240" s="670"/>
      <c r="Z240" s="670"/>
      <c r="AA240" s="670"/>
      <c r="AB240" s="681"/>
    </row>
    <row r="241" spans="1:28" ht="14.25">
      <c r="A241" s="1590"/>
      <c r="B241" s="1345" t="s">
        <v>2031</v>
      </c>
      <c r="C241" s="1345"/>
      <c r="D241" s="747">
        <v>3.7006999999999998E-2</v>
      </c>
      <c r="E241" s="670"/>
      <c r="F241" s="747">
        <v>2.9458000000000002E-2</v>
      </c>
      <c r="G241" s="670"/>
      <c r="H241" s="670"/>
      <c r="I241" s="670"/>
      <c r="J241" s="1698">
        <v>2.1426000000000001E-2</v>
      </c>
      <c r="K241" s="1355"/>
      <c r="L241" s="655"/>
      <c r="M241" s="655"/>
      <c r="N241" s="655"/>
      <c r="O241" s="655"/>
      <c r="P241" s="670"/>
      <c r="Q241" s="670"/>
      <c r="R241" s="655"/>
      <c r="S241" s="670"/>
      <c r="T241" s="670"/>
      <c r="U241" s="670"/>
      <c r="V241" s="670"/>
      <c r="W241" s="670"/>
      <c r="X241" s="670"/>
      <c r="Y241" s="670"/>
      <c r="Z241" s="670"/>
      <c r="AA241" s="670"/>
      <c r="AB241" s="681"/>
    </row>
    <row r="242" spans="1:28">
      <c r="A242" s="1596"/>
      <c r="B242" s="699"/>
      <c r="C242" s="699"/>
      <c r="D242" s="700"/>
      <c r="E242" s="699"/>
      <c r="F242" s="700"/>
      <c r="G242" s="699"/>
      <c r="H242" s="699"/>
      <c r="I242" s="699"/>
      <c r="J242" s="1570"/>
      <c r="K242" s="1352"/>
      <c r="L242" s="655"/>
      <c r="M242" s="655"/>
      <c r="N242" s="655"/>
      <c r="O242" s="655"/>
      <c r="P242" s="670"/>
      <c r="Q242" s="670"/>
      <c r="R242" s="655"/>
      <c r="S242" s="670"/>
      <c r="T242" s="670"/>
      <c r="U242" s="670"/>
      <c r="V242" s="670"/>
      <c r="W242" s="670"/>
      <c r="X242" s="670"/>
      <c r="Y242" s="670"/>
      <c r="Z242" s="670"/>
      <c r="AA242" s="670"/>
      <c r="AB242" s="681"/>
    </row>
    <row r="243" spans="1:28">
      <c r="A243" s="1684"/>
      <c r="B243" s="677"/>
      <c r="C243" s="677"/>
      <c r="D243" s="676"/>
      <c r="E243" s="677"/>
      <c r="F243" s="676"/>
      <c r="G243" s="677"/>
      <c r="H243" s="677"/>
      <c r="I243" s="677"/>
      <c r="J243" s="1572"/>
      <c r="K243" s="1353"/>
      <c r="L243" s="655"/>
      <c r="M243" s="655"/>
      <c r="N243" s="655"/>
      <c r="O243" s="655"/>
      <c r="P243" s="670"/>
      <c r="Q243" s="670"/>
      <c r="R243" s="655"/>
      <c r="S243" s="670"/>
      <c r="T243" s="670"/>
      <c r="U243" s="670"/>
      <c r="V243" s="670"/>
      <c r="W243" s="670"/>
      <c r="X243" s="670"/>
      <c r="Y243" s="670"/>
      <c r="Z243" s="670"/>
      <c r="AA243" s="670"/>
      <c r="AB243" s="681"/>
    </row>
    <row r="244" spans="1:28">
      <c r="A244" s="1590"/>
      <c r="B244" s="703"/>
      <c r="C244" s="703"/>
      <c r="D244" s="704" t="s">
        <v>3484</v>
      </c>
      <c r="E244" s="703"/>
      <c r="F244" s="704" t="s">
        <v>2651</v>
      </c>
      <c r="G244" s="703"/>
      <c r="H244" s="703"/>
      <c r="I244" s="703"/>
      <c r="J244" s="1440" t="s">
        <v>1634</v>
      </c>
      <c r="K244" s="1354"/>
      <c r="L244" s="655"/>
      <c r="M244" s="655"/>
      <c r="N244" s="655"/>
      <c r="O244" s="655"/>
      <c r="P244" s="670"/>
      <c r="Q244" s="670"/>
      <c r="R244" s="655"/>
      <c r="S244" s="670"/>
      <c r="T244" s="670"/>
      <c r="U244" s="670"/>
      <c r="V244" s="670"/>
      <c r="W244" s="670"/>
      <c r="X244" s="670"/>
      <c r="Y244" s="670"/>
      <c r="Z244" s="670"/>
      <c r="AA244" s="670"/>
      <c r="AB244" s="681"/>
    </row>
    <row r="245" spans="1:28">
      <c r="A245" s="1590"/>
      <c r="B245" s="703"/>
      <c r="C245" s="703"/>
      <c r="D245" s="706"/>
      <c r="E245" s="703"/>
      <c r="F245" s="706" t="s">
        <v>2422</v>
      </c>
      <c r="G245" s="703"/>
      <c r="H245" s="703"/>
      <c r="I245" s="703"/>
      <c r="J245" s="1441" t="s">
        <v>2422</v>
      </c>
      <c r="K245" s="1354"/>
      <c r="L245" s="655"/>
      <c r="M245" s="655"/>
      <c r="N245" s="655"/>
      <c r="O245" s="655"/>
      <c r="P245" s="670"/>
      <c r="Q245" s="670"/>
      <c r="R245" s="655"/>
      <c r="S245" s="670"/>
      <c r="T245" s="670"/>
      <c r="U245" s="670"/>
      <c r="V245" s="670"/>
      <c r="W245" s="670"/>
      <c r="X245" s="670"/>
      <c r="Y245" s="670"/>
      <c r="Z245" s="670"/>
      <c r="AA245" s="670"/>
      <c r="AB245" s="681"/>
    </row>
    <row r="246" spans="1:28" ht="13.5">
      <c r="A246" s="1679" t="s">
        <v>728</v>
      </c>
      <c r="B246" s="709" t="s">
        <v>2032</v>
      </c>
      <c r="C246" s="709"/>
      <c r="D246" s="711"/>
      <c r="E246" s="748"/>
      <c r="F246" s="683"/>
      <c r="G246" s="682"/>
      <c r="H246" s="682"/>
      <c r="I246" s="682"/>
      <c r="J246" s="1446"/>
      <c r="K246" s="1356"/>
      <c r="L246" s="655"/>
      <c r="M246" s="655"/>
      <c r="N246" s="655"/>
      <c r="O246" s="655"/>
      <c r="P246" s="670"/>
      <c r="Q246" s="670"/>
      <c r="R246" s="655"/>
      <c r="S246" s="670"/>
      <c r="T246" s="670"/>
      <c r="U246" s="670"/>
      <c r="V246" s="670"/>
      <c r="W246" s="670"/>
      <c r="X246" s="670"/>
      <c r="Y246" s="670"/>
      <c r="Z246" s="670"/>
      <c r="AA246" s="670"/>
      <c r="AB246" s="681"/>
    </row>
    <row r="247" spans="1:28" ht="13.5">
      <c r="A247" s="1590"/>
      <c r="B247" s="708" t="s">
        <v>451</v>
      </c>
      <c r="C247" s="708"/>
      <c r="D247" s="713"/>
      <c r="E247" s="748"/>
      <c r="F247" s="655">
        <v>0</v>
      </c>
      <c r="G247" s="670"/>
      <c r="H247" s="670"/>
      <c r="I247" s="670"/>
      <c r="J247" s="1439">
        <v>54022</v>
      </c>
      <c r="K247" s="1355"/>
      <c r="L247" s="695" t="s">
        <v>45</v>
      </c>
      <c r="M247" s="655"/>
      <c r="N247" s="655"/>
      <c r="O247" s="655"/>
      <c r="P247" s="670"/>
      <c r="Q247" s="670"/>
      <c r="R247" s="655"/>
      <c r="S247" s="670"/>
      <c r="T247" s="670"/>
      <c r="U247" s="670"/>
      <c r="V247" s="670"/>
      <c r="W247" s="670"/>
      <c r="X247" s="670"/>
      <c r="Y247" s="670"/>
      <c r="Z247" s="670"/>
      <c r="AA247" s="670"/>
      <c r="AB247" s="681"/>
    </row>
    <row r="248" spans="1:28" ht="13.5">
      <c r="A248" s="1590"/>
      <c r="B248" s="708" t="s">
        <v>27</v>
      </c>
      <c r="C248" s="708"/>
      <c r="D248" s="713">
        <f>'WORK PAPER APP0910 E (1)'!E310</f>
        <v>2750000</v>
      </c>
      <c r="E248" s="748"/>
      <c r="F248" s="655">
        <f>'TRAIL BALANCE'!G318</f>
        <v>1249846.3500000001</v>
      </c>
      <c r="G248" s="670"/>
      <c r="H248" s="670"/>
      <c r="I248" s="670"/>
      <c r="J248" s="1439">
        <v>0</v>
      </c>
      <c r="K248" s="1355"/>
      <c r="L248" s="695"/>
      <c r="M248" s="655"/>
      <c r="N248" s="655"/>
      <c r="O248" s="655"/>
      <c r="P248" s="670"/>
      <c r="Q248" s="670"/>
      <c r="R248" s="655"/>
      <c r="S248" s="670"/>
      <c r="T248" s="670"/>
      <c r="U248" s="670"/>
      <c r="V248" s="670"/>
      <c r="W248" s="670"/>
      <c r="X248" s="670"/>
      <c r="Y248" s="670"/>
      <c r="Z248" s="670"/>
      <c r="AA248" s="670"/>
      <c r="AB248" s="681"/>
    </row>
    <row r="249" spans="1:28" ht="13.5">
      <c r="A249" s="1590"/>
      <c r="B249" s="708" t="s">
        <v>28</v>
      </c>
      <c r="C249" s="708"/>
      <c r="D249" s="713">
        <f>'WORK PAPER APP0910 E (1)'!E311</f>
        <v>735000</v>
      </c>
      <c r="E249" s="748"/>
      <c r="F249" s="655">
        <f>'TRAIL BALANCE'!G370</f>
        <v>735000</v>
      </c>
      <c r="G249" s="670"/>
      <c r="H249" s="670"/>
      <c r="I249" s="670"/>
      <c r="J249" s="1439">
        <v>0</v>
      </c>
      <c r="K249" s="1355"/>
      <c r="L249" s="695"/>
      <c r="M249" s="655"/>
      <c r="N249" s="655"/>
      <c r="O249" s="655"/>
      <c r="P249" s="670"/>
      <c r="Q249" s="670"/>
      <c r="R249" s="655"/>
      <c r="S249" s="670"/>
      <c r="T249" s="670"/>
      <c r="U249" s="670"/>
      <c r="V249" s="670"/>
      <c r="W249" s="670"/>
      <c r="X249" s="670"/>
      <c r="Y249" s="670"/>
      <c r="Z249" s="670"/>
      <c r="AA249" s="670"/>
      <c r="AB249" s="681"/>
    </row>
    <row r="250" spans="1:28" ht="13.5">
      <c r="A250" s="1590"/>
      <c r="B250" s="708"/>
      <c r="C250" s="708"/>
      <c r="D250" s="713"/>
      <c r="E250" s="748"/>
      <c r="F250" s="655"/>
      <c r="G250" s="670"/>
      <c r="H250" s="670"/>
      <c r="I250" s="670"/>
      <c r="J250" s="1439"/>
      <c r="K250" s="1355"/>
      <c r="L250" s="655"/>
      <c r="M250" s="655"/>
      <c r="N250" s="655"/>
      <c r="O250" s="655"/>
      <c r="P250" s="670"/>
      <c r="Q250" s="670"/>
      <c r="R250" s="655"/>
      <c r="S250" s="670"/>
      <c r="T250" s="670"/>
      <c r="U250" s="670"/>
      <c r="V250" s="670"/>
      <c r="W250" s="670"/>
      <c r="X250" s="670"/>
      <c r="Y250" s="670"/>
      <c r="Z250" s="670"/>
      <c r="AA250" s="670"/>
      <c r="AB250" s="681"/>
    </row>
    <row r="251" spans="1:28" ht="13.5">
      <c r="A251" s="1590"/>
      <c r="B251" s="708"/>
      <c r="C251" s="708"/>
      <c r="D251" s="683"/>
      <c r="E251" s="748"/>
      <c r="F251" s="655"/>
      <c r="G251" s="670"/>
      <c r="H251" s="670"/>
      <c r="I251" s="670"/>
      <c r="J251" s="1439"/>
      <c r="K251" s="1355"/>
      <c r="L251" s="655"/>
      <c r="M251" s="655"/>
      <c r="N251" s="655"/>
      <c r="O251" s="655"/>
      <c r="P251" s="670"/>
      <c r="Q251" s="670"/>
      <c r="R251" s="655"/>
      <c r="S251" s="670"/>
      <c r="T251" s="670"/>
      <c r="U251" s="670"/>
      <c r="V251" s="670"/>
      <c r="W251" s="670"/>
      <c r="X251" s="670"/>
      <c r="Y251" s="670"/>
      <c r="Z251" s="670"/>
      <c r="AA251" s="670"/>
      <c r="AB251" s="681"/>
    </row>
    <row r="252" spans="1:28" ht="14.25" thickBot="1">
      <c r="A252" s="1590"/>
      <c r="B252" s="709" t="s">
        <v>1740</v>
      </c>
      <c r="C252" s="709"/>
      <c r="D252" s="710">
        <f>SUM(D247:D251)</f>
        <v>3485000</v>
      </c>
      <c r="E252" s="748"/>
      <c r="F252" s="710">
        <f>SUM(F247:F251)</f>
        <v>1984846.35</v>
      </c>
      <c r="G252" s="670"/>
      <c r="H252" s="670"/>
      <c r="I252" s="670"/>
      <c r="J252" s="1685">
        <f>SUM(J247:J251)</f>
        <v>54022</v>
      </c>
      <c r="K252" s="1355"/>
      <c r="L252" s="655"/>
      <c r="M252" s="655"/>
      <c r="N252" s="655"/>
      <c r="O252" s="655"/>
      <c r="P252" s="670"/>
      <c r="Q252" s="670"/>
      <c r="R252" s="655"/>
      <c r="S252" s="670"/>
      <c r="T252" s="670"/>
      <c r="U252" s="670"/>
      <c r="V252" s="670"/>
      <c r="W252" s="670"/>
      <c r="X252" s="670"/>
      <c r="Y252" s="670"/>
      <c r="Z252" s="670"/>
      <c r="AA252" s="670"/>
      <c r="AB252" s="681"/>
    </row>
    <row r="253" spans="1:28" ht="13.5" thickTop="1">
      <c r="A253" s="1590"/>
      <c r="B253" s="670"/>
      <c r="C253" s="670"/>
      <c r="D253" s="655"/>
      <c r="E253" s="670"/>
      <c r="F253" s="655"/>
      <c r="G253" s="670"/>
      <c r="H253" s="670"/>
      <c r="I253" s="670"/>
      <c r="J253" s="1439"/>
      <c r="K253" s="1355"/>
      <c r="L253" s="655"/>
      <c r="M253" s="655"/>
      <c r="N253" s="655"/>
      <c r="O253" s="655"/>
      <c r="P253" s="670"/>
      <c r="Q253" s="670"/>
      <c r="R253" s="655"/>
      <c r="S253" s="670"/>
      <c r="T253" s="670"/>
      <c r="U253" s="670"/>
      <c r="V253" s="670"/>
      <c r="W253" s="670"/>
      <c r="X253" s="670"/>
      <c r="Y253" s="670"/>
      <c r="Z253" s="670"/>
      <c r="AA253" s="670"/>
      <c r="AB253" s="681"/>
    </row>
    <row r="254" spans="1:28">
      <c r="A254" s="1590"/>
      <c r="B254" s="615" t="s">
        <v>2033</v>
      </c>
      <c r="C254" s="615"/>
      <c r="D254" s="719"/>
      <c r="E254" s="670"/>
      <c r="F254" s="655"/>
      <c r="G254" s="670"/>
      <c r="H254" s="670"/>
      <c r="I254" s="670"/>
      <c r="J254" s="1439"/>
      <c r="K254" s="1355"/>
      <c r="L254" s="655"/>
      <c r="M254" s="655"/>
      <c r="N254" s="655"/>
      <c r="O254" s="655"/>
      <c r="P254" s="670"/>
      <c r="Q254" s="670"/>
      <c r="R254" s="655"/>
      <c r="S254" s="670"/>
      <c r="T254" s="670"/>
      <c r="U254" s="670"/>
      <c r="V254" s="670"/>
      <c r="W254" s="670"/>
      <c r="X254" s="670"/>
      <c r="Y254" s="670"/>
      <c r="Z254" s="670"/>
      <c r="AA254" s="670"/>
      <c r="AB254" s="681"/>
    </row>
    <row r="255" spans="1:28">
      <c r="A255" s="1596"/>
      <c r="B255" s="699"/>
      <c r="C255" s="699"/>
      <c r="D255" s="700"/>
      <c r="E255" s="699"/>
      <c r="F255" s="700"/>
      <c r="G255" s="699"/>
      <c r="H255" s="699"/>
      <c r="I255" s="699"/>
      <c r="J255" s="1570"/>
      <c r="K255" s="1352"/>
      <c r="L255" s="655"/>
      <c r="M255" s="655"/>
      <c r="N255" s="655"/>
      <c r="O255" s="655"/>
      <c r="P255" s="670"/>
      <c r="Q255" s="670"/>
      <c r="R255" s="655"/>
      <c r="S255" s="670"/>
      <c r="T255" s="670"/>
      <c r="U255" s="670"/>
      <c r="V255" s="670"/>
      <c r="W255" s="670"/>
      <c r="X255" s="670"/>
      <c r="Y255" s="670"/>
      <c r="Z255" s="670"/>
      <c r="AA255" s="670"/>
      <c r="AB255" s="681"/>
    </row>
    <row r="256" spans="1:28">
      <c r="A256" s="1684"/>
      <c r="B256" s="677"/>
      <c r="C256" s="677"/>
      <c r="D256" s="676"/>
      <c r="E256" s="677"/>
      <c r="F256" s="676"/>
      <c r="G256" s="677"/>
      <c r="H256" s="677"/>
      <c r="I256" s="677"/>
      <c r="J256" s="1572"/>
      <c r="K256" s="1353"/>
      <c r="L256" s="655"/>
      <c r="M256" s="655"/>
      <c r="N256" s="655"/>
      <c r="O256" s="655"/>
      <c r="P256" s="670"/>
      <c r="Q256" s="670"/>
      <c r="R256" s="655"/>
      <c r="S256" s="670"/>
      <c r="T256" s="670"/>
      <c r="U256" s="670"/>
      <c r="V256" s="670"/>
      <c r="W256" s="670"/>
      <c r="X256" s="670"/>
      <c r="Y256" s="670"/>
      <c r="Z256" s="670"/>
      <c r="AA256" s="670"/>
      <c r="AB256" s="681"/>
    </row>
    <row r="257" spans="1:28">
      <c r="A257" s="1590"/>
      <c r="B257" s="703"/>
      <c r="C257" s="703"/>
      <c r="D257" s="704" t="s">
        <v>3484</v>
      </c>
      <c r="E257" s="703"/>
      <c r="F257" s="704" t="s">
        <v>2651</v>
      </c>
      <c r="G257" s="703"/>
      <c r="H257" s="703"/>
      <c r="I257" s="703"/>
      <c r="J257" s="1440" t="s">
        <v>1634</v>
      </c>
      <c r="K257" s="1354"/>
      <c r="L257" s="655"/>
      <c r="M257" s="655"/>
      <c r="N257" s="655"/>
      <c r="O257" s="655"/>
      <c r="P257" s="670"/>
      <c r="Q257" s="670"/>
      <c r="R257" s="655"/>
      <c r="S257" s="670"/>
      <c r="T257" s="670"/>
      <c r="U257" s="670"/>
      <c r="V257" s="670"/>
      <c r="W257" s="670"/>
      <c r="X257" s="670"/>
      <c r="Y257" s="670"/>
      <c r="Z257" s="670"/>
      <c r="AA257" s="670"/>
      <c r="AB257" s="681"/>
    </row>
    <row r="258" spans="1:28">
      <c r="A258" s="1590"/>
      <c r="B258" s="703"/>
      <c r="C258" s="703"/>
      <c r="D258" s="706"/>
      <c r="E258" s="703"/>
      <c r="F258" s="706"/>
      <c r="G258" s="703"/>
      <c r="H258" s="703"/>
      <c r="I258" s="703"/>
      <c r="J258" s="1441"/>
      <c r="K258" s="1354"/>
      <c r="L258" s="655"/>
      <c r="M258" s="655"/>
      <c r="N258" s="655"/>
      <c r="O258" s="655"/>
      <c r="P258" s="670"/>
      <c r="Q258" s="670"/>
      <c r="R258" s="655"/>
      <c r="S258" s="670"/>
      <c r="T258" s="670"/>
      <c r="U258" s="670"/>
      <c r="V258" s="670"/>
      <c r="W258" s="670"/>
      <c r="X258" s="670"/>
      <c r="Y258" s="670"/>
      <c r="Z258" s="670"/>
      <c r="AA258" s="670"/>
      <c r="AB258" s="681"/>
    </row>
    <row r="259" spans="1:28">
      <c r="A259" s="1679" t="s">
        <v>729</v>
      </c>
      <c r="B259" s="709" t="s">
        <v>2471</v>
      </c>
      <c r="C259" s="709"/>
      <c r="D259" s="711"/>
      <c r="E259" s="708"/>
      <c r="F259" s="683"/>
      <c r="G259" s="682"/>
      <c r="H259" s="682"/>
      <c r="I259" s="682"/>
      <c r="J259" s="1446"/>
      <c r="K259" s="1356"/>
      <c r="L259" s="655"/>
      <c r="M259" s="655"/>
      <c r="N259" s="655"/>
      <c r="O259" s="655"/>
      <c r="P259" s="670"/>
      <c r="Q259" s="670"/>
      <c r="R259" s="655"/>
      <c r="S259" s="670"/>
      <c r="T259" s="670"/>
      <c r="U259" s="670"/>
      <c r="V259" s="670"/>
      <c r="W259" s="670"/>
      <c r="X259" s="670"/>
      <c r="Y259" s="670"/>
      <c r="Z259" s="670"/>
      <c r="AA259" s="670"/>
      <c r="AB259" s="681"/>
    </row>
    <row r="260" spans="1:28">
      <c r="A260" s="1679"/>
      <c r="B260" s="709"/>
      <c r="C260" s="709"/>
      <c r="D260" s="711"/>
      <c r="E260" s="708"/>
      <c r="F260" s="683"/>
      <c r="G260" s="682"/>
      <c r="H260" s="682"/>
      <c r="I260" s="682"/>
      <c r="J260" s="1446"/>
      <c r="K260" s="1356"/>
      <c r="L260" s="655"/>
      <c r="M260" s="655"/>
      <c r="N260" s="655"/>
      <c r="O260" s="655"/>
      <c r="P260" s="670"/>
      <c r="Q260" s="670"/>
      <c r="R260" s="655"/>
      <c r="S260" s="670"/>
      <c r="T260" s="670"/>
      <c r="U260" s="670"/>
      <c r="V260" s="670"/>
      <c r="W260" s="670"/>
      <c r="X260" s="670"/>
      <c r="Y260" s="670"/>
      <c r="Z260" s="670"/>
      <c r="AA260" s="670"/>
      <c r="AB260" s="681"/>
    </row>
    <row r="261" spans="1:28">
      <c r="A261" s="1590"/>
      <c r="B261" s="708" t="s">
        <v>2327</v>
      </c>
      <c r="C261" s="708"/>
      <c r="D261" s="713"/>
      <c r="E261" s="708"/>
      <c r="F261" s="655">
        <v>0</v>
      </c>
      <c r="G261" s="670"/>
      <c r="H261" s="670"/>
      <c r="I261" s="670"/>
      <c r="J261" s="1439">
        <v>70314</v>
      </c>
      <c r="K261" s="1355"/>
      <c r="L261" s="655"/>
      <c r="M261" s="655"/>
      <c r="N261" s="655"/>
      <c r="O261" s="655"/>
      <c r="P261" s="670"/>
      <c r="Q261" s="670"/>
      <c r="R261" s="655"/>
      <c r="S261" s="670"/>
      <c r="T261" s="670"/>
      <c r="U261" s="670"/>
      <c r="V261" s="670"/>
      <c r="W261" s="670"/>
      <c r="X261" s="670"/>
      <c r="Y261" s="670"/>
      <c r="Z261" s="670"/>
      <c r="AA261" s="670"/>
      <c r="AB261" s="681"/>
    </row>
    <row r="262" spans="1:28">
      <c r="A262" s="1590"/>
      <c r="B262" s="708" t="s">
        <v>2138</v>
      </c>
      <c r="C262" s="708"/>
      <c r="D262" s="713"/>
      <c r="E262" s="708"/>
      <c r="F262" s="655">
        <v>0</v>
      </c>
      <c r="G262" s="670"/>
      <c r="H262" s="670"/>
      <c r="I262" s="670"/>
      <c r="J262" s="1439">
        <v>438143</v>
      </c>
      <c r="K262" s="1355"/>
      <c r="L262" s="695" t="s">
        <v>45</v>
      </c>
      <c r="M262" s="655"/>
      <c r="N262" s="655"/>
      <c r="O262" s="655"/>
      <c r="P262" s="670"/>
      <c r="Q262" s="670"/>
      <c r="R262" s="655"/>
      <c r="S262" s="670"/>
      <c r="T262" s="670"/>
      <c r="U262" s="670"/>
      <c r="V262" s="670"/>
      <c r="W262" s="670"/>
      <c r="X262" s="670"/>
      <c r="Y262" s="670"/>
      <c r="Z262" s="670"/>
      <c r="AA262" s="670"/>
      <c r="AB262" s="681"/>
    </row>
    <row r="263" spans="1:28">
      <c r="A263" s="1590"/>
      <c r="B263" s="708" t="s">
        <v>610</v>
      </c>
      <c r="C263" s="708"/>
      <c r="D263" s="713">
        <f>'WORK PAPER APP0910 E (1)'!E331+'WORK PAPER APP0910 E (1)'!E332+'WORK PAPER APP0910 E (1)'!E333+'WORK PAPER APP0910 E (1)'!E334</f>
        <v>199793.91999999998</v>
      </c>
      <c r="E263" s="708"/>
      <c r="F263" s="655">
        <f>'work paper app0809 E(1)'!I403+'work paper app0809 E(1)'!I404+'work paper app0809 E(1)'!I405+'work paper app0809 E(1)'!I408</f>
        <v>190083</v>
      </c>
      <c r="G263" s="670"/>
      <c r="H263" s="670"/>
      <c r="I263" s="670"/>
      <c r="J263" s="1439">
        <f>'gen ext 0708'!E4+'gen ext 0708'!E5+'gen ext 0708'!E6+'gen ext 0708'!E7+'gen ext 0708'!E8</f>
        <v>221829.47</v>
      </c>
      <c r="K263" s="1355"/>
      <c r="L263" s="655"/>
      <c r="M263" s="655"/>
      <c r="N263" s="655"/>
      <c r="O263" s="655"/>
      <c r="P263" s="670"/>
      <c r="Q263" s="670"/>
      <c r="R263" s="655"/>
      <c r="S263" s="670"/>
      <c r="T263" s="670"/>
      <c r="U263" s="670"/>
      <c r="V263" s="670"/>
      <c r="W263" s="670"/>
      <c r="X263" s="670"/>
      <c r="Y263" s="670"/>
      <c r="Z263" s="670"/>
      <c r="AA263" s="670"/>
      <c r="AB263" s="681"/>
    </row>
    <row r="264" spans="1:28">
      <c r="A264" s="1590"/>
      <c r="B264" s="708" t="s">
        <v>3779</v>
      </c>
      <c r="C264" s="708"/>
      <c r="D264" s="713">
        <f>'WORK PAPER APP0910 E (1)'!F335</f>
        <v>1436790</v>
      </c>
      <c r="E264" s="708"/>
      <c r="F264" s="655">
        <f>'work paper app0809 E(1)'!I409</f>
        <v>761353.2</v>
      </c>
      <c r="G264" s="670"/>
      <c r="H264" s="670"/>
      <c r="I264" s="670"/>
      <c r="J264" s="1439"/>
      <c r="K264" s="1355"/>
      <c r="L264" s="655"/>
      <c r="M264" s="655"/>
      <c r="N264" s="655"/>
      <c r="O264" s="655"/>
      <c r="P264" s="670"/>
      <c r="Q264" s="670"/>
      <c r="R264" s="655"/>
      <c r="S264" s="670"/>
      <c r="T264" s="670"/>
      <c r="U264" s="670"/>
      <c r="V264" s="670"/>
      <c r="W264" s="670"/>
      <c r="X264" s="670"/>
      <c r="Y264" s="670"/>
      <c r="Z264" s="670"/>
      <c r="AA264" s="670"/>
      <c r="AB264" s="681"/>
    </row>
    <row r="265" spans="1:28">
      <c r="A265" s="1590"/>
      <c r="B265" s="708" t="s">
        <v>3780</v>
      </c>
      <c r="C265" s="708"/>
      <c r="D265" s="713">
        <f>'WORK PAPER APP0910 E (1)'!E336</f>
        <v>728360.41</v>
      </c>
      <c r="E265" s="708"/>
      <c r="F265" s="655">
        <f>'work paper app0809 E(1)'!I410</f>
        <v>630719.16</v>
      </c>
      <c r="G265" s="670"/>
      <c r="H265" s="670"/>
      <c r="I265" s="670"/>
      <c r="J265" s="1439">
        <f>'gen ext 0708'!E47</f>
        <v>870002.64</v>
      </c>
      <c r="K265" s="1355"/>
      <c r="L265" s="655"/>
      <c r="M265" s="655"/>
      <c r="N265" s="655"/>
      <c r="O265" s="655"/>
      <c r="P265" s="670"/>
      <c r="Q265" s="670"/>
      <c r="R265" s="655"/>
      <c r="S265" s="670"/>
      <c r="T265" s="670"/>
      <c r="U265" s="670"/>
      <c r="V265" s="670"/>
      <c r="W265" s="670"/>
      <c r="X265" s="670"/>
      <c r="Y265" s="670"/>
      <c r="Z265" s="670"/>
      <c r="AA265" s="670"/>
      <c r="AB265" s="681"/>
    </row>
    <row r="266" spans="1:28">
      <c r="A266" s="1590"/>
      <c r="B266" s="708" t="s">
        <v>3781</v>
      </c>
      <c r="C266" s="708"/>
      <c r="D266" s="713">
        <f>'WORK PAPER APP0910 E (1)'!E337</f>
        <v>355338.47</v>
      </c>
      <c r="E266" s="708"/>
      <c r="F266" s="655">
        <f>'work paper app0809 E(1)'!I411</f>
        <v>235827.09</v>
      </c>
      <c r="G266" s="670"/>
      <c r="H266" s="670"/>
      <c r="I266" s="670"/>
      <c r="J266" s="1439">
        <f>'gen ext 0708'!E9</f>
        <v>445744.32</v>
      </c>
      <c r="K266" s="1355"/>
      <c r="L266" s="655"/>
      <c r="M266" s="655"/>
      <c r="N266" s="655"/>
      <c r="O266" s="655"/>
      <c r="P266" s="670"/>
      <c r="Q266" s="670"/>
      <c r="R266" s="655"/>
      <c r="S266" s="670"/>
      <c r="T266" s="670"/>
      <c r="U266" s="670"/>
      <c r="V266" s="670"/>
      <c r="W266" s="670"/>
      <c r="X266" s="670"/>
      <c r="Y266" s="670"/>
      <c r="Z266" s="670"/>
      <c r="AA266" s="670"/>
      <c r="AB266" s="681"/>
    </row>
    <row r="267" spans="1:28">
      <c r="A267" s="1590"/>
      <c r="B267" s="708" t="s">
        <v>3782</v>
      </c>
      <c r="C267" s="708"/>
      <c r="D267" s="713">
        <f>'WORK PAPER APP0910 E (1)'!E338</f>
        <v>3325</v>
      </c>
      <c r="E267" s="708"/>
      <c r="F267" s="655">
        <f>'work paper app0809 E(1)'!I652</f>
        <v>7242</v>
      </c>
      <c r="G267" s="670"/>
      <c r="H267" s="670"/>
      <c r="I267" s="670"/>
      <c r="J267" s="1439">
        <f>'gen ext 0708'!E10</f>
        <v>63064.67</v>
      </c>
      <c r="K267" s="1355"/>
      <c r="L267" s="655"/>
      <c r="M267" s="655"/>
      <c r="N267" s="655"/>
      <c r="O267" s="655"/>
      <c r="P267" s="670"/>
      <c r="Q267" s="670"/>
      <c r="R267" s="655"/>
      <c r="S267" s="670"/>
      <c r="T267" s="670"/>
      <c r="U267" s="670"/>
      <c r="V267" s="670"/>
      <c r="W267" s="670"/>
      <c r="X267" s="670"/>
      <c r="Y267" s="670"/>
      <c r="Z267" s="670"/>
      <c r="AA267" s="670"/>
      <c r="AB267" s="681"/>
    </row>
    <row r="268" spans="1:28">
      <c r="A268" s="1590"/>
      <c r="B268" s="708" t="s">
        <v>3783</v>
      </c>
      <c r="C268" s="708"/>
      <c r="D268" s="713">
        <f>'WORK PAPER APP0910 E (1)'!E339</f>
        <v>304405.32</v>
      </c>
      <c r="E268" s="708"/>
      <c r="F268" s="655">
        <f>'work paper app0809 E(1)'!I430</f>
        <v>275508.96000000002</v>
      </c>
      <c r="G268" s="670"/>
      <c r="H268" s="670"/>
      <c r="I268" s="670"/>
      <c r="J268" s="1439">
        <f>'gen ext 0708'!E103</f>
        <v>871461.23</v>
      </c>
      <c r="K268" s="1355"/>
      <c r="L268" s="655"/>
      <c r="M268" s="655"/>
      <c r="N268" s="655"/>
      <c r="O268" s="655"/>
      <c r="P268" s="670"/>
      <c r="Q268" s="670"/>
      <c r="R268" s="655"/>
      <c r="S268" s="670"/>
      <c r="T268" s="670"/>
      <c r="U268" s="670"/>
      <c r="V268" s="670"/>
      <c r="W268" s="670"/>
      <c r="X268" s="670"/>
      <c r="Y268" s="670"/>
      <c r="Z268" s="670"/>
      <c r="AA268" s="670"/>
      <c r="AB268" s="681"/>
    </row>
    <row r="269" spans="1:28">
      <c r="A269" s="1590"/>
      <c r="B269" s="708" t="s">
        <v>3770</v>
      </c>
      <c r="C269" s="708"/>
      <c r="D269" s="713">
        <f>'WORK PAPER APP0910 E (1)'!E340</f>
        <v>20386.37</v>
      </c>
      <c r="E269" s="708"/>
      <c r="F269" s="655"/>
      <c r="G269" s="670"/>
      <c r="H269" s="670"/>
      <c r="I269" s="670"/>
      <c r="J269" s="1439"/>
      <c r="K269" s="1355"/>
      <c r="L269" s="655"/>
      <c r="M269" s="655"/>
      <c r="N269" s="655"/>
      <c r="O269" s="655"/>
      <c r="P269" s="670"/>
      <c r="Q269" s="670"/>
      <c r="R269" s="655"/>
      <c r="S269" s="670"/>
      <c r="T269" s="670"/>
      <c r="U269" s="670"/>
      <c r="V269" s="670"/>
      <c r="W269" s="670"/>
      <c r="X269" s="670"/>
      <c r="Y269" s="670"/>
      <c r="Z269" s="670"/>
      <c r="AA269" s="670"/>
      <c r="AB269" s="681"/>
    </row>
    <row r="270" spans="1:28">
      <c r="A270" s="1590"/>
      <c r="B270" s="708" t="s">
        <v>3784</v>
      </c>
      <c r="C270" s="708"/>
      <c r="D270" s="713">
        <f>'WORK PAPER APP0910 E (1)'!E341+'WORK PAPER APP0910 E (1)'!E342+'WORK PAPER APP0910 E (1)'!E343+'WORK PAPER APP0910 E (1)'!E344+'WORK PAPER APP0910 E (1)'!E345+'WORK PAPER APP0910 E (1)'!E346+'WORK PAPER APP0910 E (1)'!E347+'WORK PAPER APP0910 E (1)'!E348+'WORK PAPER APP0910 E (1)'!E349</f>
        <v>162406.95000000001</v>
      </c>
      <c r="E270" s="708"/>
      <c r="F270" s="655">
        <f>'work paper app0809 E(1)'!I412+'work paper app0809 E(1)'!I413+'work paper app0809 E(1)'!I416+'work paper app0809 E(1)'!I417+'work paper app0809 E(1)'!I418+'work paper app0809 E(1)'!I420+'work paper app0809 E(1)'!I421+'work paper app0809 E(1)'!I422+'work paper app0809 E(1)'!I423+'work paper app0809 E(1)'!I424+'work paper app0809 E(1)'!I426+'work paper app0809 E(1)'!I427+'work paper app0809 E(1)'!I429</f>
        <v>1030626.7300000002</v>
      </c>
      <c r="G270" s="670"/>
      <c r="H270" s="670"/>
      <c r="I270" s="670"/>
      <c r="J270" s="1439">
        <f>'gen ext 0708'!E12+'gen ext 0708'!E13+'gen ext 0708'!E14+'gen ext 0708'!E15+'gen ext 0708'!E16+'gen ext 0708'!E17+'gen ext 0708'!E18+'gen ext 0708'!E19+'gen ext 0708'!E20</f>
        <v>268339.25000000006</v>
      </c>
      <c r="K270" s="1355"/>
      <c r="L270" s="655"/>
      <c r="M270" s="655"/>
      <c r="N270" s="655"/>
      <c r="O270" s="655"/>
      <c r="P270" s="670"/>
      <c r="Q270" s="670"/>
      <c r="R270" s="655"/>
      <c r="S270" s="670"/>
      <c r="T270" s="670"/>
      <c r="U270" s="670"/>
      <c r="V270" s="670"/>
      <c r="W270" s="670"/>
      <c r="X270" s="670"/>
      <c r="Y270" s="670"/>
      <c r="Z270" s="670"/>
      <c r="AA270" s="670"/>
      <c r="AB270" s="681"/>
    </row>
    <row r="271" spans="1:28">
      <c r="A271" s="1590"/>
      <c r="B271" s="708" t="s">
        <v>3881</v>
      </c>
      <c r="C271" s="708"/>
      <c r="D271" s="713">
        <f>'WORK PAPER APP0910 E (1)'!E350+'WORK PAPER APP0910 E (1)'!E351+'WORK PAPER APP0910 E (1)'!E352+'WORK PAPER APP0910 E (1)'!E353+'WORK PAPER APP0910 E (1)'!E354</f>
        <v>2964755.8699999996</v>
      </c>
      <c r="E271" s="708"/>
      <c r="F271" s="655">
        <f>'work paper app0809 E(1)'!I432+'work paper app0809 E(1)'!I435+'work paper app0809 E(1)'!I436+'work paper app0809 E(1)'!I437+'work paper app0809 E(1)'!I438+'work paper app0809 E(1)'!I439</f>
        <v>3819590.9599999995</v>
      </c>
      <c r="G271" s="670"/>
      <c r="H271" s="670"/>
      <c r="I271" s="670"/>
      <c r="J271" s="1439">
        <f>'gen ext 0708'!E21+'gen ext 0708'!E22+'gen ext 0708'!E23+'gen ext 0708'!E24+'gen ext 0708'!E25+'gen ext 0708'!E25</f>
        <v>3158997.29</v>
      </c>
      <c r="K271" s="1355"/>
      <c r="L271" s="655"/>
      <c r="M271" s="655"/>
      <c r="N271" s="655"/>
      <c r="O271" s="655"/>
      <c r="P271" s="670"/>
      <c r="Q271" s="670"/>
      <c r="R271" s="655"/>
      <c r="S271" s="670"/>
      <c r="T271" s="670"/>
      <c r="U271" s="670"/>
      <c r="V271" s="670"/>
      <c r="W271" s="670"/>
      <c r="X271" s="670"/>
      <c r="Y271" s="670"/>
      <c r="Z271" s="670"/>
      <c r="AA271" s="670"/>
      <c r="AB271" s="681"/>
    </row>
    <row r="272" spans="1:28">
      <c r="A272" s="1590"/>
      <c r="B272" s="708" t="s">
        <v>3882</v>
      </c>
      <c r="C272" s="708"/>
      <c r="D272" s="713">
        <f>'WORK PAPER APP0910 E (1)'!E355+'WORK PAPER APP0910 E (1)'!E356+'WORK PAPER APP0910 E (1)'!E357+'WORK PAPER APP0910 E (1)'!E358+'WORK PAPER APP0910 E (1)'!E359+'WORK PAPER APP0910 E (1)'!E360+'WORK PAPER APP0910 E (1)'!E361+'WORK PAPER APP0910 E (1)'!E362+'WORK PAPER APP0910 E (1)'!E363+'WORK PAPER APP0910 E (1)'!E364+'WORK PAPER APP0910 E (1)'!E365+'WORK PAPER APP0910 E (1)'!E366+'WORK PAPER APP0910 E (1)'!E367+'WORK PAPER APP0910 E (1)'!E368</f>
        <v>254002.26000000004</v>
      </c>
      <c r="E272" s="708"/>
      <c r="F272" s="655">
        <f>'work paper app0809 E(1)'!I441+'work paper app0809 E(1)'!I442+'work paper app0809 E(1)'!I444+'work paper app0809 E(1)'!I448+'work paper app0809 E(1)'!I449+'work paper app0809 E(1)'!I450+'work paper app0809 E(1)'!I451+'work paper app0809 E(1)'!I452+'work paper app0809 E(1)'!I453+'work paper app0809 E(1)'!I454+'work paper app0809 E(1)'!I455+'work paper app0809 E(1)'!I456+'work paper app0809 E(1)'!I459</f>
        <v>229107.06</v>
      </c>
      <c r="G272" s="670"/>
      <c r="H272" s="670"/>
      <c r="I272" s="670"/>
      <c r="J272" s="1439">
        <f>'gen ext 0708'!E26+'gen ext 0708'!E27+'gen ext 0708'!E28+'gen ext 0708'!E29+'gen ext 0708'!E30+'gen ext 0708'!E31+'gen ext 0708'!E32+'gen ext 0708'!E33+'gen ext 0708'!E34+'gen ext 0708'!E35+'gen ext 0708'!E36+'gen ext 0708'!E37+'gen ext 0708'!E38+'gen ext 0708'!E39+'gen ext 0708'!E40+'gen ext 0708'!E41+'gen ext 0708'!E42</f>
        <v>227522.56999999998</v>
      </c>
      <c r="K272" s="1355"/>
      <c r="L272" s="655"/>
      <c r="M272" s="655"/>
      <c r="N272" s="655"/>
      <c r="O272" s="655"/>
      <c r="P272" s="670"/>
      <c r="Q272" s="670"/>
      <c r="R272" s="655"/>
      <c r="S272" s="670"/>
      <c r="T272" s="670"/>
      <c r="U272" s="670"/>
      <c r="V272" s="670"/>
      <c r="W272" s="670"/>
      <c r="X272" s="670"/>
      <c r="Y272" s="670"/>
      <c r="Z272" s="670"/>
      <c r="AA272" s="670"/>
      <c r="AB272" s="681"/>
    </row>
    <row r="273" spans="1:28">
      <c r="A273" s="1590"/>
      <c r="B273" s="708" t="s">
        <v>55</v>
      </c>
      <c r="C273" s="708"/>
      <c r="D273" s="713">
        <f>'WORK PAPER APP0910 E (1)'!E369</f>
        <v>37668.94</v>
      </c>
      <c r="E273" s="708"/>
      <c r="F273" s="655">
        <f>'work paper app0809 E(1)'!I628</f>
        <v>400712.76</v>
      </c>
      <c r="G273" s="670"/>
      <c r="H273" s="670"/>
      <c r="I273" s="670"/>
      <c r="J273" s="1439">
        <f>'gen ext 0708'!E43</f>
        <v>79762.12</v>
      </c>
      <c r="K273" s="1355"/>
      <c r="L273" s="655"/>
      <c r="M273" s="655"/>
      <c r="N273" s="655"/>
      <c r="O273" s="655"/>
      <c r="P273" s="670"/>
      <c r="Q273" s="670"/>
      <c r="R273" s="655"/>
      <c r="S273" s="670"/>
      <c r="T273" s="670"/>
      <c r="U273" s="670"/>
      <c r="V273" s="670"/>
      <c r="W273" s="670"/>
      <c r="X273" s="670"/>
      <c r="Y273" s="670"/>
      <c r="Z273" s="670"/>
      <c r="AA273" s="670"/>
      <c r="AB273" s="681"/>
    </row>
    <row r="274" spans="1:28">
      <c r="A274" s="1590"/>
      <c r="B274" s="708" t="s">
        <v>620</v>
      </c>
      <c r="C274" s="708"/>
      <c r="D274" s="713">
        <f>'WORK PAPER APP0910 E (1)'!E370+'WORK PAPER APP0910 E (1)'!E371+'WORK PAPER APP0910 E (1)'!E372</f>
        <v>484335.81</v>
      </c>
      <c r="E274" s="708"/>
      <c r="F274" s="655">
        <f>'work paper app0809 E(1)'!I466+'work paper app0809 E(1)'!I467+'work paper app0809 E(1)'!I468</f>
        <v>734445.39</v>
      </c>
      <c r="G274" s="670"/>
      <c r="H274" s="670"/>
      <c r="I274" s="670"/>
      <c r="J274" s="1439">
        <f>'gen ext 0708'!E44+'gen ext 0708'!E45+'gen ext 0708'!E46</f>
        <v>496053.46</v>
      </c>
      <c r="K274" s="1355"/>
      <c r="L274" s="655"/>
      <c r="M274" s="655"/>
      <c r="N274" s="655"/>
      <c r="O274" s="655"/>
      <c r="P274" s="670"/>
      <c r="Q274" s="670"/>
      <c r="R274" s="655"/>
      <c r="S274" s="670"/>
      <c r="T274" s="670"/>
      <c r="U274" s="670"/>
      <c r="V274" s="670"/>
      <c r="W274" s="670"/>
      <c r="X274" s="670"/>
      <c r="Y274" s="670"/>
      <c r="Z274" s="670"/>
      <c r="AA274" s="670"/>
      <c r="AB274" s="681"/>
    </row>
    <row r="275" spans="1:28">
      <c r="A275" s="1590"/>
      <c r="B275" s="708" t="s">
        <v>2690</v>
      </c>
      <c r="C275" s="708"/>
      <c r="D275" s="713"/>
      <c r="E275" s="708"/>
      <c r="F275" s="655">
        <f>'work paper app0809 E(1)'!I659</f>
        <v>426838.91</v>
      </c>
      <c r="G275" s="670"/>
      <c r="H275" s="670"/>
      <c r="I275" s="670"/>
      <c r="J275" s="1439"/>
      <c r="K275" s="1355"/>
      <c r="L275" s="655"/>
      <c r="M275" s="655"/>
      <c r="N275" s="655"/>
      <c r="O275" s="655"/>
      <c r="P275" s="670"/>
      <c r="Q275" s="670"/>
      <c r="R275" s="655"/>
      <c r="S275" s="670"/>
      <c r="T275" s="670"/>
      <c r="U275" s="670"/>
      <c r="V275" s="670"/>
      <c r="W275" s="670"/>
      <c r="X275" s="670"/>
      <c r="Y275" s="670"/>
      <c r="Z275" s="670"/>
      <c r="AA275" s="670"/>
      <c r="AB275" s="681"/>
    </row>
    <row r="276" spans="1:28">
      <c r="A276" s="1590"/>
      <c r="B276" s="708" t="s">
        <v>622</v>
      </c>
      <c r="C276" s="708"/>
      <c r="D276" s="713">
        <f>'WORK PAPER APP0910 E (1)'!E373+'WORK PAPER APP0910 E (1)'!E374+'WORK PAPER APP0910 E (1)'!E375+'WORK PAPER APP0910 E (1)'!E376+'WORK PAPER APP0910 E (1)'!E377+'WORK PAPER APP0910 E (1)'!E378</f>
        <v>541046.23</v>
      </c>
      <c r="E276" s="708"/>
      <c r="F276" s="655">
        <f>'work paper app0809 E(1)'!I469+'work paper app0809 E(1)'!I470+'work paper app0809 E(1)'!I471+'work paper app0809 E(1)'!I472+'work paper app0809 E(1)'!I473+'work paper app0809 E(1)'!I475</f>
        <v>630082.38</v>
      </c>
      <c r="G276" s="670"/>
      <c r="H276" s="670"/>
      <c r="I276" s="670"/>
      <c r="J276" s="1439">
        <f>'gen ext 0708'!E49+'gen ext 0708'!E50+'gen ext 0708'!E51+'gen ext 0708'!E52+'gen ext 0708'!E53+'gen ext 0708'!E54</f>
        <v>373173.52</v>
      </c>
      <c r="K276" s="1355"/>
      <c r="L276" s="655"/>
      <c r="M276" s="655"/>
      <c r="N276" s="655"/>
      <c r="O276" s="655"/>
      <c r="P276" s="670"/>
      <c r="Q276" s="670"/>
      <c r="R276" s="655"/>
      <c r="S276" s="670"/>
      <c r="T276" s="670"/>
      <c r="U276" s="670"/>
      <c r="V276" s="670"/>
      <c r="W276" s="670"/>
      <c r="X276" s="670"/>
      <c r="Y276" s="670"/>
      <c r="Z276" s="670"/>
      <c r="AA276" s="670"/>
      <c r="AB276" s="681"/>
    </row>
    <row r="277" spans="1:28">
      <c r="A277" s="1590"/>
      <c r="B277" s="708" t="s">
        <v>2732</v>
      </c>
      <c r="C277" s="708"/>
      <c r="D277" s="713">
        <f>'WORK PAPER APP0910 E (1)'!E379</f>
        <v>28317.360000000001</v>
      </c>
      <c r="E277" s="708"/>
      <c r="F277" s="655">
        <f>'work paper app0809 E(1)'!I648</f>
        <v>85930.37</v>
      </c>
      <c r="G277" s="670"/>
      <c r="H277" s="670"/>
      <c r="I277" s="670"/>
      <c r="J277" s="1439">
        <v>8419</v>
      </c>
      <c r="K277" s="1355"/>
      <c r="L277" s="655"/>
      <c r="M277" s="655"/>
      <c r="N277" s="655"/>
      <c r="O277" s="655"/>
      <c r="P277" s="670"/>
      <c r="Q277" s="670"/>
      <c r="R277" s="655"/>
      <c r="S277" s="670"/>
      <c r="T277" s="670"/>
      <c r="U277" s="670"/>
      <c r="V277" s="670"/>
      <c r="W277" s="670"/>
      <c r="X277" s="670"/>
      <c r="Y277" s="670"/>
      <c r="Z277" s="670"/>
      <c r="AA277" s="670"/>
      <c r="AB277" s="681"/>
    </row>
    <row r="278" spans="1:28">
      <c r="A278" s="1590"/>
      <c r="B278" s="708" t="s">
        <v>3785</v>
      </c>
      <c r="C278" s="708"/>
      <c r="D278" s="713">
        <f>'WORK PAPER APP0910 E (1)'!E380</f>
        <v>412242.65</v>
      </c>
      <c r="E278" s="708"/>
      <c r="F278" s="655">
        <f>'work paper app0809 E(1)'!I400</f>
        <v>881241.94</v>
      </c>
      <c r="G278" s="670"/>
      <c r="H278" s="670"/>
      <c r="I278" s="670"/>
      <c r="J278" s="1439">
        <f>'gen ext 0708'!E56</f>
        <v>253478.28</v>
      </c>
      <c r="K278" s="1355"/>
      <c r="L278" s="655"/>
      <c r="M278" s="655"/>
      <c r="N278" s="655"/>
      <c r="O278" s="655"/>
      <c r="P278" s="670"/>
      <c r="Q278" s="670"/>
      <c r="R278" s="655"/>
      <c r="S278" s="670"/>
      <c r="T278" s="670"/>
      <c r="U278" s="670"/>
      <c r="V278" s="670"/>
      <c r="W278" s="670"/>
      <c r="X278" s="670"/>
      <c r="Y278" s="670"/>
      <c r="Z278" s="670"/>
      <c r="AA278" s="670"/>
      <c r="AB278" s="681"/>
    </row>
    <row r="279" spans="1:28">
      <c r="A279" s="1590"/>
      <c r="B279" s="708" t="s">
        <v>3786</v>
      </c>
      <c r="C279" s="708"/>
      <c r="D279" s="713">
        <f>'WORK PAPER APP0910 E (1)'!E381</f>
        <v>0</v>
      </c>
      <c r="E279" s="708"/>
      <c r="F279" s="655">
        <f>'work paper app0809 E(1)'!I561</f>
        <v>172786.65</v>
      </c>
      <c r="G279" s="670"/>
      <c r="H279" s="670"/>
      <c r="I279" s="670"/>
      <c r="J279" s="1439">
        <f>'gen ext 0708'!E58</f>
        <v>105213.69</v>
      </c>
      <c r="K279" s="1355"/>
      <c r="L279" s="655"/>
      <c r="M279" s="655"/>
      <c r="N279" s="655"/>
      <c r="O279" s="655"/>
      <c r="P279" s="670"/>
      <c r="Q279" s="670"/>
      <c r="R279" s="655"/>
      <c r="S279" s="670"/>
      <c r="T279" s="670"/>
      <c r="U279" s="670"/>
      <c r="V279" s="670"/>
      <c r="W279" s="670"/>
      <c r="X279" s="670"/>
      <c r="Y279" s="670"/>
      <c r="Z279" s="670"/>
      <c r="AA279" s="670"/>
      <c r="AB279" s="681"/>
    </row>
    <row r="280" spans="1:28">
      <c r="A280" s="1590"/>
      <c r="B280" s="708" t="s">
        <v>1337</v>
      </c>
      <c r="C280" s="708"/>
      <c r="D280" s="713">
        <f>'WORK PAPER APP0910 E (1)'!E382</f>
        <v>750</v>
      </c>
      <c r="E280" s="708"/>
      <c r="F280" s="655"/>
      <c r="G280" s="670"/>
      <c r="H280" s="670"/>
      <c r="I280" s="670"/>
      <c r="J280" s="1439">
        <f>'gen ext 0708'!E59</f>
        <v>3226</v>
      </c>
      <c r="K280" s="1355"/>
      <c r="L280" s="655"/>
      <c r="M280" s="655"/>
      <c r="N280" s="655"/>
      <c r="O280" s="655"/>
      <c r="P280" s="670"/>
      <c r="Q280" s="670"/>
      <c r="R280" s="655"/>
      <c r="S280" s="670"/>
      <c r="T280" s="670"/>
      <c r="U280" s="670"/>
      <c r="V280" s="670"/>
      <c r="W280" s="670"/>
      <c r="X280" s="670"/>
      <c r="Y280" s="670"/>
      <c r="Z280" s="670"/>
      <c r="AA280" s="670"/>
      <c r="AB280" s="681"/>
    </row>
    <row r="281" spans="1:28">
      <c r="A281" s="1590"/>
      <c r="B281" s="708" t="s">
        <v>461</v>
      </c>
      <c r="C281" s="708"/>
      <c r="D281" s="713">
        <f>'WORK PAPER APP0910 E (1)'!E383</f>
        <v>27544.85</v>
      </c>
      <c r="E281" s="708"/>
      <c r="F281" s="655">
        <f>'work paper app0809 E(1)'!I639</f>
        <v>22650</v>
      </c>
      <c r="G281" s="670"/>
      <c r="H281" s="670"/>
      <c r="I281" s="670"/>
      <c r="J281" s="1439">
        <f>'gen ext 0708'!E60</f>
        <v>28827.5</v>
      </c>
      <c r="K281" s="1355"/>
      <c r="L281" s="655"/>
      <c r="M281" s="655"/>
      <c r="N281" s="655"/>
      <c r="O281" s="655"/>
      <c r="P281" s="670"/>
      <c r="Q281" s="670"/>
      <c r="R281" s="655"/>
      <c r="S281" s="670"/>
      <c r="T281" s="670"/>
      <c r="U281" s="670"/>
      <c r="V281" s="670"/>
      <c r="W281" s="670"/>
      <c r="X281" s="670"/>
      <c r="Y281" s="670"/>
      <c r="Z281" s="670"/>
      <c r="AA281" s="670"/>
      <c r="AB281" s="681"/>
    </row>
    <row r="282" spans="1:28">
      <c r="A282" s="1590"/>
      <c r="B282" s="708" t="s">
        <v>261</v>
      </c>
      <c r="C282" s="708"/>
      <c r="D282" s="713">
        <f>'WORK PAPER APP0910 E (1)'!E384+'WORK PAPER APP0910 E (1)'!E385</f>
        <v>1599037.52</v>
      </c>
      <c r="E282" s="708"/>
      <c r="F282" s="655">
        <f>'work paper app0809 E(1)'!I663+'work paper app0809 E(1)'!I664</f>
        <v>1431060.71</v>
      </c>
      <c r="G282" s="670"/>
      <c r="H282" s="670"/>
      <c r="I282" s="670"/>
      <c r="J282" s="1439">
        <f>'gen ext 0708'!E48+'gen ext 0708'!E61</f>
        <v>1753940.37</v>
      </c>
      <c r="K282" s="1355"/>
      <c r="L282" s="655"/>
      <c r="M282" s="655"/>
      <c r="N282" s="655"/>
      <c r="O282" s="655"/>
      <c r="P282" s="670"/>
      <c r="Q282" s="670"/>
      <c r="R282" s="655"/>
      <c r="S282" s="670"/>
      <c r="T282" s="670"/>
      <c r="U282" s="670"/>
      <c r="V282" s="670"/>
      <c r="W282" s="670"/>
      <c r="X282" s="670"/>
      <c r="Y282" s="670"/>
      <c r="Z282" s="670"/>
      <c r="AA282" s="670"/>
      <c r="AB282" s="681"/>
    </row>
    <row r="283" spans="1:28">
      <c r="A283" s="1590"/>
      <c r="B283" s="708" t="s">
        <v>2322</v>
      </c>
      <c r="C283" s="708"/>
      <c r="D283" s="713">
        <f>'WORK PAPER APP0910 E (1)'!E386+'WORK PAPER APP0910 E (1)'!E387+'WORK PAPER APP0910 E (1)'!E388+'WORK PAPER APP0910 E (1)'!E389+'WORK PAPER APP0910 E (1)'!E390+'WORK PAPER APP0910 E (1)'!E391+'WORK PAPER APP0910 E (1)'!E392</f>
        <v>281873.98</v>
      </c>
      <c r="E283" s="708"/>
      <c r="F283" s="655">
        <f>'work paper app0809 E(1)'!I477+'work paper app0809 E(1)'!I479</f>
        <v>696188.5</v>
      </c>
      <c r="G283" s="670"/>
      <c r="H283" s="670"/>
      <c r="I283" s="670"/>
      <c r="J283" s="1439">
        <f>'gen ext 0708'!E62+'gen ext 0708'!E63+'gen ext 0708'!E64+'gen ext 0708'!E65+'gen ext 0708'!E66+'gen ext 0708'!E67+'gen ext 0708'!E68+'gen ext 0708'!E69+'gen ext 0708'!E70+'gen ext 0708'!E71+'gen ext 0708'!E72+'gen ext 0708'!E73+'gen ext 0708'!E74+'gen ext 0708'!E75+'gen ext 0708'!E76+'gen ext 0708'!E77</f>
        <v>647273.5900000002</v>
      </c>
      <c r="K283" s="1355"/>
      <c r="L283" s="655"/>
      <c r="M283" s="655"/>
      <c r="N283" s="655"/>
      <c r="O283" s="655"/>
      <c r="P283" s="670"/>
      <c r="Q283" s="670"/>
      <c r="R283" s="655"/>
      <c r="S283" s="670"/>
      <c r="T283" s="670"/>
      <c r="U283" s="670"/>
      <c r="V283" s="670"/>
      <c r="W283" s="670"/>
      <c r="X283" s="670"/>
      <c r="Y283" s="670"/>
      <c r="Z283" s="670"/>
      <c r="AA283" s="670"/>
      <c r="AB283" s="681"/>
    </row>
    <row r="284" spans="1:28">
      <c r="A284" s="1590"/>
      <c r="B284" s="708" t="s">
        <v>3787</v>
      </c>
      <c r="C284" s="708"/>
      <c r="D284" s="713">
        <f>'WORK PAPER APP0910 E (1)'!E393</f>
        <v>38090.57</v>
      </c>
      <c r="E284" s="708"/>
      <c r="F284" s="655">
        <f>'work paper app0809 E(1)'!I399</f>
        <v>106925</v>
      </c>
      <c r="G284" s="670"/>
      <c r="H284" s="670"/>
      <c r="I284" s="670"/>
      <c r="J284" s="1439">
        <f>'gen ext 0708'!E78</f>
        <v>48268.95</v>
      </c>
      <c r="K284" s="1355"/>
      <c r="L284" s="655"/>
      <c r="M284" s="655"/>
      <c r="N284" s="655"/>
      <c r="O284" s="655"/>
      <c r="P284" s="670"/>
      <c r="Q284" s="670"/>
      <c r="R284" s="655"/>
      <c r="S284" s="670"/>
      <c r="T284" s="670"/>
      <c r="U284" s="670"/>
      <c r="V284" s="670"/>
      <c r="W284" s="670"/>
      <c r="X284" s="670"/>
      <c r="Y284" s="670"/>
      <c r="Z284" s="670"/>
      <c r="AA284" s="670"/>
      <c r="AB284" s="681"/>
    </row>
    <row r="285" spans="1:28">
      <c r="A285" s="1590"/>
      <c r="B285" s="708" t="s">
        <v>3788</v>
      </c>
      <c r="C285" s="708"/>
      <c r="D285" s="713">
        <f>'WORK PAPER APP0910 E (1)'!E394</f>
        <v>2161.92</v>
      </c>
      <c r="E285" s="708"/>
      <c r="F285" s="655"/>
      <c r="G285" s="670"/>
      <c r="H285" s="670"/>
      <c r="I285" s="670"/>
      <c r="J285" s="1439"/>
      <c r="K285" s="1355"/>
      <c r="L285" s="655"/>
      <c r="M285" s="655"/>
      <c r="N285" s="655"/>
      <c r="O285" s="655"/>
      <c r="P285" s="670"/>
      <c r="Q285" s="670"/>
      <c r="R285" s="655"/>
      <c r="S285" s="670"/>
      <c r="T285" s="670"/>
      <c r="U285" s="670"/>
      <c r="V285" s="670"/>
      <c r="W285" s="670"/>
      <c r="X285" s="670"/>
      <c r="Y285" s="670"/>
      <c r="Z285" s="670"/>
      <c r="AA285" s="670"/>
      <c r="AB285" s="681"/>
    </row>
    <row r="286" spans="1:28">
      <c r="A286" s="1590"/>
      <c r="B286" s="708" t="s">
        <v>2970</v>
      </c>
      <c r="C286" s="708"/>
      <c r="D286" s="713">
        <f>'WORK PAPER APP0910 E (1)'!E395</f>
        <v>140540.84</v>
      </c>
      <c r="E286" s="708"/>
      <c r="F286" s="655">
        <f>'work paper app0809 E(1)'!I666</f>
        <v>179632</v>
      </c>
      <c r="G286" s="670"/>
      <c r="H286" s="670"/>
      <c r="I286" s="670"/>
      <c r="J286" s="1439">
        <f>'gen ext 0708'!E80</f>
        <v>321736.34999999998</v>
      </c>
      <c r="K286" s="1355"/>
      <c r="L286" s="655"/>
      <c r="M286" s="655"/>
      <c r="N286" s="655"/>
      <c r="O286" s="655"/>
      <c r="P286" s="670"/>
      <c r="Q286" s="670"/>
      <c r="R286" s="655"/>
      <c r="S286" s="670"/>
      <c r="T286" s="670"/>
      <c r="U286" s="670"/>
      <c r="V286" s="670"/>
      <c r="W286" s="670"/>
      <c r="X286" s="670"/>
      <c r="Y286" s="670"/>
      <c r="Z286" s="670"/>
      <c r="AA286" s="670"/>
      <c r="AB286" s="681"/>
    </row>
    <row r="287" spans="1:28">
      <c r="A287" s="1590"/>
      <c r="B287" s="708" t="s">
        <v>1436</v>
      </c>
      <c r="C287" s="708"/>
      <c r="D287" s="713">
        <f>'WORK PAPER APP0910 E (1)'!E396+'WORK PAPER APP0910 E (1)'!E397+'WORK PAPER APP0910 E (1)'!E398+'WORK PAPER APP0910 E (1)'!E399+'WORK PAPER APP0910 E (1)'!E400+'WORK PAPER APP0910 E (1)'!E401</f>
        <v>130022.12</v>
      </c>
      <c r="E287" s="708"/>
      <c r="F287" s="655">
        <f>'work paper app0809 E(1)'!I493+'work paper app0809 E(1)'!I495+'work paper app0809 E(1)'!I496+'work paper app0809 E(1)'!I497+'work paper app0809 E(1)'!I498+'work paper app0809 E(1)'!I500+'work paper app0809 E(1)'!I501+'work paper app0809 E(1)'!I647</f>
        <v>340446.05999999994</v>
      </c>
      <c r="G287" s="670"/>
      <c r="H287" s="670"/>
      <c r="I287" s="670"/>
      <c r="J287" s="1439">
        <f>'gen ext 0708'!E81+'gen ext 0708'!E82+'gen ext 0708'!E83+'gen ext 0708'!E84+'gen ext 0708'!E85+'gen ext 0708'!E86+'gen ext 0708'!E87</f>
        <v>209366.24</v>
      </c>
      <c r="K287" s="1355"/>
      <c r="L287" s="655"/>
      <c r="M287" s="655"/>
      <c r="N287" s="655"/>
      <c r="O287" s="655"/>
      <c r="P287" s="670"/>
      <c r="Q287" s="670"/>
      <c r="R287" s="655"/>
      <c r="S287" s="670"/>
      <c r="T287" s="670"/>
      <c r="U287" s="670"/>
      <c r="V287" s="670"/>
      <c r="W287" s="670"/>
      <c r="X287" s="670"/>
      <c r="Y287" s="670"/>
      <c r="Z287" s="670"/>
      <c r="AA287" s="670"/>
      <c r="AB287" s="681"/>
    </row>
    <row r="288" spans="1:28">
      <c r="A288" s="1590"/>
      <c r="B288" s="708" t="s">
        <v>3789</v>
      </c>
      <c r="C288" s="708"/>
      <c r="D288" s="713">
        <f>'WORK PAPER APP0910 E (1)'!E402</f>
        <v>43762.52</v>
      </c>
      <c r="E288" s="708"/>
      <c r="F288" s="655"/>
      <c r="G288" s="670"/>
      <c r="H288" s="670"/>
      <c r="I288" s="670"/>
      <c r="J288" s="1439"/>
      <c r="K288" s="1355"/>
      <c r="L288" s="655"/>
      <c r="M288" s="655"/>
      <c r="N288" s="655"/>
      <c r="O288" s="655"/>
      <c r="P288" s="670"/>
      <c r="Q288" s="670"/>
      <c r="R288" s="655"/>
      <c r="S288" s="670"/>
      <c r="T288" s="670"/>
      <c r="U288" s="670"/>
      <c r="V288" s="670"/>
      <c r="W288" s="670"/>
      <c r="X288" s="670"/>
      <c r="Y288" s="670"/>
      <c r="Z288" s="670"/>
      <c r="AA288" s="670"/>
      <c r="AB288" s="681"/>
    </row>
    <row r="289" spans="1:28">
      <c r="A289" s="1590"/>
      <c r="B289" s="708" t="s">
        <v>3790</v>
      </c>
      <c r="C289" s="708"/>
      <c r="D289" s="713">
        <f>'WORK PAPER APP0910 E (1)'!E403+'WORK PAPER APP0910 E (1)'!E404</f>
        <v>278903.58999999997</v>
      </c>
      <c r="E289" s="708"/>
      <c r="F289" s="655">
        <f>'work paper app0809 E(1)'!I502+'work paper app0809 E(1)'!I504</f>
        <v>134405.01</v>
      </c>
      <c r="G289" s="670"/>
      <c r="H289" s="670"/>
      <c r="I289" s="670"/>
      <c r="J289" s="1439">
        <f>'gen ext 0708'!E89+'gen ext 0708'!E90+'gen ext 0708'!E91</f>
        <v>83323.59</v>
      </c>
      <c r="K289" s="1355"/>
      <c r="L289" s="655"/>
      <c r="M289" s="655"/>
      <c r="N289" s="655"/>
      <c r="O289" s="655"/>
      <c r="P289" s="670"/>
      <c r="Q289" s="670"/>
      <c r="R289" s="655"/>
      <c r="S289" s="670"/>
      <c r="T289" s="670"/>
      <c r="U289" s="670"/>
      <c r="V289" s="670"/>
      <c r="W289" s="670"/>
      <c r="X289" s="670"/>
      <c r="Y289" s="670"/>
      <c r="Z289" s="670"/>
      <c r="AA289" s="670"/>
      <c r="AB289" s="681"/>
    </row>
    <row r="290" spans="1:28">
      <c r="A290" s="1590"/>
      <c r="B290" s="708" t="s">
        <v>3791</v>
      </c>
      <c r="C290" s="708"/>
      <c r="D290" s="713">
        <f>'WORK PAPER APP0910 E (1)'!E405</f>
        <v>597133.14</v>
      </c>
      <c r="E290" s="708"/>
      <c r="F290" s="655">
        <f>'work paper app0809 E(1)'!I646</f>
        <v>225453.42</v>
      </c>
      <c r="G290" s="670"/>
      <c r="H290" s="670"/>
      <c r="I290" s="670"/>
      <c r="J290" s="1439"/>
      <c r="K290" s="1355"/>
      <c r="L290" s="655"/>
      <c r="M290" s="655"/>
      <c r="N290" s="655"/>
      <c r="O290" s="655"/>
      <c r="P290" s="670"/>
      <c r="Q290" s="670"/>
      <c r="R290" s="655"/>
      <c r="S290" s="670"/>
      <c r="T290" s="670"/>
      <c r="U290" s="670"/>
      <c r="V290" s="670"/>
      <c r="W290" s="670"/>
      <c r="X290" s="670"/>
      <c r="Y290" s="670"/>
      <c r="Z290" s="670"/>
      <c r="AA290" s="670"/>
      <c r="AB290" s="681"/>
    </row>
    <row r="291" spans="1:28">
      <c r="A291" s="1590"/>
      <c r="B291" s="708" t="s">
        <v>3883</v>
      </c>
      <c r="C291" s="708"/>
      <c r="D291" s="713">
        <f>'WORK PAPER APP0910 E (1)'!E406</f>
        <v>4640.01</v>
      </c>
      <c r="E291" s="708"/>
      <c r="F291" s="655">
        <f>'work paper app0809 E(1)'!I460</f>
        <v>33951.17</v>
      </c>
      <c r="G291" s="670"/>
      <c r="H291" s="670"/>
      <c r="I291" s="670"/>
      <c r="J291" s="1439">
        <f>'gen ext 0708'!E93</f>
        <v>6430</v>
      </c>
      <c r="K291" s="1355"/>
      <c r="L291" s="655"/>
      <c r="M291" s="655"/>
      <c r="N291" s="655"/>
      <c r="O291" s="655"/>
      <c r="P291" s="670"/>
      <c r="Q291" s="670"/>
      <c r="R291" s="655"/>
      <c r="S291" s="670"/>
      <c r="T291" s="670"/>
      <c r="U291" s="670"/>
      <c r="V291" s="670"/>
      <c r="W291" s="670"/>
      <c r="X291" s="670"/>
      <c r="Y291" s="670"/>
      <c r="Z291" s="670"/>
      <c r="AA291" s="670"/>
      <c r="AB291" s="681"/>
    </row>
    <row r="292" spans="1:28">
      <c r="A292" s="1590"/>
      <c r="B292" s="708" t="s">
        <v>631</v>
      </c>
      <c r="C292" s="708"/>
      <c r="D292" s="713">
        <f>'WORK PAPER APP0910 E (1)'!E407+'WORK PAPER APP0910 E (1)'!E408+'WORK PAPER APP0910 E (1)'!E409+'WORK PAPER APP0910 E (1)'!E410+'WORK PAPER APP0910 E (1)'!E411+'WORK PAPER APP0910 E (1)'!E412</f>
        <v>106493.04999999999</v>
      </c>
      <c r="E292" s="708"/>
      <c r="F292" s="655">
        <f>'work paper app0809 E(1)'!I506+'work paper app0809 E(1)'!I507+'work paper app0809 E(1)'!I511+'work paper app0809 E(1)'!I512+'work paper app0809 E(1)'!I513+'work paper app0809 E(1)'!I515+'work paper app0809 E(1)'!I517+'work paper app0809 E(1)'!I521</f>
        <v>131101.07</v>
      </c>
      <c r="G292" s="670"/>
      <c r="H292" s="670"/>
      <c r="I292" s="670"/>
      <c r="J292" s="1439">
        <f>'gen ext 0708'!E95+'gen ext 0708'!E96+'gen ext 0708'!E97+'gen ext 0708'!E98+'gen ext 0708'!E99+'gen ext 0708'!E100+'gen ext 0708'!E101+'gen ext 0708'!E102</f>
        <v>102417.31</v>
      </c>
      <c r="K292" s="1355"/>
      <c r="L292" s="655"/>
      <c r="M292" s="655"/>
      <c r="N292" s="655"/>
      <c r="O292" s="655"/>
      <c r="P292" s="670"/>
      <c r="Q292" s="670"/>
      <c r="R292" s="655"/>
      <c r="S292" s="670"/>
      <c r="T292" s="670"/>
      <c r="U292" s="670"/>
      <c r="V292" s="670"/>
      <c r="W292" s="670"/>
      <c r="X292" s="670"/>
      <c r="Y292" s="670"/>
      <c r="Z292" s="670"/>
      <c r="AA292" s="670"/>
      <c r="AB292" s="681"/>
    </row>
    <row r="293" spans="1:28">
      <c r="A293" s="1590"/>
      <c r="B293" s="708" t="s">
        <v>3918</v>
      </c>
      <c r="C293" s="708"/>
      <c r="D293" s="713"/>
      <c r="E293" s="708"/>
      <c r="F293" s="655">
        <f>'work paper app0809 E(1)'!I463</f>
        <v>2950</v>
      </c>
      <c r="G293" s="670"/>
      <c r="H293" s="670"/>
      <c r="I293" s="670"/>
      <c r="J293" s="1439">
        <f>'gen ext 0708'!E94</f>
        <v>8026.36</v>
      </c>
      <c r="K293" s="1355"/>
      <c r="L293" s="655"/>
      <c r="M293" s="655"/>
      <c r="N293" s="655"/>
      <c r="O293" s="655"/>
      <c r="P293" s="670"/>
      <c r="Q293" s="670"/>
      <c r="R293" s="655"/>
      <c r="S293" s="670"/>
      <c r="T293" s="670"/>
      <c r="U293" s="670"/>
      <c r="V293" s="670"/>
      <c r="W293" s="670"/>
      <c r="X293" s="670"/>
      <c r="Y293" s="670"/>
      <c r="Z293" s="670"/>
      <c r="AA293" s="670"/>
      <c r="AB293" s="681"/>
    </row>
    <row r="294" spans="1:28">
      <c r="A294" s="1590"/>
      <c r="B294" s="708" t="s">
        <v>3792</v>
      </c>
      <c r="C294" s="708"/>
      <c r="D294" s="713">
        <f>'WORK PAPER APP0910 E (1)'!E414+'WORK PAPER APP0910 E (1)'!E415+'WORK PAPER APP0910 E (1)'!E416+'WORK PAPER APP0910 E (1)'!E417+'WORK PAPER APP0910 E (1)'!E418+'WORK PAPER APP0910 E (1)'!E419+'WORK PAPER APP0910 E (1)'!E420+'WORK PAPER APP0910 E (1)'!E421+'WORK PAPER APP0910 E (1)'!E422+'WORK PAPER APP0910 E (1)'!E423+'WORK PAPER APP0910 E (1)'!E424+'WORK PAPER APP0910 E (1)'!E425+'WORK PAPER APP0910 E (1)'!E426</f>
        <v>625246.96</v>
      </c>
      <c r="E294" s="708"/>
      <c r="F294" s="655">
        <f>'work paper app0809 E(1)'!I522+'work paper app0809 E(1)'!I523+'work paper app0809 E(1)'!I526+'work paper app0809 E(1)'!I527+'work paper app0809 E(1)'!I529+'work paper app0809 E(1)'!I530+'work paper app0809 E(1)'!I531+'work paper app0809 E(1)'!I532+'work paper app0809 E(1)'!I533+'work paper app0809 E(1)'!I534+'work paper app0809 E(1)'!I535+'work paper app0809 E(1)'!I536+'work paper app0809 E(1)'!I539+'work paper app0809 E(1)'!I540+'work paper app0809 E(1)'!I542+'work paper app0809 E(1)'!I543</f>
        <v>555323.07999999996</v>
      </c>
      <c r="G294" s="670"/>
      <c r="H294" s="670"/>
      <c r="I294" s="670"/>
      <c r="J294" s="1439">
        <f>'gen ext 0708'!E104+'gen ext 0708'!E105+'gen ext 0708'!E106+'gen ext 0708'!E107+'gen ext 0708'!E108+'gen ext 0708'!E109+'gen ext 0708'!E110+'gen ext 0708'!E111+'gen ext 0708'!E112+'gen ext 0708'!E114+'gen ext 0708'!E115+'gen ext 0708'!E116+'gen ext 0708'!E117+'gen ext 0708'!E118+'gen ext 0708'!E119+'gen ext 0708'!E121</f>
        <v>980895.72999999986</v>
      </c>
      <c r="K294" s="1355"/>
      <c r="L294" s="655"/>
      <c r="M294" s="655"/>
      <c r="N294" s="655"/>
      <c r="O294" s="655"/>
      <c r="P294" s="670"/>
      <c r="Q294" s="670"/>
      <c r="R294" s="655"/>
      <c r="S294" s="670"/>
      <c r="T294" s="670"/>
      <c r="U294" s="670"/>
      <c r="V294" s="670"/>
      <c r="W294" s="670"/>
      <c r="X294" s="670"/>
      <c r="Y294" s="670"/>
      <c r="Z294" s="670"/>
      <c r="AA294" s="670"/>
      <c r="AB294" s="681"/>
    </row>
    <row r="295" spans="1:28">
      <c r="A295" s="1590"/>
      <c r="B295" s="708" t="s">
        <v>3793</v>
      </c>
      <c r="C295" s="708"/>
      <c r="D295" s="713">
        <f>'WORK PAPER APP0910 E (1)'!E427</f>
        <v>376950.47</v>
      </c>
      <c r="E295" s="708"/>
      <c r="F295" s="655">
        <f>'work paper app0809 E(1)'!I642</f>
        <v>92860.5</v>
      </c>
      <c r="G295" s="670"/>
      <c r="H295" s="670"/>
      <c r="I295" s="670"/>
      <c r="J295" s="1439"/>
      <c r="K295" s="1355"/>
      <c r="L295" s="655"/>
      <c r="M295" s="655"/>
      <c r="N295" s="655"/>
      <c r="O295" s="655"/>
      <c r="P295" s="670"/>
      <c r="Q295" s="670"/>
      <c r="R295" s="655"/>
      <c r="S295" s="670"/>
      <c r="T295" s="670"/>
      <c r="U295" s="670"/>
      <c r="V295" s="670"/>
      <c r="W295" s="670"/>
      <c r="X295" s="670"/>
      <c r="Y295" s="670"/>
      <c r="Z295" s="670"/>
      <c r="AA295" s="670"/>
      <c r="AB295" s="681"/>
    </row>
    <row r="296" spans="1:28">
      <c r="A296" s="1590"/>
      <c r="B296" s="708" t="s">
        <v>3919</v>
      </c>
      <c r="C296" s="708"/>
      <c r="D296" s="713"/>
      <c r="E296" s="708"/>
      <c r="F296" s="655">
        <f>'work paper app0809 E(1)'!I656</f>
        <v>308212.7</v>
      </c>
      <c r="G296" s="670"/>
      <c r="H296" s="670"/>
      <c r="I296" s="670"/>
      <c r="J296" s="1439"/>
      <c r="K296" s="1355"/>
      <c r="L296" s="655"/>
      <c r="M296" s="655"/>
      <c r="N296" s="655"/>
      <c r="O296" s="655"/>
      <c r="P296" s="670"/>
      <c r="Q296" s="670"/>
      <c r="R296" s="655"/>
      <c r="S296" s="670"/>
      <c r="T296" s="670"/>
      <c r="U296" s="670"/>
      <c r="V296" s="670"/>
      <c r="W296" s="670"/>
      <c r="X296" s="670"/>
      <c r="Y296" s="670"/>
      <c r="Z296" s="670"/>
      <c r="AA296" s="670"/>
      <c r="AB296" s="681"/>
    </row>
    <row r="297" spans="1:28">
      <c r="A297" s="1590"/>
      <c r="B297" s="708" t="s">
        <v>3794</v>
      </c>
      <c r="C297" s="708"/>
      <c r="D297" s="713">
        <f>'WORK PAPER APP0910 E (1)'!E428+'WORK PAPER APP0910 E (1)'!E429+'WORK PAPER APP0910 E (1)'!E430+'WORK PAPER APP0910 E (1)'!E431+'WORK PAPER APP0910 E (1)'!E432+'WORK PAPER APP0910 E (1)'!E433+'WORK PAPER APP0910 E (1)'!E434+'WORK PAPER APP0910 E (1)'!E435</f>
        <v>246544.86</v>
      </c>
      <c r="E297" s="708"/>
      <c r="F297" s="655">
        <f>'work paper app0809 E(1)'!I548+'work paper app0809 E(1)'!I549+'work paper app0809 E(1)'!I550+'work paper app0809 E(1)'!I551+'work paper app0809 E(1)'!I557</f>
        <v>357484</v>
      </c>
      <c r="G297" s="670"/>
      <c r="H297" s="670"/>
      <c r="I297" s="670"/>
      <c r="J297" s="1439">
        <f>'gen ext 0708'!E122+'gen ext 0708'!E123+'gen ext 0708'!E124+'gen ext 0708'!E125+'gen ext 0708'!E126+'gen ext 0708'!E127+'gen ext 0708'!E128+'gen ext 0708'!E129</f>
        <v>339453.99000000005</v>
      </c>
      <c r="K297" s="1355"/>
      <c r="L297" s="655"/>
      <c r="M297" s="655"/>
      <c r="N297" s="655"/>
      <c r="O297" s="655"/>
      <c r="P297" s="670"/>
      <c r="Q297" s="670"/>
      <c r="R297" s="655"/>
      <c r="S297" s="670"/>
      <c r="T297" s="670"/>
      <c r="U297" s="670"/>
      <c r="V297" s="670"/>
      <c r="W297" s="670"/>
      <c r="X297" s="670"/>
      <c r="Y297" s="670"/>
      <c r="Z297" s="670"/>
      <c r="AA297" s="670"/>
      <c r="AB297" s="681"/>
    </row>
    <row r="298" spans="1:28">
      <c r="A298" s="1590"/>
      <c r="B298" s="708" t="s">
        <v>2325</v>
      </c>
      <c r="C298" s="708"/>
      <c r="D298" s="713">
        <f>'WORK PAPER APP0910 E (1)'!E437+'WORK PAPER APP0910 E (1)'!E438+'WORK PAPER APP0910 E (1)'!E439</f>
        <v>322489.38</v>
      </c>
      <c r="E298" s="708"/>
      <c r="F298" s="655">
        <f>'work paper app0809 E(1)'!I560+'work paper app0809 E(1)'!I562+'work paper app0809 E(1)'!I563+'work paper app0809 E(1)'!I635</f>
        <v>45604.45</v>
      </c>
      <c r="G298" s="670"/>
      <c r="H298" s="670"/>
      <c r="I298" s="670"/>
      <c r="J298" s="1439">
        <f>'gen ext 0708'!E131+'gen ext 0708'!E132</f>
        <v>51543.56</v>
      </c>
      <c r="K298" s="1355"/>
      <c r="L298" s="655"/>
      <c r="M298" s="655"/>
      <c r="N298" s="655"/>
      <c r="O298" s="655"/>
      <c r="P298" s="670"/>
      <c r="Q298" s="670"/>
      <c r="R298" s="655"/>
      <c r="S298" s="670"/>
      <c r="T298" s="670"/>
      <c r="U298" s="670"/>
      <c r="V298" s="670"/>
      <c r="W298" s="670"/>
      <c r="X298" s="670"/>
      <c r="Y298" s="670"/>
      <c r="Z298" s="670"/>
      <c r="AA298" s="670"/>
      <c r="AB298" s="681"/>
    </row>
    <row r="299" spans="1:28">
      <c r="A299" s="1590"/>
      <c r="B299" s="708" t="s">
        <v>2317</v>
      </c>
      <c r="C299" s="708"/>
      <c r="D299" s="713">
        <f>'WORK PAPER APP0910 E (1)'!E440</f>
        <v>261424.98</v>
      </c>
      <c r="E299" s="708"/>
      <c r="F299" s="655">
        <f>'work paper app0809 E(1)'!I651</f>
        <v>315539.13</v>
      </c>
      <c r="G299" s="670"/>
      <c r="H299" s="670"/>
      <c r="I299" s="670"/>
      <c r="J299" s="1439">
        <f>'gen ext 0708'!E135</f>
        <v>199376.15</v>
      </c>
      <c r="K299" s="1355"/>
      <c r="L299" s="655"/>
      <c r="M299" s="655"/>
      <c r="N299" s="655"/>
      <c r="O299" s="655"/>
      <c r="P299" s="670"/>
      <c r="Q299" s="670"/>
      <c r="R299" s="655"/>
      <c r="S299" s="670"/>
      <c r="T299" s="670"/>
      <c r="U299" s="670"/>
      <c r="V299" s="670"/>
      <c r="W299" s="670"/>
      <c r="X299" s="670"/>
      <c r="Y299" s="670"/>
      <c r="Z299" s="670"/>
      <c r="AA299" s="670"/>
      <c r="AB299" s="681"/>
    </row>
    <row r="300" spans="1:28">
      <c r="A300" s="1590"/>
      <c r="B300" s="708" t="s">
        <v>3795</v>
      </c>
      <c r="C300" s="708"/>
      <c r="D300" s="713">
        <f>'WORK PAPER APP0910 E (1)'!E441</f>
        <v>4996.22</v>
      </c>
      <c r="E300" s="708"/>
      <c r="F300" s="655">
        <f>'work paper app0809 E(1)'!I645</f>
        <v>1503.07</v>
      </c>
      <c r="G300" s="670"/>
      <c r="H300" s="670"/>
      <c r="I300" s="670"/>
      <c r="J300" s="1439"/>
      <c r="K300" s="1355"/>
      <c r="L300" s="655"/>
      <c r="M300" s="655"/>
      <c r="N300" s="655"/>
      <c r="O300" s="655"/>
      <c r="P300" s="670"/>
      <c r="Q300" s="670"/>
      <c r="R300" s="655"/>
      <c r="S300" s="670"/>
      <c r="T300" s="670"/>
      <c r="U300" s="670"/>
      <c r="V300" s="670"/>
      <c r="W300" s="670"/>
      <c r="X300" s="670"/>
      <c r="Y300" s="670"/>
      <c r="Z300" s="670"/>
      <c r="AA300" s="670"/>
      <c r="AB300" s="681"/>
    </row>
    <row r="301" spans="1:28">
      <c r="A301" s="1590"/>
      <c r="B301" s="708" t="s">
        <v>3796</v>
      </c>
      <c r="C301" s="708"/>
      <c r="D301" s="713">
        <f>'WORK PAPER APP0910 E (1)'!E442+'WORK PAPER APP0910 E (1)'!E443+'WORK PAPER APP0910 E (1)'!E444+'WORK PAPER APP0910 E (1)'!E445+'WORK PAPER APP0910 E (1)'!E447+'WORK PAPER APP0910 E (1)'!E448+'WORK PAPER APP0910 E (1)'!E449+'WORK PAPER APP0910 E (1)'!E450+'WORK PAPER APP0910 E (1)'!E451+'WORK PAPER APP0910 E (1)'!E452+'WORK PAPER APP0910 E (1)'!E453+'WORK PAPER APP0910 E (1)'!E454+'WORK PAPER APP0910 E (1)'!E455+'WORK PAPER APP0910 E (1)'!E456+'WORK PAPER APP0910 E (1)'!E457+'WORK PAPER APP0910 E (1)'!E458+'WORK PAPER APP0910 E (1)'!E459+'WORK PAPER APP0910 E (1)'!E460+'WORK PAPER APP0910 E (1)'!E461+'WORK PAPER APP0910 E (1)'!E446</f>
        <v>2730687.65</v>
      </c>
      <c r="E301" s="708"/>
      <c r="F301" s="655">
        <f>'work paper app0809 E(1)'!I565+'work paper app0809 E(1)'!I566+'work paper app0809 E(1)'!I569+'work paper app0809 E(1)'!I570+'work paper app0809 E(1)'!I571+'work paper app0809 E(1)'!I572+'work paper app0809 E(1)'!I573+'work paper app0809 E(1)'!I574+'work paper app0809 E(1)'!I575+'work paper app0809 E(1)'!I576+'work paper app0809 E(1)'!I577+'work paper app0809 E(1)'!I578+'work paper app0809 E(1)'!I579+'work paper app0809 E(1)'!I581+'work paper app0809 E(1)'!I582+'work paper app0809 E(1)'!I583+'work paper app0809 E(1)'!I584+'work paper app0809 E(1)'!I585+'work paper app0809 E(1)'!I587</f>
        <v>2271678.2800000003</v>
      </c>
      <c r="G301" s="670"/>
      <c r="H301" s="670"/>
      <c r="I301" s="670"/>
      <c r="J301" s="1439">
        <f>'gen ext 0708'!E137+'gen ext 0708'!E138+'gen ext 0708'!E139+'gen ext 0708'!E140+'gen ext 0708'!E141+'gen ext 0708'!E142+'gen ext 0708'!E143+'gen ext 0708'!E144+'gen ext 0708'!E145+'gen ext 0708'!E146+'gen ext 0708'!E147+'gen ext 0708'!E148+'gen ext 0708'!E149+'gen ext 0708'!E150+'gen ext 0708'!E151+'gen ext 0708'!E152+'gen ext 0708'!E153+'gen ext 0708'!E154</f>
        <v>2505227.2699999996</v>
      </c>
      <c r="K301" s="1355"/>
      <c r="L301" s="655"/>
      <c r="M301" s="655"/>
      <c r="N301" s="655"/>
      <c r="O301" s="655"/>
      <c r="P301" s="670"/>
      <c r="Q301" s="670"/>
      <c r="R301" s="655"/>
      <c r="S301" s="670"/>
      <c r="T301" s="670"/>
      <c r="U301" s="670"/>
      <c r="V301" s="670"/>
      <c r="W301" s="670"/>
      <c r="X301" s="670"/>
      <c r="Y301" s="670"/>
      <c r="Z301" s="670"/>
      <c r="AA301" s="670"/>
      <c r="AB301" s="681"/>
    </row>
    <row r="302" spans="1:28">
      <c r="A302" s="1590"/>
      <c r="B302" s="708" t="s">
        <v>52</v>
      </c>
      <c r="C302" s="708"/>
      <c r="D302" s="713">
        <f>'WORK PAPER APP0910 E (1)'!E462+'WORK PAPER APP0910 E (1)'!E463+'WORK PAPER APP0910 E (1)'!E464+'WORK PAPER APP0910 E (1)'!E465+'WORK PAPER APP0910 E (1)'!E466+'WORK PAPER APP0910 E (1)'!E467+'WORK PAPER APP0910 E (1)'!E468+'WORK PAPER APP0910 E (1)'!E469+'WORK PAPER APP0910 E (1)'!E470+'WORK PAPER APP0910 E (1)'!E471+'WORK PAPER APP0910 E (1)'!E472+'WORK PAPER APP0910 E (1)'!E473+'WORK PAPER APP0910 E (1)'!E474+'WORK PAPER APP0910 E (1)'!E475+'WORK PAPER APP0910 E (1)'!E476</f>
        <v>1511658.9100000004</v>
      </c>
      <c r="E302" s="708"/>
      <c r="F302" s="655">
        <f>'work paper app0809 E(1)'!I588+'work paper app0809 E(1)'!I589+'work paper app0809 E(1)'!I593+'work paper app0809 E(1)'!I594+'work paper app0809 E(1)'!I596+'work paper app0809 E(1)'!I597+'work paper app0809 E(1)'!I601+'work paper app0809 E(1)'!I608+'work paper app0809 E(1)'!I609+'work paper app0809 E(1)'!I610+'work paper app0809 E(1)'!I613+'work paper app0809 E(1)'!I614+'work paper app0809 E(1)'!I615+'work paper app0809 E(1)'!I618+'work paper app0809 E(1)'!I619+'work paper app0809 E(1)'!I620+'work paper app0809 E(1)'!I621+'work paper app0809 E(1)'!I622+'work paper app0809 E(1)'!I623+'work paper app0809 E(1)'!I627</f>
        <v>2042922.8099999998</v>
      </c>
      <c r="G302" s="670"/>
      <c r="H302" s="670"/>
      <c r="I302" s="670"/>
      <c r="J302" s="1439">
        <f>'gen ext 0708'!E155+'gen ext 0708'!E156+'gen ext 0708'!E157+'gen ext 0708'!E158+'gen ext 0708'!E159+'gen ext 0708'!E160+'gen ext 0708'!E161+'gen ext 0708'!E162+'gen ext 0708'!E163+'gen ext 0708'!E164+'gen ext 0708'!E165+'gen ext 0708'!E166+'gen ext 0708'!E167+'gen ext 0708'!E168+'gen ext 0708'!E169+'gen ext 0708'!E170+'gen ext 0708'!E171+'gen ext 0708'!E172</f>
        <v>1362058.71</v>
      </c>
      <c r="K302" s="1355"/>
      <c r="L302" s="655"/>
      <c r="M302" s="655"/>
      <c r="N302" s="655"/>
      <c r="O302" s="655"/>
      <c r="P302" s="670"/>
      <c r="Q302" s="670"/>
      <c r="R302" s="655"/>
      <c r="S302" s="670"/>
      <c r="T302" s="670"/>
      <c r="U302" s="670"/>
      <c r="V302" s="670"/>
      <c r="W302" s="670"/>
      <c r="X302" s="670"/>
      <c r="Y302" s="670"/>
      <c r="Z302" s="670"/>
      <c r="AA302" s="670"/>
      <c r="AB302" s="681"/>
    </row>
    <row r="303" spans="1:28">
      <c r="A303" s="1590"/>
      <c r="B303" s="708" t="s">
        <v>457</v>
      </c>
      <c r="C303" s="708"/>
      <c r="D303" s="713"/>
      <c r="E303" s="708"/>
      <c r="F303" s="655">
        <f>'work paper app0809 E(1)'!I558</f>
        <v>61514.3</v>
      </c>
      <c r="G303" s="670"/>
      <c r="H303" s="670"/>
      <c r="I303" s="670"/>
      <c r="J303" s="1439">
        <f>'gen ext 0708'!E130</f>
        <v>97954.3</v>
      </c>
      <c r="K303" s="1355"/>
      <c r="L303" s="655"/>
      <c r="M303" s="655"/>
      <c r="N303" s="655"/>
      <c r="O303" s="655"/>
      <c r="P303" s="670"/>
      <c r="Q303" s="670"/>
      <c r="R303" s="655"/>
      <c r="S303" s="670"/>
      <c r="T303" s="670"/>
      <c r="U303" s="670"/>
      <c r="V303" s="670"/>
      <c r="W303" s="670"/>
      <c r="X303" s="670"/>
      <c r="Y303" s="670"/>
      <c r="Z303" s="670"/>
      <c r="AA303" s="670"/>
      <c r="AB303" s="681"/>
    </row>
    <row r="304" spans="1:28">
      <c r="A304" s="1590"/>
      <c r="B304" s="708" t="s">
        <v>160</v>
      </c>
      <c r="C304" s="708"/>
      <c r="D304" s="713">
        <f>'WORK PAPER APP0910 E (1)'!E478</f>
        <v>272074.90999999997</v>
      </c>
      <c r="E304" s="708"/>
      <c r="F304" s="655">
        <f>'work paper app0809 E(1)'!I665+'work paper app0809 E(1)'!I671+'work paper app0809 E(1)'!I653</f>
        <v>310501.59999999998</v>
      </c>
      <c r="G304" s="670"/>
      <c r="H304" s="670"/>
      <c r="I304" s="670"/>
      <c r="J304" s="1439">
        <f>'gen ext 0708'!E173+'gen ext 0708'!E174</f>
        <v>707660.44</v>
      </c>
      <c r="K304" s="1355"/>
      <c r="L304" s="655"/>
      <c r="M304" s="655"/>
      <c r="N304" s="655"/>
      <c r="O304" s="655"/>
      <c r="P304" s="670"/>
      <c r="Q304" s="670"/>
      <c r="R304" s="655"/>
      <c r="S304" s="670"/>
      <c r="T304" s="670"/>
      <c r="U304" s="670"/>
      <c r="V304" s="670"/>
      <c r="W304" s="670"/>
      <c r="X304" s="670"/>
      <c r="Y304" s="670"/>
      <c r="Z304" s="670"/>
      <c r="AA304" s="670"/>
      <c r="AB304" s="681"/>
    </row>
    <row r="305" spans="1:28">
      <c r="A305" s="1590"/>
      <c r="B305" s="708" t="s">
        <v>3775</v>
      </c>
      <c r="C305" s="708"/>
      <c r="D305" s="713">
        <f>'WORK PAPER APP0910 E (1)'!E479</f>
        <v>321096</v>
      </c>
      <c r="E305" s="708"/>
      <c r="F305" s="655">
        <f>'work paper app0809 E(1)'!I641</f>
        <v>268821</v>
      </c>
      <c r="G305" s="670"/>
      <c r="H305" s="670"/>
      <c r="I305" s="670"/>
      <c r="J305" s="1439">
        <v>0</v>
      </c>
      <c r="K305" s="1355"/>
      <c r="L305" s="655"/>
      <c r="M305" s="655"/>
      <c r="N305" s="655"/>
      <c r="O305" s="655"/>
      <c r="P305" s="670"/>
      <c r="Q305" s="670"/>
      <c r="R305" s="655"/>
      <c r="S305" s="670"/>
      <c r="T305" s="670"/>
      <c r="U305" s="670"/>
      <c r="V305" s="670"/>
      <c r="W305" s="670"/>
      <c r="X305" s="670"/>
      <c r="Y305" s="670"/>
      <c r="Z305" s="670"/>
      <c r="AA305" s="670"/>
      <c r="AB305" s="681"/>
    </row>
    <row r="306" spans="1:28">
      <c r="A306" s="1590"/>
      <c r="B306" s="708" t="s">
        <v>3776</v>
      </c>
      <c r="C306" s="708"/>
      <c r="D306" s="713">
        <f>'WORK PAPER APP0910 E (1)'!E477</f>
        <v>47274.28</v>
      </c>
      <c r="E306" s="708"/>
      <c r="F306" s="655"/>
      <c r="G306" s="670"/>
      <c r="H306" s="670"/>
      <c r="I306" s="670"/>
      <c r="J306" s="1439"/>
      <c r="K306" s="1355"/>
      <c r="L306" s="655"/>
      <c r="M306" s="655"/>
      <c r="N306" s="655"/>
      <c r="O306" s="655"/>
      <c r="P306" s="670"/>
      <c r="Q306" s="670"/>
      <c r="R306" s="655"/>
      <c r="S306" s="670"/>
      <c r="T306" s="670"/>
      <c r="U306" s="670"/>
      <c r="V306" s="670"/>
      <c r="W306" s="670"/>
      <c r="X306" s="670"/>
      <c r="Y306" s="670"/>
      <c r="Z306" s="670"/>
      <c r="AA306" s="670"/>
      <c r="AB306" s="681"/>
    </row>
    <row r="307" spans="1:28">
      <c r="A307" s="1590"/>
      <c r="B307" s="708" t="s">
        <v>3797</v>
      </c>
      <c r="C307" s="708"/>
      <c r="D307" s="713">
        <f>'WORK PAPER APP0910 E (1)'!E480</f>
        <v>97880.15</v>
      </c>
      <c r="E307" s="708"/>
      <c r="F307" s="655">
        <f>'work paper app0809 E(1)'!I632</f>
        <v>117039.44</v>
      </c>
      <c r="G307" s="670"/>
      <c r="H307" s="670"/>
      <c r="I307" s="670"/>
      <c r="J307" s="1439">
        <f>'gen ext 0708'!E175</f>
        <v>107944.37</v>
      </c>
      <c r="K307" s="1355"/>
      <c r="L307" s="655"/>
      <c r="M307" s="655"/>
      <c r="N307" s="655"/>
      <c r="O307" s="655"/>
      <c r="P307" s="670"/>
      <c r="Q307" s="670"/>
      <c r="R307" s="655"/>
      <c r="S307" s="670"/>
      <c r="T307" s="670"/>
      <c r="U307" s="670"/>
      <c r="V307" s="670"/>
      <c r="W307" s="670"/>
      <c r="X307" s="670"/>
      <c r="Y307" s="670"/>
      <c r="Z307" s="670"/>
      <c r="AA307" s="670"/>
      <c r="AB307" s="681"/>
    </row>
    <row r="308" spans="1:28">
      <c r="A308" s="1590"/>
      <c r="B308" s="708" t="s">
        <v>2318</v>
      </c>
      <c r="C308" s="708"/>
      <c r="D308" s="713">
        <f>'WORK PAPER APP0910 E (1)'!E482</f>
        <v>3031060.58</v>
      </c>
      <c r="E308" s="708"/>
      <c r="F308" s="655">
        <f>'work paper app0809 E(1)'!I661</f>
        <v>2662830.52</v>
      </c>
      <c r="G308" s="670"/>
      <c r="H308" s="670"/>
      <c r="I308" s="670"/>
      <c r="J308" s="1439"/>
      <c r="K308" s="1355"/>
      <c r="L308" s="655"/>
      <c r="M308" s="655"/>
      <c r="N308" s="655"/>
      <c r="O308" s="655"/>
      <c r="P308" s="670"/>
      <c r="Q308" s="670"/>
      <c r="R308" s="655"/>
      <c r="S308" s="670"/>
      <c r="T308" s="670"/>
      <c r="U308" s="670"/>
      <c r="V308" s="670"/>
      <c r="W308" s="670"/>
      <c r="X308" s="670"/>
      <c r="Y308" s="670"/>
      <c r="Z308" s="670"/>
      <c r="AA308" s="670"/>
      <c r="AB308" s="681"/>
    </row>
    <row r="309" spans="1:28">
      <c r="A309" s="1590"/>
      <c r="B309" s="708" t="s">
        <v>3933</v>
      </c>
      <c r="C309" s="708"/>
      <c r="D309" s="713">
        <v>5234591.3099999996</v>
      </c>
      <c r="E309" s="708"/>
      <c r="F309" s="655">
        <v>0</v>
      </c>
      <c r="G309" s="670"/>
      <c r="H309" s="670"/>
      <c r="I309" s="670"/>
      <c r="J309" s="1439">
        <v>0</v>
      </c>
      <c r="K309" s="1355"/>
      <c r="L309" s="655"/>
      <c r="M309" s="655"/>
      <c r="N309" s="655"/>
      <c r="O309" s="655"/>
      <c r="P309" s="670"/>
      <c r="Q309" s="670"/>
      <c r="R309" s="655"/>
      <c r="S309" s="670"/>
      <c r="T309" s="670"/>
      <c r="U309" s="670"/>
      <c r="V309" s="670"/>
      <c r="W309" s="670"/>
      <c r="X309" s="670"/>
      <c r="Y309" s="670"/>
      <c r="Z309" s="670"/>
      <c r="AA309" s="670"/>
      <c r="AB309" s="681"/>
    </row>
    <row r="310" spans="1:28">
      <c r="A310" s="1590"/>
      <c r="B310" s="708"/>
      <c r="C310" s="708"/>
      <c r="D310" s="713"/>
      <c r="E310" s="708"/>
      <c r="F310" s="655"/>
      <c r="G310" s="670"/>
      <c r="H310" s="670"/>
      <c r="I310" s="670"/>
      <c r="J310" s="1439"/>
      <c r="K310" s="1355"/>
      <c r="L310" s="655"/>
      <c r="M310" s="655"/>
      <c r="N310" s="655"/>
      <c r="O310" s="655"/>
      <c r="P310" s="670"/>
      <c r="Q310" s="670"/>
      <c r="R310" s="655"/>
      <c r="S310" s="670"/>
      <c r="T310" s="670"/>
      <c r="U310" s="670"/>
      <c r="V310" s="670"/>
      <c r="W310" s="670"/>
      <c r="X310" s="670"/>
      <c r="Y310" s="670"/>
      <c r="Z310" s="670"/>
      <c r="AA310" s="670"/>
      <c r="AB310" s="681"/>
    </row>
    <row r="311" spans="1:28" ht="13.5" thickBot="1">
      <c r="A311" s="1590"/>
      <c r="B311" s="709"/>
      <c r="C311" s="709"/>
      <c r="D311" s="710">
        <f>SUM(D261:D310)</f>
        <v>26268106.330000002</v>
      </c>
      <c r="E311" s="708"/>
      <c r="F311" s="710">
        <f>SUM(F261:F310)</f>
        <v>23228694.380000003</v>
      </c>
      <c r="G311" s="670"/>
      <c r="H311" s="670"/>
      <c r="I311" s="670"/>
      <c r="J311" s="1685">
        <f>SUM(J261:J310)</f>
        <v>17516469.290000007</v>
      </c>
      <c r="K311" s="1355"/>
      <c r="L311" s="655">
        <f>D311-F311</f>
        <v>3039411.9499999993</v>
      </c>
      <c r="M311" s="655"/>
      <c r="N311" s="655"/>
      <c r="O311" s="655"/>
      <c r="P311" s="670"/>
      <c r="Q311" s="670"/>
      <c r="R311" s="655"/>
      <c r="S311" s="670"/>
      <c r="T311" s="670"/>
      <c r="U311" s="670"/>
      <c r="V311" s="670"/>
      <c r="W311" s="670"/>
      <c r="X311" s="670"/>
      <c r="Y311" s="670"/>
      <c r="Z311" s="670"/>
      <c r="AA311" s="670"/>
      <c r="AB311" s="681"/>
    </row>
    <row r="312" spans="1:28" ht="13.5" thickTop="1">
      <c r="A312" s="1590"/>
      <c r="B312" s="670"/>
      <c r="C312" s="670"/>
      <c r="D312" s="655"/>
      <c r="E312" s="670"/>
      <c r="F312" s="655"/>
      <c r="G312" s="670"/>
      <c r="H312" s="670"/>
      <c r="I312" s="670"/>
      <c r="J312" s="1439"/>
      <c r="K312" s="1355"/>
      <c r="L312" s="655"/>
      <c r="M312" s="655"/>
      <c r="N312" s="655"/>
      <c r="O312" s="655"/>
      <c r="P312" s="670"/>
      <c r="Q312" s="670"/>
      <c r="R312" s="655"/>
      <c r="S312" s="670"/>
      <c r="T312" s="670"/>
      <c r="U312" s="670"/>
      <c r="V312" s="670"/>
      <c r="W312" s="670"/>
      <c r="X312" s="670"/>
      <c r="Y312" s="670"/>
      <c r="Z312" s="670"/>
      <c r="AA312" s="670"/>
      <c r="AB312" s="681"/>
    </row>
    <row r="313" spans="1:28">
      <c r="A313" s="1691"/>
      <c r="B313" s="615"/>
      <c r="C313" s="615"/>
      <c r="D313" s="719"/>
      <c r="E313" s="615"/>
      <c r="F313" s="615"/>
      <c r="G313" s="615"/>
      <c r="H313" s="615"/>
      <c r="I313" s="615"/>
      <c r="J313" s="1692"/>
      <c r="K313" s="1360"/>
      <c r="L313" s="655"/>
      <c r="M313" s="655"/>
      <c r="N313" s="655"/>
      <c r="O313" s="655"/>
      <c r="P313" s="670"/>
      <c r="Q313" s="670"/>
      <c r="R313" s="655"/>
      <c r="S313" s="670"/>
      <c r="T313" s="670"/>
      <c r="U313" s="670"/>
      <c r="V313" s="670"/>
      <c r="W313" s="670"/>
      <c r="X313" s="670"/>
      <c r="Y313" s="670"/>
      <c r="Z313" s="670"/>
      <c r="AA313" s="670"/>
      <c r="AB313" s="681"/>
    </row>
    <row r="314" spans="1:28">
      <c r="A314" s="1590"/>
      <c r="B314" s="670"/>
      <c r="C314" s="670"/>
      <c r="D314" s="655"/>
      <c r="E314" s="670"/>
      <c r="F314" s="655"/>
      <c r="G314" s="670"/>
      <c r="H314" s="670"/>
      <c r="I314" s="670"/>
      <c r="J314" s="1439"/>
      <c r="K314" s="1355"/>
      <c r="L314" s="655"/>
      <c r="M314" s="655"/>
      <c r="N314" s="655"/>
      <c r="O314" s="655"/>
      <c r="P314" s="670"/>
      <c r="Q314" s="670"/>
      <c r="R314" s="655"/>
      <c r="S314" s="670"/>
      <c r="T314" s="670"/>
      <c r="U314" s="670"/>
      <c r="V314" s="670"/>
      <c r="W314" s="670"/>
      <c r="X314" s="670"/>
      <c r="Y314" s="670"/>
      <c r="Z314" s="670"/>
      <c r="AA314" s="670"/>
      <c r="AB314" s="681"/>
    </row>
    <row r="315" spans="1:28">
      <c r="A315" s="1596"/>
      <c r="B315" s="699"/>
      <c r="C315" s="699"/>
      <c r="D315" s="700"/>
      <c r="E315" s="699"/>
      <c r="F315" s="700"/>
      <c r="G315" s="699"/>
      <c r="H315" s="699"/>
      <c r="I315" s="699"/>
      <c r="J315" s="1570"/>
      <c r="K315" s="1352"/>
      <c r="L315" s="655"/>
      <c r="M315" s="655"/>
      <c r="N315" s="655"/>
      <c r="O315" s="655"/>
      <c r="P315" s="670"/>
      <c r="Q315" s="670"/>
      <c r="R315" s="655"/>
      <c r="S315" s="670"/>
      <c r="T315" s="670"/>
      <c r="U315" s="670"/>
      <c r="V315" s="670"/>
      <c r="W315" s="670"/>
      <c r="X315" s="670"/>
      <c r="Y315" s="670"/>
      <c r="Z315" s="670"/>
      <c r="AA315" s="670"/>
      <c r="AB315" s="681"/>
    </row>
    <row r="316" spans="1:28">
      <c r="A316" s="1590"/>
      <c r="B316" s="670"/>
      <c r="C316" s="670"/>
      <c r="D316" s="655"/>
      <c r="E316" s="670"/>
      <c r="F316" s="655"/>
      <c r="G316" s="670"/>
      <c r="H316" s="670"/>
      <c r="I316" s="670"/>
      <c r="J316" s="1439"/>
      <c r="K316" s="1355"/>
      <c r="L316" s="655"/>
      <c r="M316" s="655"/>
      <c r="N316" s="655"/>
      <c r="O316" s="655"/>
      <c r="P316" s="670"/>
      <c r="Q316" s="670"/>
      <c r="R316" s="655"/>
      <c r="S316" s="670"/>
      <c r="T316" s="670"/>
      <c r="U316" s="670"/>
      <c r="V316" s="670"/>
      <c r="W316" s="670"/>
      <c r="X316" s="670"/>
      <c r="Y316" s="670"/>
      <c r="Z316" s="670"/>
      <c r="AA316" s="670"/>
      <c r="AB316" s="681"/>
    </row>
    <row r="317" spans="1:28">
      <c r="A317" s="1590"/>
      <c r="B317" s="670"/>
      <c r="C317" s="670"/>
      <c r="D317" s="704" t="s">
        <v>3484</v>
      </c>
      <c r="E317" s="670"/>
      <c r="F317" s="704" t="s">
        <v>2651</v>
      </c>
      <c r="G317" s="703"/>
      <c r="H317" s="703"/>
      <c r="I317" s="703"/>
      <c r="J317" s="1440" t="s">
        <v>1634</v>
      </c>
      <c r="K317" s="1355"/>
      <c r="L317" s="655"/>
      <c r="M317" s="655"/>
      <c r="N317" s="655"/>
      <c r="O317" s="655"/>
      <c r="P317" s="670"/>
      <c r="Q317" s="670"/>
      <c r="R317" s="655"/>
      <c r="S317" s="670"/>
      <c r="T317" s="670"/>
      <c r="U317" s="670"/>
      <c r="V317" s="670"/>
      <c r="W317" s="670"/>
      <c r="X317" s="670"/>
      <c r="Y317" s="670"/>
      <c r="Z317" s="670"/>
      <c r="AA317" s="670"/>
      <c r="AB317" s="681"/>
    </row>
    <row r="318" spans="1:28">
      <c r="A318" s="1590"/>
      <c r="B318" s="670"/>
      <c r="C318" s="670"/>
      <c r="D318" s="655"/>
      <c r="E318" s="670"/>
      <c r="F318" s="655"/>
      <c r="G318" s="670"/>
      <c r="H318" s="670"/>
      <c r="I318" s="670"/>
      <c r="J318" s="1439"/>
      <c r="K318" s="1355"/>
      <c r="L318" s="655"/>
      <c r="M318" s="655"/>
      <c r="N318" s="655"/>
      <c r="O318" s="655"/>
      <c r="P318" s="670"/>
      <c r="Q318" s="670"/>
      <c r="R318" s="655"/>
      <c r="S318" s="670"/>
      <c r="T318" s="670"/>
      <c r="U318" s="670"/>
      <c r="V318" s="670"/>
      <c r="W318" s="670"/>
      <c r="X318" s="670"/>
      <c r="Y318" s="670"/>
      <c r="Z318" s="670"/>
      <c r="AA318" s="670"/>
      <c r="AB318" s="681"/>
    </row>
    <row r="319" spans="1:28">
      <c r="A319" s="1679" t="s">
        <v>730</v>
      </c>
      <c r="B319" s="682" t="s">
        <v>2034</v>
      </c>
      <c r="C319" s="682"/>
      <c r="D319" s="683"/>
      <c r="E319" s="670"/>
      <c r="F319" s="655"/>
      <c r="G319" s="670"/>
      <c r="H319" s="670"/>
      <c r="I319" s="670"/>
      <c r="J319" s="1439"/>
      <c r="K319" s="1355"/>
      <c r="L319" s="655"/>
      <c r="M319" s="655"/>
      <c r="N319" s="655"/>
      <c r="O319" s="655"/>
      <c r="P319" s="670"/>
      <c r="Q319" s="670"/>
      <c r="R319" s="655"/>
      <c r="S319" s="670"/>
      <c r="T319" s="670"/>
      <c r="U319" s="670"/>
      <c r="V319" s="670"/>
      <c r="W319" s="670"/>
      <c r="X319" s="670"/>
      <c r="Y319" s="670"/>
      <c r="Z319" s="670"/>
      <c r="AA319" s="670"/>
      <c r="AB319" s="681"/>
    </row>
    <row r="320" spans="1:28">
      <c r="A320" s="1590"/>
      <c r="B320" s="670"/>
      <c r="C320" s="670"/>
      <c r="D320" s="655"/>
      <c r="E320" s="670"/>
      <c r="F320" s="655"/>
      <c r="G320" s="670"/>
      <c r="H320" s="670"/>
      <c r="I320" s="670"/>
      <c r="J320" s="1439"/>
      <c r="K320" s="1355"/>
      <c r="L320" s="655"/>
      <c r="M320" s="655"/>
      <c r="N320" s="655"/>
      <c r="O320" s="655"/>
      <c r="P320" s="670"/>
      <c r="Q320" s="670"/>
      <c r="R320" s="655"/>
      <c r="S320" s="670"/>
      <c r="T320" s="670"/>
      <c r="U320" s="670"/>
      <c r="V320" s="670"/>
      <c r="W320" s="670"/>
      <c r="X320" s="670"/>
      <c r="Y320" s="670"/>
      <c r="Z320" s="670"/>
      <c r="AA320" s="670"/>
      <c r="AB320" s="681"/>
    </row>
    <row r="321" spans="1:28" ht="25.5">
      <c r="A321" s="1691"/>
      <c r="B321" s="618" t="s">
        <v>3414</v>
      </c>
      <c r="C321" s="618"/>
      <c r="D321" s="619">
        <f>SUM(D323:D342)</f>
        <v>-3752007.84</v>
      </c>
      <c r="E321" s="615"/>
      <c r="F321" s="620">
        <f>SUM(F323:F342)</f>
        <v>-3456442.77</v>
      </c>
      <c r="G321" s="615"/>
      <c r="H321" s="615"/>
      <c r="I321" s="615"/>
      <c r="J321" s="1699">
        <v>0</v>
      </c>
      <c r="K321" s="1360"/>
      <c r="L321" s="655"/>
      <c r="M321" s="655"/>
      <c r="N321" s="655"/>
      <c r="O321" s="655"/>
      <c r="P321" s="670"/>
      <c r="Q321" s="670"/>
      <c r="R321" s="655"/>
      <c r="S321" s="670"/>
      <c r="T321" s="670"/>
      <c r="U321" s="670"/>
      <c r="V321" s="670"/>
      <c r="W321" s="670"/>
      <c r="X321" s="670"/>
      <c r="Y321" s="670"/>
      <c r="Z321" s="670"/>
      <c r="AA321" s="670"/>
      <c r="AB321" s="681"/>
    </row>
    <row r="322" spans="1:28" ht="13.5" thickBot="1">
      <c r="A322" s="1691"/>
      <c r="B322" s="621"/>
      <c r="C322" s="621"/>
      <c r="D322" s="622"/>
      <c r="E322" s="615"/>
      <c r="F322" s="620"/>
      <c r="G322" s="615"/>
      <c r="H322" s="615"/>
      <c r="I322" s="615"/>
      <c r="J322" s="1699"/>
      <c r="K322" s="1360"/>
      <c r="L322" s="655"/>
      <c r="M322" s="655"/>
      <c r="N322" s="655"/>
      <c r="O322" s="655"/>
      <c r="P322" s="670"/>
      <c r="Q322" s="670"/>
      <c r="R322" s="655"/>
      <c r="S322" s="670"/>
      <c r="T322" s="670"/>
      <c r="U322" s="670"/>
      <c r="V322" s="670"/>
      <c r="W322" s="670"/>
      <c r="X322" s="670"/>
      <c r="Y322" s="670"/>
      <c r="Z322" s="670"/>
      <c r="AA322" s="670"/>
      <c r="AB322" s="681"/>
    </row>
    <row r="323" spans="1:28">
      <c r="A323" s="1691"/>
      <c r="B323" s="749" t="s">
        <v>3402</v>
      </c>
      <c r="C323" s="749"/>
      <c r="D323" s="750"/>
      <c r="E323" s="615"/>
      <c r="F323" s="576">
        <v>150000</v>
      </c>
      <c r="G323" s="615"/>
      <c r="H323" s="615"/>
      <c r="I323" s="615"/>
      <c r="J323" s="1700">
        <v>0</v>
      </c>
      <c r="K323" s="1360"/>
      <c r="L323" s="655"/>
      <c r="M323" s="655"/>
      <c r="N323" s="655"/>
      <c r="O323" s="655"/>
      <c r="P323" s="670"/>
      <c r="Q323" s="670"/>
      <c r="R323" s="655"/>
      <c r="S323" s="670"/>
      <c r="T323" s="670"/>
      <c r="U323" s="670"/>
      <c r="V323" s="670"/>
      <c r="W323" s="670"/>
      <c r="X323" s="670"/>
      <c r="Y323" s="670"/>
      <c r="Z323" s="670"/>
      <c r="AA323" s="670"/>
      <c r="AB323" s="681"/>
    </row>
    <row r="324" spans="1:28">
      <c r="A324" s="1691"/>
      <c r="B324" s="751" t="s">
        <v>3410</v>
      </c>
      <c r="C324" s="751"/>
      <c r="D324" s="752"/>
      <c r="E324" s="615"/>
      <c r="F324" s="753">
        <v>450000</v>
      </c>
      <c r="G324" s="615"/>
      <c r="H324" s="615"/>
      <c r="I324" s="615"/>
      <c r="J324" s="1701">
        <v>0</v>
      </c>
      <c r="K324" s="1360"/>
      <c r="L324" s="655"/>
      <c r="M324" s="655"/>
      <c r="N324" s="655"/>
      <c r="O324" s="655"/>
      <c r="P324" s="670"/>
      <c r="Q324" s="670"/>
      <c r="R324" s="655"/>
      <c r="S324" s="670"/>
      <c r="T324" s="670"/>
      <c r="U324" s="670"/>
      <c r="V324" s="670"/>
      <c r="W324" s="670"/>
      <c r="X324" s="670"/>
      <c r="Y324" s="670"/>
      <c r="Z324" s="670"/>
      <c r="AA324" s="670"/>
      <c r="AB324" s="681"/>
    </row>
    <row r="325" spans="1:28" ht="25.5">
      <c r="A325" s="1691"/>
      <c r="B325" s="754" t="s">
        <v>3411</v>
      </c>
      <c r="C325" s="754"/>
      <c r="D325" s="755"/>
      <c r="E325" s="615"/>
      <c r="F325" s="753">
        <v>108167.39</v>
      </c>
      <c r="G325" s="615"/>
      <c r="H325" s="615"/>
      <c r="I325" s="615"/>
      <c r="J325" s="1701">
        <v>0</v>
      </c>
      <c r="K325" s="1360"/>
      <c r="L325" s="655"/>
      <c r="M325" s="655"/>
      <c r="N325" s="655"/>
      <c r="O325" s="655"/>
      <c r="P325" s="670"/>
      <c r="Q325" s="670"/>
      <c r="R325" s="655"/>
      <c r="S325" s="670"/>
      <c r="T325" s="670"/>
      <c r="U325" s="670"/>
      <c r="V325" s="670"/>
      <c r="W325" s="670"/>
      <c r="X325" s="670"/>
      <c r="Y325" s="670"/>
      <c r="Z325" s="670"/>
      <c r="AA325" s="670"/>
      <c r="AB325" s="681"/>
    </row>
    <row r="326" spans="1:28" ht="25.5">
      <c r="A326" s="1691"/>
      <c r="B326" s="754" t="s">
        <v>3412</v>
      </c>
      <c r="C326" s="754"/>
      <c r="D326" s="755"/>
      <c r="E326" s="615"/>
      <c r="F326" s="753">
        <v>-200</v>
      </c>
      <c r="G326" s="615"/>
      <c r="H326" s="615"/>
      <c r="I326" s="615"/>
      <c r="J326" s="1701">
        <v>0</v>
      </c>
      <c r="K326" s="1360"/>
      <c r="L326" s="655"/>
      <c r="M326" s="655"/>
      <c r="N326" s="655"/>
      <c r="O326" s="655"/>
      <c r="P326" s="670"/>
      <c r="Q326" s="670"/>
      <c r="R326" s="655"/>
      <c r="S326" s="670"/>
      <c r="T326" s="670"/>
      <c r="U326" s="670"/>
      <c r="V326" s="670"/>
      <c r="W326" s="670"/>
      <c r="X326" s="670"/>
      <c r="Y326" s="670"/>
      <c r="Z326" s="670"/>
      <c r="AA326" s="670"/>
      <c r="AB326" s="681"/>
    </row>
    <row r="327" spans="1:28">
      <c r="A327" s="1691"/>
      <c r="B327" s="754" t="s">
        <v>3611</v>
      </c>
      <c r="C327" s="754"/>
      <c r="D327" s="755">
        <v>0</v>
      </c>
      <c r="E327" s="615"/>
      <c r="F327" s="753"/>
      <c r="G327" s="615"/>
      <c r="H327" s="615"/>
      <c r="I327" s="615"/>
      <c r="J327" s="1701"/>
      <c r="K327" s="1360"/>
      <c r="L327" s="655"/>
      <c r="M327" s="655"/>
      <c r="N327" s="655"/>
      <c r="O327" s="655"/>
      <c r="P327" s="670"/>
      <c r="Q327" s="670"/>
      <c r="R327" s="655"/>
      <c r="S327" s="670"/>
      <c r="T327" s="670"/>
      <c r="U327" s="670"/>
      <c r="V327" s="670"/>
      <c r="W327" s="670"/>
      <c r="X327" s="670"/>
      <c r="Y327" s="670"/>
      <c r="Z327" s="670"/>
      <c r="AA327" s="670"/>
      <c r="AB327" s="681"/>
    </row>
    <row r="328" spans="1:28">
      <c r="A328" s="1691"/>
      <c r="B328" s="754" t="s">
        <v>3609</v>
      </c>
      <c r="C328" s="754"/>
      <c r="D328" s="755">
        <f>2017.46+7500+290+2306-2000-1150+231262.92</f>
        <v>240226.38</v>
      </c>
      <c r="E328" s="615"/>
      <c r="F328" s="753"/>
      <c r="G328" s="615"/>
      <c r="H328" s="615"/>
      <c r="I328" s="615"/>
      <c r="J328" s="1701"/>
      <c r="K328" s="1360"/>
      <c r="L328" s="655"/>
      <c r="M328" s="655"/>
      <c r="N328" s="655"/>
      <c r="O328" s="655"/>
      <c r="P328" s="670"/>
      <c r="Q328" s="670"/>
      <c r="R328" s="655"/>
      <c r="S328" s="670"/>
      <c r="T328" s="670"/>
      <c r="U328" s="670"/>
      <c r="V328" s="670"/>
      <c r="W328" s="670"/>
      <c r="X328" s="670"/>
      <c r="Y328" s="670"/>
      <c r="Z328" s="670"/>
      <c r="AA328" s="670"/>
      <c r="AB328" s="681"/>
    </row>
    <row r="329" spans="1:28">
      <c r="A329" s="1691"/>
      <c r="B329" s="754" t="s">
        <v>3610</v>
      </c>
      <c r="C329" s="754"/>
      <c r="D329" s="755">
        <f>300000</f>
        <v>300000</v>
      </c>
      <c r="E329" s="615"/>
      <c r="F329" s="753"/>
      <c r="G329" s="615"/>
      <c r="H329" s="615"/>
      <c r="I329" s="615"/>
      <c r="J329" s="1701"/>
      <c r="K329" s="1360"/>
      <c r="L329" s="655"/>
      <c r="M329" s="655"/>
      <c r="N329" s="655"/>
      <c r="O329" s="655"/>
      <c r="P329" s="670"/>
      <c r="Q329" s="670"/>
      <c r="R329" s="655"/>
      <c r="S329" s="670"/>
      <c r="T329" s="670"/>
      <c r="U329" s="670"/>
      <c r="V329" s="670"/>
      <c r="W329" s="670"/>
      <c r="X329" s="670"/>
      <c r="Y329" s="670"/>
      <c r="Z329" s="670"/>
      <c r="AA329" s="670"/>
      <c r="AB329" s="681"/>
    </row>
    <row r="330" spans="1:28">
      <c r="A330" s="1691"/>
      <c r="B330" s="754" t="s">
        <v>3608</v>
      </c>
      <c r="C330" s="754"/>
      <c r="D330" s="755">
        <f>-801147.66+238868.52-443082</f>
        <v>-1005361.14</v>
      </c>
      <c r="E330" s="615"/>
      <c r="F330" s="753"/>
      <c r="G330" s="615"/>
      <c r="H330" s="615"/>
      <c r="I330" s="615"/>
      <c r="J330" s="1701"/>
      <c r="K330" s="1360"/>
      <c r="L330" s="655"/>
      <c r="M330" s="655"/>
      <c r="N330" s="655"/>
      <c r="O330" s="655"/>
      <c r="P330" s="670"/>
      <c r="Q330" s="670"/>
      <c r="R330" s="655"/>
      <c r="S330" s="670"/>
      <c r="T330" s="670"/>
      <c r="U330" s="670"/>
      <c r="V330" s="670"/>
      <c r="W330" s="670"/>
      <c r="X330" s="670"/>
      <c r="Y330" s="670"/>
      <c r="Z330" s="670"/>
      <c r="AA330" s="670"/>
      <c r="AB330" s="681"/>
    </row>
    <row r="331" spans="1:28">
      <c r="A331" s="1691"/>
      <c r="B331" s="1316" t="s">
        <v>3988</v>
      </c>
      <c r="C331" s="754"/>
      <c r="D331" s="755">
        <v>0</v>
      </c>
      <c r="E331" s="615"/>
      <c r="F331" s="753">
        <v>-1968144</v>
      </c>
      <c r="G331" s="615"/>
      <c r="H331" s="615"/>
      <c r="I331" s="615"/>
      <c r="J331" s="1701"/>
      <c r="K331" s="1360"/>
      <c r="L331" s="655"/>
      <c r="M331" s="655"/>
      <c r="N331" s="655"/>
      <c r="O331" s="655"/>
      <c r="P331" s="670"/>
      <c r="Q331" s="670"/>
      <c r="R331" s="655"/>
      <c r="S331" s="670"/>
      <c r="T331" s="670"/>
      <c r="U331" s="670"/>
      <c r="V331" s="670"/>
      <c r="W331" s="670"/>
      <c r="X331" s="670"/>
      <c r="Y331" s="670"/>
      <c r="Z331" s="670"/>
      <c r="AA331" s="670"/>
      <c r="AB331" s="681"/>
    </row>
    <row r="332" spans="1:28">
      <c r="A332" s="1691"/>
      <c r="B332" s="754" t="s">
        <v>3607</v>
      </c>
      <c r="C332" s="754"/>
      <c r="D332" s="755">
        <f>-263834.45+310407.65-5583.79+1827.66-249659.91-7664.26</f>
        <v>-214507.1</v>
      </c>
      <c r="E332" s="615"/>
      <c r="F332" s="753"/>
      <c r="G332" s="615"/>
      <c r="H332" s="615"/>
      <c r="I332" s="615"/>
      <c r="J332" s="1701"/>
      <c r="K332" s="1360"/>
      <c r="L332" s="655"/>
      <c r="M332" s="655"/>
      <c r="N332" s="655"/>
      <c r="O332" s="655"/>
      <c r="P332" s="670"/>
      <c r="Q332" s="670"/>
      <c r="R332" s="655"/>
      <c r="S332" s="670"/>
      <c r="T332" s="670"/>
      <c r="U332" s="670"/>
      <c r="V332" s="670"/>
      <c r="W332" s="670"/>
      <c r="X332" s="670"/>
      <c r="Y332" s="670"/>
      <c r="Z332" s="670"/>
      <c r="AA332" s="670"/>
      <c r="AB332" s="681"/>
    </row>
    <row r="333" spans="1:28">
      <c r="A333" s="1691"/>
      <c r="B333" s="754" t="s">
        <v>3606</v>
      </c>
      <c r="C333" s="754"/>
      <c r="D333" s="755">
        <v>31193.91</v>
      </c>
      <c r="E333" s="615"/>
      <c r="F333" s="753"/>
      <c r="G333" s="615"/>
      <c r="H333" s="615"/>
      <c r="I333" s="615"/>
      <c r="J333" s="1701"/>
      <c r="K333" s="1360"/>
      <c r="L333" s="655"/>
      <c r="M333" s="655"/>
      <c r="N333" s="655"/>
      <c r="O333" s="655"/>
      <c r="P333" s="670"/>
      <c r="Q333" s="670"/>
      <c r="R333" s="655"/>
      <c r="S333" s="670"/>
      <c r="T333" s="670"/>
      <c r="U333" s="670"/>
      <c r="V333" s="670"/>
      <c r="W333" s="670"/>
      <c r="X333" s="670"/>
      <c r="Y333" s="670"/>
      <c r="Z333" s="670"/>
      <c r="AA333" s="670"/>
      <c r="AB333" s="681"/>
    </row>
    <row r="334" spans="1:28">
      <c r="A334" s="1691"/>
      <c r="B334" s="754" t="s">
        <v>3920</v>
      </c>
      <c r="C334" s="754"/>
      <c r="D334" s="755">
        <f>-3020.2+1657.78-3</f>
        <v>-1365.4199999999998</v>
      </c>
      <c r="E334" s="615"/>
      <c r="F334" s="753"/>
      <c r="G334" s="615"/>
      <c r="H334" s="615"/>
      <c r="I334" s="615"/>
      <c r="J334" s="1701"/>
      <c r="K334" s="1360"/>
      <c r="L334" s="655"/>
      <c r="M334" s="655"/>
      <c r="N334" s="655"/>
      <c r="O334" s="655"/>
      <c r="P334" s="670"/>
      <c r="Q334" s="670"/>
      <c r="R334" s="655"/>
      <c r="S334" s="670"/>
      <c r="T334" s="670"/>
      <c r="U334" s="670"/>
      <c r="V334" s="670"/>
      <c r="W334" s="670"/>
      <c r="X334" s="670"/>
      <c r="Y334" s="670"/>
      <c r="Z334" s="670"/>
      <c r="AA334" s="670"/>
      <c r="AB334" s="681"/>
    </row>
    <row r="335" spans="1:28">
      <c r="A335" s="1691"/>
      <c r="B335" s="754" t="s">
        <v>3953</v>
      </c>
      <c r="C335" s="754"/>
      <c r="D335" s="755">
        <v>35276</v>
      </c>
      <c r="E335" s="615"/>
      <c r="F335" s="753"/>
      <c r="G335" s="615"/>
      <c r="H335" s="615"/>
      <c r="I335" s="615"/>
      <c r="J335" s="1701"/>
      <c r="K335" s="1360"/>
      <c r="L335" s="655"/>
      <c r="M335" s="655"/>
      <c r="N335" s="655"/>
      <c r="O335" s="655"/>
      <c r="P335" s="670"/>
      <c r="Q335" s="670"/>
      <c r="R335" s="655"/>
      <c r="S335" s="670"/>
      <c r="T335" s="670"/>
      <c r="U335" s="670"/>
      <c r="V335" s="670"/>
      <c r="W335" s="670"/>
      <c r="X335" s="670"/>
      <c r="Y335" s="670"/>
      <c r="Z335" s="670"/>
      <c r="AA335" s="670"/>
      <c r="AB335" s="681"/>
    </row>
    <row r="336" spans="1:28">
      <c r="A336" s="1691"/>
      <c r="B336" s="749" t="s">
        <v>3399</v>
      </c>
      <c r="C336" s="749"/>
      <c r="D336" s="756"/>
      <c r="E336" s="615"/>
      <c r="F336" s="577">
        <v>-2631.07</v>
      </c>
      <c r="G336" s="615"/>
      <c r="H336" s="615"/>
      <c r="I336" s="615"/>
      <c r="J336" s="1701">
        <v>0</v>
      </c>
      <c r="K336" s="1360"/>
      <c r="L336" s="655"/>
      <c r="M336" s="655"/>
      <c r="N336" s="655"/>
      <c r="O336" s="655"/>
      <c r="P336" s="670"/>
      <c r="Q336" s="670"/>
      <c r="R336" s="655"/>
      <c r="S336" s="670"/>
      <c r="T336" s="670"/>
      <c r="U336" s="670"/>
      <c r="V336" s="670"/>
      <c r="W336" s="670"/>
      <c r="X336" s="670"/>
      <c r="Y336" s="670"/>
      <c r="Z336" s="670"/>
      <c r="AA336" s="670"/>
      <c r="AB336" s="681"/>
    </row>
    <row r="337" spans="1:28">
      <c r="A337" s="1691"/>
      <c r="B337" s="749" t="s">
        <v>3400</v>
      </c>
      <c r="C337" s="749"/>
      <c r="D337" s="756"/>
      <c r="E337" s="615"/>
      <c r="F337" s="577">
        <v>-108167.39</v>
      </c>
      <c r="G337" s="615"/>
      <c r="H337" s="615"/>
      <c r="I337" s="615"/>
      <c r="J337" s="1701">
        <v>0</v>
      </c>
      <c r="K337" s="1360"/>
      <c r="L337" s="655"/>
      <c r="M337" s="655"/>
      <c r="N337" s="655"/>
      <c r="O337" s="655"/>
      <c r="P337" s="670"/>
      <c r="Q337" s="670"/>
      <c r="R337" s="655"/>
      <c r="S337" s="670"/>
      <c r="T337" s="670"/>
      <c r="U337" s="670"/>
      <c r="V337" s="670"/>
      <c r="W337" s="670"/>
      <c r="X337" s="670"/>
      <c r="Y337" s="670"/>
      <c r="Z337" s="670"/>
      <c r="AA337" s="670"/>
      <c r="AB337" s="681"/>
    </row>
    <row r="338" spans="1:28">
      <c r="A338" s="1691"/>
      <c r="B338" s="749" t="s">
        <v>3399</v>
      </c>
      <c r="C338" s="749"/>
      <c r="D338" s="756">
        <v>-365350.63</v>
      </c>
      <c r="E338" s="615"/>
      <c r="F338" s="577">
        <v>1412.9</v>
      </c>
      <c r="G338" s="615"/>
      <c r="H338" s="615"/>
      <c r="I338" s="615"/>
      <c r="J338" s="1701">
        <v>0</v>
      </c>
      <c r="K338" s="1360"/>
      <c r="L338" s="655"/>
      <c r="M338" s="655"/>
      <c r="N338" s="655"/>
      <c r="O338" s="655"/>
      <c r="P338" s="670"/>
      <c r="Q338" s="670"/>
      <c r="R338" s="655"/>
      <c r="S338" s="670"/>
      <c r="T338" s="670"/>
      <c r="U338" s="670"/>
      <c r="V338" s="670"/>
      <c r="W338" s="670"/>
      <c r="X338" s="670"/>
      <c r="Y338" s="670"/>
      <c r="Z338" s="670"/>
      <c r="AA338" s="670"/>
      <c r="AB338" s="681"/>
    </row>
    <row r="339" spans="1:28">
      <c r="A339" s="1691"/>
      <c r="B339" s="749" t="s">
        <v>3401</v>
      </c>
      <c r="C339" s="749"/>
      <c r="D339" s="756">
        <v>43462</v>
      </c>
      <c r="E339" s="615"/>
      <c r="F339" s="577">
        <v>-1066585.6000000001</v>
      </c>
      <c r="G339" s="615"/>
      <c r="H339" s="615"/>
      <c r="I339" s="615"/>
      <c r="J339" s="1701">
        <v>0</v>
      </c>
      <c r="K339" s="1360"/>
      <c r="L339" s="655"/>
      <c r="M339" s="655"/>
      <c r="N339" s="655"/>
      <c r="O339" s="655"/>
      <c r="P339" s="670"/>
      <c r="Q339" s="670"/>
      <c r="R339" s="655"/>
      <c r="S339" s="670"/>
      <c r="T339" s="670"/>
      <c r="U339" s="670"/>
      <c r="V339" s="670"/>
      <c r="W339" s="670"/>
      <c r="X339" s="670"/>
      <c r="Y339" s="670"/>
      <c r="Z339" s="670"/>
      <c r="AA339" s="670"/>
      <c r="AB339" s="681"/>
    </row>
    <row r="340" spans="1:28">
      <c r="A340" s="1691"/>
      <c r="B340" s="749" t="s">
        <v>3403</v>
      </c>
      <c r="C340" s="749"/>
      <c r="D340" s="756">
        <v>-1500638.68</v>
      </c>
      <c r="E340" s="615"/>
      <c r="F340" s="577">
        <v>2584133</v>
      </c>
      <c r="G340" s="615"/>
      <c r="H340" s="615"/>
      <c r="I340" s="615"/>
      <c r="J340" s="1701">
        <v>0</v>
      </c>
      <c r="K340" s="1360"/>
      <c r="L340" s="655"/>
      <c r="M340" s="655"/>
      <c r="N340" s="655"/>
      <c r="O340" s="655"/>
      <c r="P340" s="670"/>
      <c r="Q340" s="670"/>
      <c r="R340" s="655"/>
      <c r="S340" s="670"/>
      <c r="T340" s="670"/>
      <c r="U340" s="670"/>
      <c r="V340" s="670"/>
      <c r="W340" s="670"/>
      <c r="X340" s="670"/>
      <c r="Y340" s="670"/>
      <c r="Z340" s="670"/>
      <c r="AA340" s="670"/>
      <c r="AB340" s="681"/>
    </row>
    <row r="341" spans="1:28">
      <c r="A341" s="1691"/>
      <c r="B341" s="749" t="s">
        <v>3416</v>
      </c>
      <c r="C341" s="749"/>
      <c r="D341" s="756"/>
      <c r="E341" s="615"/>
      <c r="F341" s="577">
        <v>-3629994</v>
      </c>
      <c r="G341" s="615"/>
      <c r="H341" s="615"/>
      <c r="I341" s="615"/>
      <c r="J341" s="1701">
        <v>0</v>
      </c>
      <c r="K341" s="1360"/>
      <c r="L341" s="655"/>
      <c r="M341" s="655"/>
      <c r="N341" s="655"/>
      <c r="O341" s="655"/>
      <c r="P341" s="670"/>
      <c r="Q341" s="670"/>
      <c r="R341" s="655"/>
      <c r="S341" s="670"/>
      <c r="T341" s="670"/>
      <c r="U341" s="670"/>
      <c r="V341" s="670"/>
      <c r="W341" s="670"/>
      <c r="X341" s="670"/>
      <c r="Y341" s="670"/>
      <c r="Z341" s="670"/>
      <c r="AA341" s="670"/>
      <c r="AB341" s="681"/>
    </row>
    <row r="342" spans="1:28" ht="13.5" thickBot="1">
      <c r="A342" s="1691"/>
      <c r="B342" s="749" t="s">
        <v>3404</v>
      </c>
      <c r="C342" s="749"/>
      <c r="D342" s="757">
        <v>-1314943.1599999999</v>
      </c>
      <c r="E342" s="615"/>
      <c r="F342" s="578">
        <v>25566</v>
      </c>
      <c r="G342" s="615"/>
      <c r="H342" s="615"/>
      <c r="I342" s="615"/>
      <c r="J342" s="1702">
        <v>0</v>
      </c>
      <c r="K342" s="1360"/>
      <c r="L342" s="655"/>
      <c r="M342" s="655"/>
      <c r="N342" s="655"/>
      <c r="O342" s="655"/>
      <c r="P342" s="670"/>
      <c r="Q342" s="670"/>
      <c r="R342" s="655"/>
      <c r="S342" s="670"/>
      <c r="T342" s="670"/>
      <c r="U342" s="670"/>
      <c r="V342" s="670"/>
      <c r="W342" s="670"/>
      <c r="X342" s="670"/>
      <c r="Y342" s="670"/>
      <c r="Z342" s="670"/>
      <c r="AA342" s="670"/>
      <c r="AB342" s="681"/>
    </row>
    <row r="343" spans="1:28">
      <c r="A343" s="1691"/>
      <c r="B343" s="749"/>
      <c r="C343" s="749"/>
      <c r="D343" s="579"/>
      <c r="E343" s="615"/>
      <c r="F343" s="579"/>
      <c r="G343" s="615"/>
      <c r="H343" s="615"/>
      <c r="I343" s="615"/>
      <c r="J343" s="1699"/>
      <c r="K343" s="1360"/>
      <c r="L343" s="655"/>
      <c r="M343" s="655"/>
      <c r="N343" s="655"/>
      <c r="O343" s="655"/>
      <c r="P343" s="670"/>
      <c r="Q343" s="670"/>
      <c r="R343" s="655"/>
      <c r="S343" s="670"/>
      <c r="T343" s="670"/>
      <c r="U343" s="670"/>
      <c r="V343" s="670"/>
      <c r="W343" s="670"/>
      <c r="X343" s="670"/>
      <c r="Y343" s="670"/>
      <c r="Z343" s="670"/>
      <c r="AA343" s="670"/>
      <c r="AB343" s="681"/>
    </row>
    <row r="344" spans="1:28" ht="13.5" thickBot="1">
      <c r="A344" s="1691"/>
      <c r="B344" s="621" t="s">
        <v>3417</v>
      </c>
      <c r="C344" s="621"/>
      <c r="D344" s="758">
        <f>D321</f>
        <v>-3752007.84</v>
      </c>
      <c r="E344" s="615"/>
      <c r="F344" s="580">
        <f>F321</f>
        <v>-3456442.77</v>
      </c>
      <c r="G344" s="615"/>
      <c r="H344" s="615"/>
      <c r="I344" s="615"/>
      <c r="J344" s="1703">
        <v>0</v>
      </c>
      <c r="K344" s="1360"/>
      <c r="L344" s="655"/>
      <c r="M344" s="655"/>
      <c r="N344" s="655"/>
      <c r="O344" s="655"/>
      <c r="P344" s="670"/>
      <c r="Q344" s="670"/>
      <c r="R344" s="655"/>
      <c r="S344" s="670"/>
      <c r="T344" s="670"/>
      <c r="U344" s="670"/>
      <c r="V344" s="670"/>
      <c r="W344" s="670"/>
      <c r="X344" s="670"/>
      <c r="Y344" s="670"/>
      <c r="Z344" s="670"/>
      <c r="AA344" s="670"/>
      <c r="AB344" s="681"/>
    </row>
    <row r="345" spans="1:28" ht="13.5" thickTop="1">
      <c r="A345" s="1590"/>
      <c r="B345" s="621"/>
      <c r="C345" s="621"/>
      <c r="D345" s="622"/>
      <c r="E345" s="670"/>
      <c r="F345" s="581"/>
      <c r="G345" s="670"/>
      <c r="H345" s="670"/>
      <c r="I345" s="670"/>
      <c r="J345" s="1704"/>
      <c r="K345" s="1355"/>
      <c r="L345" s="655"/>
      <c r="M345" s="655"/>
      <c r="N345" s="655"/>
      <c r="O345" s="655"/>
      <c r="P345" s="670"/>
      <c r="Q345" s="670"/>
      <c r="R345" s="655"/>
      <c r="S345" s="670"/>
      <c r="T345" s="670"/>
      <c r="U345" s="670"/>
      <c r="V345" s="670"/>
      <c r="W345" s="670"/>
      <c r="X345" s="670"/>
      <c r="Y345" s="670"/>
      <c r="Z345" s="670"/>
      <c r="AA345" s="670"/>
      <c r="AB345" s="681"/>
    </row>
    <row r="346" spans="1:28">
      <c r="A346" s="1590"/>
      <c r="B346" s="682"/>
      <c r="C346" s="682"/>
      <c r="D346" s="683"/>
      <c r="E346" s="670"/>
      <c r="F346" s="581"/>
      <c r="G346" s="670"/>
      <c r="H346" s="670"/>
      <c r="I346" s="670"/>
      <c r="J346" s="1446"/>
      <c r="K346" s="1355"/>
      <c r="L346" s="655"/>
      <c r="M346" s="655"/>
      <c r="N346" s="655"/>
      <c r="O346" s="655"/>
      <c r="P346" s="670"/>
      <c r="Q346" s="670"/>
      <c r="R346" s="655"/>
      <c r="S346" s="670"/>
      <c r="T346" s="670"/>
      <c r="U346" s="670"/>
      <c r="V346" s="670"/>
      <c r="W346" s="670"/>
      <c r="X346" s="670"/>
      <c r="Y346" s="670"/>
      <c r="Z346" s="670"/>
      <c r="AA346" s="670"/>
      <c r="AB346" s="681"/>
    </row>
    <row r="347" spans="1:28">
      <c r="A347" s="1684"/>
      <c r="B347" s="677"/>
      <c r="C347" s="677"/>
      <c r="D347" s="676"/>
      <c r="E347" s="677"/>
      <c r="F347" s="760"/>
      <c r="G347" s="677"/>
      <c r="H347" s="677"/>
      <c r="I347" s="677"/>
      <c r="J347" s="1705"/>
      <c r="K347" s="1353"/>
      <c r="L347" s="655"/>
      <c r="M347" s="655"/>
      <c r="N347" s="655"/>
      <c r="O347" s="655"/>
      <c r="P347" s="670"/>
      <c r="Q347" s="670"/>
      <c r="R347" s="655"/>
      <c r="S347" s="670"/>
      <c r="T347" s="670"/>
      <c r="U347" s="670"/>
      <c r="V347" s="670"/>
      <c r="W347" s="670"/>
      <c r="X347" s="670"/>
      <c r="Y347" s="670"/>
      <c r="Z347" s="670"/>
      <c r="AA347" s="670"/>
      <c r="AB347" s="681"/>
    </row>
    <row r="348" spans="1:28">
      <c r="A348" s="1590"/>
      <c r="B348" s="703"/>
      <c r="C348" s="703"/>
      <c r="D348" s="704" t="s">
        <v>3484</v>
      </c>
      <c r="E348" s="703"/>
      <c r="F348" s="704" t="s">
        <v>2651</v>
      </c>
      <c r="G348" s="703"/>
      <c r="H348" s="703"/>
      <c r="I348" s="703"/>
      <c r="J348" s="1440" t="s">
        <v>1634</v>
      </c>
      <c r="K348" s="1354"/>
      <c r="L348" s="655"/>
      <c r="M348" s="655"/>
      <c r="N348" s="655"/>
      <c r="O348" s="655"/>
      <c r="P348" s="670"/>
      <c r="Q348" s="670"/>
      <c r="R348" s="655"/>
      <c r="S348" s="670"/>
      <c r="T348" s="670"/>
      <c r="U348" s="670"/>
      <c r="V348" s="670"/>
      <c r="W348" s="670"/>
      <c r="X348" s="670"/>
      <c r="Y348" s="670"/>
      <c r="Z348" s="670"/>
      <c r="AA348" s="670"/>
      <c r="AB348" s="681"/>
    </row>
    <row r="349" spans="1:28">
      <c r="A349" s="1706"/>
      <c r="B349" s="703"/>
      <c r="C349" s="703"/>
      <c r="D349" s="706"/>
      <c r="E349" s="703"/>
      <c r="F349" s="706" t="s">
        <v>2422</v>
      </c>
      <c r="G349" s="703"/>
      <c r="H349" s="703"/>
      <c r="I349" s="703"/>
      <c r="J349" s="1441" t="s">
        <v>2422</v>
      </c>
      <c r="K349" s="1354"/>
      <c r="L349" s="655"/>
      <c r="M349" s="655"/>
      <c r="N349" s="655"/>
      <c r="O349" s="655"/>
      <c r="P349" s="670"/>
      <c r="Q349" s="670"/>
      <c r="R349" s="655"/>
      <c r="S349" s="670"/>
      <c r="T349" s="670"/>
      <c r="U349" s="670"/>
      <c r="V349" s="670"/>
      <c r="W349" s="670"/>
      <c r="X349" s="670"/>
      <c r="Y349" s="670"/>
      <c r="Z349" s="670"/>
      <c r="AA349" s="670"/>
      <c r="AB349" s="681"/>
    </row>
    <row r="350" spans="1:28">
      <c r="A350" s="1679" t="s">
        <v>731</v>
      </c>
      <c r="B350" s="709" t="s">
        <v>2036</v>
      </c>
      <c r="C350" s="709"/>
      <c r="D350" s="711"/>
      <c r="E350" s="708"/>
      <c r="F350" s="655"/>
      <c r="G350" s="670"/>
      <c r="H350" s="670"/>
      <c r="I350" s="670"/>
      <c r="J350" s="1439"/>
      <c r="K350" s="1356"/>
      <c r="L350" s="655"/>
      <c r="M350" s="655"/>
      <c r="N350" s="655"/>
      <c r="O350" s="655"/>
      <c r="P350" s="670"/>
      <c r="Q350" s="670"/>
      <c r="R350" s="655"/>
      <c r="S350" s="670"/>
      <c r="T350" s="670"/>
      <c r="U350" s="670"/>
      <c r="V350" s="670"/>
      <c r="W350" s="670"/>
      <c r="X350" s="670"/>
      <c r="Y350" s="670"/>
      <c r="Z350" s="670"/>
      <c r="AA350" s="670"/>
      <c r="AB350" s="681"/>
    </row>
    <row r="351" spans="1:28" ht="15">
      <c r="A351" s="1590"/>
      <c r="B351" s="709" t="s">
        <v>2537</v>
      </c>
      <c r="C351" s="709"/>
      <c r="D351" s="683">
        <f>'Statement of Financial Performa'!F61+1</f>
        <v>-14841359.129999995</v>
      </c>
      <c r="E351" s="709"/>
      <c r="F351" s="683">
        <f>'Statement of Financial Performa'!H61+1</f>
        <v>76525049.929999992</v>
      </c>
      <c r="G351" s="682"/>
      <c r="H351" s="682"/>
      <c r="I351" s="682"/>
      <c r="J351" s="1446">
        <f>'Statement of Financial Performa'!J61</f>
        <v>10925288.24000001</v>
      </c>
      <c r="K351" s="1356"/>
      <c r="L351" s="622"/>
      <c r="M351" s="655"/>
      <c r="N351" s="655"/>
      <c r="O351" s="655"/>
      <c r="P351" s="761"/>
      <c r="Q351" s="762"/>
      <c r="R351" s="763"/>
      <c r="S351" s="763"/>
      <c r="T351" s="670"/>
      <c r="U351" s="670"/>
      <c r="V351" s="670"/>
      <c r="W351" s="670"/>
      <c r="X351" s="670"/>
      <c r="Y351" s="670"/>
      <c r="Z351" s="670"/>
      <c r="AA351" s="670"/>
      <c r="AB351" s="681"/>
    </row>
    <row r="352" spans="1:28" ht="15">
      <c r="A352" s="1590"/>
      <c r="B352" s="708" t="s">
        <v>440</v>
      </c>
      <c r="C352" s="708"/>
      <c r="D352" s="713"/>
      <c r="E352" s="708"/>
      <c r="F352" s="655" t="s">
        <v>45</v>
      </c>
      <c r="G352" s="670"/>
      <c r="H352" s="670"/>
      <c r="I352" s="670"/>
      <c r="J352" s="1439"/>
      <c r="K352" s="1355"/>
      <c r="L352" s="655"/>
      <c r="M352" s="655"/>
      <c r="N352" s="655"/>
      <c r="O352" s="655"/>
      <c r="P352" s="761"/>
      <c r="Q352" s="763"/>
      <c r="R352" s="763"/>
      <c r="S352" s="763"/>
      <c r="T352" s="670"/>
      <c r="U352" s="670"/>
      <c r="V352" s="670"/>
      <c r="W352" s="670"/>
      <c r="X352" s="670"/>
      <c r="Y352" s="670"/>
      <c r="Z352" s="670"/>
      <c r="AA352" s="670"/>
      <c r="AB352" s="681"/>
    </row>
    <row r="353" spans="1:28" ht="15">
      <c r="A353" s="1590"/>
      <c r="B353" s="1332" t="s">
        <v>2037</v>
      </c>
      <c r="C353" s="1332"/>
      <c r="D353" s="655">
        <f>'Statement of Financial Performa'!F41+188</f>
        <v>4948383.1300000008</v>
      </c>
      <c r="E353" s="708"/>
      <c r="F353" s="655">
        <v>6100208</v>
      </c>
      <c r="G353" s="670"/>
      <c r="H353" s="670"/>
      <c r="I353" s="670"/>
      <c r="J353" s="1439">
        <f>'Statement of Financial Performa'!J41</f>
        <v>3492914.18</v>
      </c>
      <c r="K353" s="1355"/>
      <c r="L353" s="655"/>
      <c r="M353" s="655"/>
      <c r="N353" s="655"/>
      <c r="O353" s="655"/>
      <c r="P353" s="761"/>
      <c r="Q353" s="763"/>
      <c r="R353" s="763"/>
      <c r="S353" s="763"/>
      <c r="T353" s="670"/>
      <c r="U353" s="670"/>
      <c r="V353" s="670"/>
      <c r="W353" s="670"/>
      <c r="X353" s="670"/>
      <c r="Y353" s="670"/>
      <c r="Z353" s="670"/>
      <c r="AA353" s="670"/>
      <c r="AB353" s="681"/>
    </row>
    <row r="354" spans="1:28" ht="15">
      <c r="A354" s="1590"/>
      <c r="B354" s="1332" t="s">
        <v>448</v>
      </c>
      <c r="C354" s="1332"/>
      <c r="D354" s="726">
        <f>-'Statement of Financial Performa'!F25</f>
        <v>-783000</v>
      </c>
      <c r="E354" s="670"/>
      <c r="F354" s="655">
        <v>-92998490</v>
      </c>
      <c r="G354" s="670"/>
      <c r="H354" s="670"/>
      <c r="I354" s="670"/>
      <c r="J354" s="1439"/>
      <c r="K354" s="1355"/>
      <c r="L354" s="655"/>
      <c r="M354" s="655"/>
      <c r="N354" s="655"/>
      <c r="O354" s="655"/>
      <c r="P354" s="761"/>
      <c r="Q354" s="763"/>
      <c r="R354" s="763"/>
      <c r="S354" s="763"/>
      <c r="T354" s="670"/>
      <c r="U354" s="670"/>
      <c r="V354" s="670"/>
      <c r="W354" s="670"/>
      <c r="X354" s="670"/>
      <c r="Y354" s="670"/>
      <c r="Z354" s="670"/>
      <c r="AA354" s="670"/>
      <c r="AB354" s="681"/>
    </row>
    <row r="355" spans="1:28" ht="15">
      <c r="A355" s="1590"/>
      <c r="B355" s="1332" t="s">
        <v>449</v>
      </c>
      <c r="C355" s="1332"/>
      <c r="D355" s="655">
        <f>'Cash Flow Statement'!O27</f>
        <v>1892896.74</v>
      </c>
      <c r="E355" s="670"/>
      <c r="F355" s="655">
        <v>1601483</v>
      </c>
      <c r="G355" s="670"/>
      <c r="H355" s="670"/>
      <c r="I355" s="670"/>
      <c r="J355" s="1439">
        <f>-'Notes 2 - 9'!L116</f>
        <v>201980.16</v>
      </c>
      <c r="K355" s="1355"/>
      <c r="L355" s="655"/>
      <c r="M355" s="655"/>
      <c r="N355" s="655"/>
      <c r="O355" s="655"/>
      <c r="P355" s="761"/>
      <c r="Q355" s="763"/>
      <c r="R355" s="763"/>
      <c r="S355" s="763"/>
      <c r="T355" s="670"/>
      <c r="U355" s="670"/>
      <c r="V355" s="670"/>
      <c r="W355" s="670"/>
      <c r="X355" s="670"/>
      <c r="Y355" s="670"/>
      <c r="Z355" s="670"/>
      <c r="AA355" s="670"/>
      <c r="AB355" s="681"/>
    </row>
    <row r="356" spans="1:28" ht="15">
      <c r="A356" s="1590"/>
      <c r="B356" s="1332" t="s">
        <v>2038</v>
      </c>
      <c r="C356" s="1332"/>
      <c r="D356" s="655">
        <f>+'Statement of Financial Performa'!F39</f>
        <v>58520.71</v>
      </c>
      <c r="E356" s="670"/>
      <c r="F356" s="655">
        <f>+'Statement of Financial Performa'!H39</f>
        <v>1901816.35</v>
      </c>
      <c r="G356" s="670"/>
      <c r="H356" s="670"/>
      <c r="I356" s="670"/>
      <c r="J356" s="1439">
        <f>'Statement of Financial Performa'!J39</f>
        <v>82519.28</v>
      </c>
      <c r="K356" s="1355"/>
      <c r="L356" s="655"/>
      <c r="M356" s="655"/>
      <c r="N356" s="655"/>
      <c r="O356" s="655"/>
      <c r="P356" s="761"/>
      <c r="Q356" s="762"/>
      <c r="R356" s="762"/>
      <c r="S356" s="763"/>
      <c r="T356" s="670"/>
      <c r="U356" s="670"/>
      <c r="V356" s="670"/>
      <c r="W356" s="670"/>
      <c r="X356" s="670"/>
      <c r="Y356" s="670"/>
      <c r="Z356" s="670"/>
      <c r="AA356" s="670"/>
      <c r="AB356" s="681"/>
    </row>
    <row r="357" spans="1:28" ht="15">
      <c r="A357" s="1590"/>
      <c r="B357" s="1332" t="s">
        <v>807</v>
      </c>
      <c r="C357" s="1332"/>
      <c r="D357" s="655">
        <f>-'Statement of Financial Performa'!F29</f>
        <v>-67228</v>
      </c>
      <c r="E357" s="670"/>
      <c r="F357" s="655">
        <f>-F132-F127</f>
        <v>-1472417.19</v>
      </c>
      <c r="G357" s="670"/>
      <c r="H357" s="670"/>
      <c r="I357" s="670"/>
      <c r="J357" s="1439">
        <f>-'Statement of Financial Performa'!J16</f>
        <v>0</v>
      </c>
      <c r="K357" s="1355"/>
      <c r="L357" s="655"/>
      <c r="M357" s="655"/>
      <c r="N357" s="655"/>
      <c r="O357" s="655"/>
      <c r="P357" s="761"/>
      <c r="Q357" s="763"/>
      <c r="R357" s="763"/>
      <c r="S357" s="763"/>
      <c r="T357" s="670"/>
      <c r="U357" s="670"/>
      <c r="V357" s="670"/>
      <c r="W357" s="670"/>
      <c r="X357" s="670"/>
      <c r="Y357" s="670"/>
      <c r="Z357" s="670"/>
      <c r="AA357" s="670"/>
      <c r="AB357" s="681"/>
    </row>
    <row r="358" spans="1:28" ht="15">
      <c r="A358" s="1590"/>
      <c r="B358" s="1332" t="s">
        <v>682</v>
      </c>
      <c r="C358" s="1332"/>
      <c r="D358" s="726">
        <v>0</v>
      </c>
      <c r="E358" s="670"/>
      <c r="F358" s="655"/>
      <c r="G358" s="670"/>
      <c r="H358" s="670"/>
      <c r="I358" s="670"/>
      <c r="J358" s="1439">
        <v>-1983188</v>
      </c>
      <c r="K358" s="1355"/>
      <c r="L358" s="655"/>
      <c r="M358" s="655"/>
      <c r="N358" s="655"/>
      <c r="O358" s="655"/>
      <c r="P358" s="761"/>
      <c r="Q358" s="763"/>
      <c r="R358" s="763"/>
      <c r="S358" s="763"/>
      <c r="T358" s="670"/>
      <c r="U358" s="670"/>
      <c r="V358" s="670"/>
      <c r="W358" s="670"/>
      <c r="X358" s="670"/>
      <c r="Y358" s="670"/>
      <c r="Z358" s="670"/>
      <c r="AA358" s="670"/>
      <c r="AB358" s="681"/>
    </row>
    <row r="359" spans="1:28" ht="15">
      <c r="A359" s="1590"/>
      <c r="B359" s="1332" t="s">
        <v>1135</v>
      </c>
      <c r="C359" s="1332"/>
      <c r="D359" s="655">
        <f>-'Cash Flow Statement'!D17</f>
        <v>2312617.1300000004</v>
      </c>
      <c r="E359" s="670"/>
      <c r="F359" s="655">
        <f>'Statement of Financial Performa'!H54</f>
        <v>1673173.9500000002</v>
      </c>
      <c r="G359" s="670"/>
      <c r="H359" s="670"/>
      <c r="I359" s="670"/>
      <c r="J359" s="1439">
        <f>'Statement of Financial Performa'!J54</f>
        <v>1186125.32</v>
      </c>
      <c r="K359" s="1355"/>
      <c r="L359" s="655"/>
      <c r="M359" s="655"/>
      <c r="N359" s="655" t="s">
        <v>45</v>
      </c>
      <c r="O359" s="655"/>
      <c r="P359" s="761"/>
      <c r="Q359" s="763"/>
      <c r="R359" s="763"/>
      <c r="S359" s="763"/>
      <c r="T359" s="670"/>
      <c r="U359" s="670"/>
      <c r="V359" s="670"/>
      <c r="W359" s="670"/>
      <c r="X359" s="670"/>
      <c r="Y359" s="670"/>
      <c r="Z359" s="670"/>
      <c r="AA359" s="670"/>
      <c r="AB359" s="681"/>
    </row>
    <row r="360" spans="1:28" ht="15">
      <c r="A360" s="1590"/>
      <c r="B360" s="1332" t="s">
        <v>445</v>
      </c>
      <c r="C360" s="1332"/>
      <c r="D360" s="726">
        <v>0</v>
      </c>
      <c r="E360" s="670"/>
      <c r="F360" s="655">
        <f>F261</f>
        <v>0</v>
      </c>
      <c r="G360" s="670"/>
      <c r="H360" s="670"/>
      <c r="I360" s="670"/>
      <c r="J360" s="1439">
        <f>J261</f>
        <v>70314</v>
      </c>
      <c r="K360" s="1355"/>
      <c r="L360" s="655"/>
      <c r="M360" s="655"/>
      <c r="N360" s="655" t="s">
        <v>45</v>
      </c>
      <c r="O360" s="655"/>
      <c r="P360" s="761"/>
      <c r="Q360" s="763"/>
      <c r="R360" s="763"/>
      <c r="S360" s="763"/>
      <c r="T360" s="670"/>
      <c r="U360" s="670"/>
      <c r="V360" s="670"/>
      <c r="W360" s="670"/>
      <c r="X360" s="670"/>
      <c r="Y360" s="670"/>
      <c r="Z360" s="670"/>
      <c r="AA360" s="670"/>
      <c r="AB360" s="681"/>
    </row>
    <row r="361" spans="1:28" ht="15">
      <c r="A361" s="1590"/>
      <c r="B361" s="1332" t="s">
        <v>3605</v>
      </c>
      <c r="C361" s="1332"/>
      <c r="D361" s="726">
        <f>-'Statement of Financial Performa'!F30</f>
        <v>-799677.8</v>
      </c>
      <c r="E361" s="670"/>
      <c r="F361" s="655">
        <v>0</v>
      </c>
      <c r="G361" s="670"/>
      <c r="H361" s="670"/>
      <c r="I361" s="670"/>
      <c r="J361" s="1439"/>
      <c r="K361" s="1355"/>
      <c r="L361" s="655"/>
      <c r="M361" s="655"/>
      <c r="N361" s="655"/>
      <c r="O361" s="655"/>
      <c r="P361" s="761"/>
      <c r="Q361" s="763"/>
      <c r="R361" s="763"/>
      <c r="S361" s="763"/>
      <c r="T361" s="670"/>
      <c r="U361" s="670"/>
      <c r="V361" s="670"/>
      <c r="W361" s="670"/>
      <c r="X361" s="670"/>
      <c r="Y361" s="670"/>
      <c r="Z361" s="670"/>
      <c r="AA361" s="670"/>
      <c r="AB361" s="681"/>
    </row>
    <row r="362" spans="1:28" ht="15">
      <c r="A362" s="1590"/>
      <c r="B362" s="1332" t="s">
        <v>3367</v>
      </c>
      <c r="C362" s="1332"/>
      <c r="D362" s="655">
        <f>'Statement of Financial Performa'!F50</f>
        <v>3884563.47</v>
      </c>
      <c r="E362" s="670"/>
      <c r="F362" s="655">
        <f>'Statement of Financial Performa'!H50</f>
        <v>177174</v>
      </c>
      <c r="G362" s="670"/>
      <c r="H362" s="670"/>
      <c r="I362" s="670"/>
      <c r="J362" s="1439"/>
      <c r="K362" s="1355"/>
      <c r="L362" s="655"/>
      <c r="M362" s="655"/>
      <c r="N362" s="655"/>
      <c r="O362" s="655"/>
      <c r="P362" s="761"/>
      <c r="Q362" s="763"/>
      <c r="R362" s="763"/>
      <c r="S362" s="763"/>
      <c r="T362" s="670"/>
      <c r="U362" s="670"/>
      <c r="V362" s="670"/>
      <c r="W362" s="670"/>
      <c r="X362" s="670"/>
      <c r="Y362" s="670"/>
      <c r="Z362" s="670"/>
      <c r="AA362" s="670"/>
      <c r="AB362" s="681"/>
    </row>
    <row r="363" spans="1:28" ht="15">
      <c r="A363" s="1590"/>
      <c r="B363" s="764" t="s">
        <v>3355</v>
      </c>
      <c r="C363" s="764"/>
      <c r="D363" s="655">
        <f>-'Statement of Financial Performa'!F13</f>
        <v>-754842.32000000007</v>
      </c>
      <c r="E363" s="670"/>
      <c r="F363" s="655">
        <f>-'Statement of Financial Performa'!H13</f>
        <v>-231262.92</v>
      </c>
      <c r="G363" s="670"/>
      <c r="H363" s="670"/>
      <c r="I363" s="670"/>
      <c r="J363" s="1439">
        <v>0</v>
      </c>
      <c r="K363" s="1355"/>
      <c r="L363" s="655"/>
      <c r="M363" s="655"/>
      <c r="N363" s="655" t="s">
        <v>45</v>
      </c>
      <c r="O363" s="655"/>
      <c r="P363" s="761"/>
      <c r="Q363" s="763"/>
      <c r="R363" s="763"/>
      <c r="S363" s="763"/>
      <c r="T363" s="670"/>
      <c r="U363" s="670"/>
      <c r="V363" s="670"/>
      <c r="W363" s="670"/>
      <c r="X363" s="670"/>
      <c r="Y363" s="670"/>
      <c r="Z363" s="670"/>
      <c r="AA363" s="670"/>
      <c r="AB363" s="681"/>
    </row>
    <row r="364" spans="1:28" ht="15">
      <c r="A364" s="1590"/>
      <c r="B364" s="1332" t="s">
        <v>2039</v>
      </c>
      <c r="C364" s="1332"/>
      <c r="D364" s="726">
        <v>0</v>
      </c>
      <c r="E364" s="670"/>
      <c r="F364" s="655">
        <v>0</v>
      </c>
      <c r="G364" s="670"/>
      <c r="H364" s="670"/>
      <c r="I364" s="670"/>
      <c r="J364" s="1439">
        <v>233884</v>
      </c>
      <c r="K364" s="1355"/>
      <c r="L364" s="695" t="s">
        <v>45</v>
      </c>
      <c r="M364" s="655"/>
      <c r="N364" s="655"/>
      <c r="O364" s="655"/>
      <c r="P364" s="761"/>
      <c r="Q364" s="763"/>
      <c r="R364" s="763"/>
      <c r="S364" s="763"/>
      <c r="T364" s="670"/>
      <c r="U364" s="670"/>
      <c r="V364" s="670"/>
      <c r="W364" s="670"/>
      <c r="X364" s="670"/>
      <c r="Y364" s="670"/>
      <c r="Z364" s="670"/>
      <c r="AA364" s="670"/>
      <c r="AB364" s="681"/>
    </row>
    <row r="365" spans="1:28" ht="15">
      <c r="A365" s="1590"/>
      <c r="B365" s="1332" t="s">
        <v>2448</v>
      </c>
      <c r="C365" s="1332"/>
      <c r="D365" s="726">
        <v>0</v>
      </c>
      <c r="E365" s="670"/>
      <c r="F365" s="655">
        <v>-1165757</v>
      </c>
      <c r="G365" s="670"/>
      <c r="H365" s="670"/>
      <c r="I365" s="670"/>
      <c r="J365" s="1439"/>
      <c r="K365" s="1355"/>
      <c r="L365" s="695"/>
      <c r="M365" s="655"/>
      <c r="N365" s="655"/>
      <c r="O365" s="655"/>
      <c r="P365" s="761"/>
      <c r="Q365" s="763"/>
      <c r="R365" s="763"/>
      <c r="S365" s="763"/>
      <c r="T365" s="670"/>
      <c r="U365" s="670"/>
      <c r="V365" s="670"/>
      <c r="W365" s="670"/>
      <c r="X365" s="670"/>
      <c r="Y365" s="670"/>
      <c r="Z365" s="670"/>
      <c r="AA365" s="670"/>
      <c r="AB365" s="681"/>
    </row>
    <row r="366" spans="1:28" ht="15">
      <c r="A366" s="1590"/>
      <c r="B366" s="1332" t="s">
        <v>1339</v>
      </c>
      <c r="C366" s="1332"/>
      <c r="D366" s="726">
        <f>'Cash Flow Statement'!O28</f>
        <v>412318.9</v>
      </c>
      <c r="E366" s="670"/>
      <c r="F366" s="655">
        <v>3223927</v>
      </c>
      <c r="G366" s="670"/>
      <c r="H366" s="670"/>
      <c r="I366" s="670"/>
      <c r="J366" s="1439">
        <v>0</v>
      </c>
      <c r="K366" s="1355"/>
      <c r="L366" s="655"/>
      <c r="M366" s="655"/>
      <c r="N366" s="655"/>
      <c r="O366" s="655"/>
      <c r="P366" s="761"/>
      <c r="Q366" s="763"/>
      <c r="R366" s="763"/>
      <c r="S366" s="763"/>
      <c r="T366" s="670"/>
      <c r="U366" s="670"/>
      <c r="V366" s="670"/>
      <c r="W366" s="670"/>
      <c r="X366" s="670"/>
      <c r="Y366" s="670"/>
      <c r="Z366" s="670"/>
      <c r="AA366" s="670"/>
      <c r="AB366" s="681"/>
    </row>
    <row r="367" spans="1:28" ht="15">
      <c r="A367" s="1590"/>
      <c r="B367" s="1332" t="s">
        <v>2040</v>
      </c>
      <c r="C367" s="1332"/>
      <c r="D367" s="726"/>
      <c r="E367" s="670"/>
      <c r="F367" s="655">
        <v>0</v>
      </c>
      <c r="G367" s="670"/>
      <c r="H367" s="670"/>
      <c r="I367" s="670"/>
      <c r="J367" s="1439">
        <v>13360</v>
      </c>
      <c r="K367" s="1355"/>
      <c r="L367" s="695" t="s">
        <v>45</v>
      </c>
      <c r="M367" s="655"/>
      <c r="N367" s="655"/>
      <c r="O367" s="655"/>
      <c r="P367" s="761"/>
      <c r="Q367" s="763"/>
      <c r="R367" s="763"/>
      <c r="S367" s="763"/>
      <c r="T367" s="670"/>
      <c r="U367" s="670"/>
      <c r="V367" s="670"/>
      <c r="W367" s="670"/>
      <c r="X367" s="670"/>
      <c r="Y367" s="670"/>
      <c r="Z367" s="670"/>
      <c r="AA367" s="670"/>
      <c r="AB367" s="681"/>
    </row>
    <row r="368" spans="1:28" ht="15">
      <c r="A368" s="1590"/>
      <c r="B368" s="709" t="s">
        <v>2041</v>
      </c>
      <c r="C368" s="709"/>
      <c r="D368" s="683">
        <f>SUM(D351:D367)</f>
        <v>-3736807.169999992</v>
      </c>
      <c r="E368" s="682"/>
      <c r="F368" s="683">
        <f>SUM(F351:F367)</f>
        <v>-4665094.8800000073</v>
      </c>
      <c r="G368" s="682"/>
      <c r="H368" s="682"/>
      <c r="I368" s="682"/>
      <c r="J368" s="1446">
        <f>SUM(J351:J367)</f>
        <v>14223197.180000009</v>
      </c>
      <c r="K368" s="1356"/>
      <c r="L368" s="655"/>
      <c r="M368" s="655"/>
      <c r="N368" s="713"/>
      <c r="O368" s="655"/>
      <c r="P368" s="761"/>
      <c r="Q368" s="763"/>
      <c r="R368" s="763"/>
      <c r="S368" s="763"/>
      <c r="T368" s="670"/>
      <c r="U368" s="670"/>
      <c r="V368" s="670"/>
      <c r="W368" s="670"/>
      <c r="X368" s="670"/>
      <c r="Y368" s="670"/>
      <c r="Z368" s="670"/>
      <c r="AA368" s="670"/>
      <c r="AB368" s="681"/>
    </row>
    <row r="369" spans="1:28" ht="15">
      <c r="A369" s="1590"/>
      <c r="B369" s="1332" t="s">
        <v>2042</v>
      </c>
      <c r="C369" s="1332"/>
      <c r="D369" s="713">
        <f>'Note 11-14'!L82</f>
        <v>4003.5400000000373</v>
      </c>
      <c r="E369" s="1332"/>
      <c r="F369" s="713">
        <v>-184075</v>
      </c>
      <c r="G369" s="670"/>
      <c r="H369" s="670"/>
      <c r="I369" s="670"/>
      <c r="J369" s="1542">
        <v>-1836392</v>
      </c>
      <c r="K369" s="1355"/>
      <c r="L369" s="735" t="s">
        <v>45</v>
      </c>
      <c r="M369" s="655"/>
      <c r="N369" s="713"/>
      <c r="O369" s="655"/>
      <c r="P369" s="761"/>
      <c r="Q369" s="763"/>
      <c r="R369" s="763"/>
      <c r="S369" s="763"/>
      <c r="T369" s="670"/>
      <c r="U369" s="670"/>
      <c r="V369" s="670"/>
      <c r="W369" s="670"/>
      <c r="X369" s="670"/>
      <c r="Y369" s="670"/>
      <c r="Z369" s="670"/>
      <c r="AA369" s="670"/>
      <c r="AB369" s="681"/>
    </row>
    <row r="370" spans="1:28" ht="15">
      <c r="A370" s="1590"/>
      <c r="B370" s="1332" t="s">
        <v>2043</v>
      </c>
      <c r="C370" s="1332"/>
      <c r="D370" s="765">
        <f>'Statement of Financial Position'!J42</f>
        <v>894453.35999999847</v>
      </c>
      <c r="E370" s="1332"/>
      <c r="F370" s="713">
        <f>-'Note 15'!G40-3</f>
        <v>398326.95500000007</v>
      </c>
      <c r="G370" s="670"/>
      <c r="H370" s="670"/>
      <c r="I370" s="670"/>
      <c r="J370" s="1542">
        <v>-3817550</v>
      </c>
      <c r="K370" s="1355"/>
      <c r="L370" s="735" t="s">
        <v>45</v>
      </c>
      <c r="M370" s="655"/>
      <c r="N370" s="655"/>
      <c r="O370" s="655"/>
      <c r="P370" s="761"/>
      <c r="Q370" s="763"/>
      <c r="R370" s="763"/>
      <c r="S370" s="763"/>
      <c r="T370" s="670"/>
      <c r="U370" s="670"/>
      <c r="V370" s="670"/>
      <c r="W370" s="670"/>
      <c r="X370" s="670"/>
      <c r="Y370" s="670"/>
      <c r="Z370" s="670"/>
      <c r="AA370" s="670"/>
      <c r="AB370" s="681"/>
    </row>
    <row r="371" spans="1:28" ht="15">
      <c r="A371" s="1590"/>
      <c r="B371" s="1332" t="s">
        <v>2044</v>
      </c>
      <c r="C371" s="1332"/>
      <c r="D371" s="713">
        <f>-'Note 16, 17'!N21</f>
        <v>-7648849.7300000135</v>
      </c>
      <c r="E371" s="1332"/>
      <c r="F371" s="713">
        <v>-3407643</v>
      </c>
      <c r="G371" s="670"/>
      <c r="H371" s="670"/>
      <c r="I371" s="670"/>
      <c r="J371" s="1542">
        <v>-1452352</v>
      </c>
      <c r="K371" s="1355"/>
      <c r="L371" s="655"/>
      <c r="M371" s="655"/>
      <c r="N371" s="655"/>
      <c r="O371" s="655"/>
      <c r="P371" s="761"/>
      <c r="Q371" s="763"/>
      <c r="R371" s="763"/>
      <c r="S371" s="763"/>
      <c r="T371" s="670"/>
      <c r="U371" s="670"/>
      <c r="V371" s="670"/>
      <c r="W371" s="670"/>
      <c r="X371" s="670"/>
      <c r="Y371" s="670"/>
      <c r="Z371" s="670"/>
      <c r="AA371" s="670"/>
      <c r="AB371" s="681"/>
    </row>
    <row r="372" spans="1:28" ht="15">
      <c r="A372" s="1590"/>
      <c r="B372" s="1332" t="s">
        <v>2045</v>
      </c>
      <c r="C372" s="1332"/>
      <c r="D372" s="713">
        <f>'Notes 2 - 9'!P148-152.79+215723</f>
        <v>11454563.430000005</v>
      </c>
      <c r="E372" s="1332"/>
      <c r="F372" s="713">
        <v>3629278</v>
      </c>
      <c r="G372" s="670"/>
      <c r="H372" s="670"/>
      <c r="I372" s="670"/>
      <c r="J372" s="1542">
        <v>2034955</v>
      </c>
      <c r="K372" s="1355"/>
      <c r="L372" s="655" t="s">
        <v>45</v>
      </c>
      <c r="M372" s="655" t="s">
        <v>45</v>
      </c>
      <c r="N372" s="655"/>
      <c r="O372" s="655"/>
      <c r="P372" s="761"/>
      <c r="Q372" s="763"/>
      <c r="R372" s="763"/>
      <c r="S372" s="763"/>
      <c r="T372" s="670"/>
      <c r="U372" s="670"/>
      <c r="V372" s="670"/>
      <c r="W372" s="670"/>
      <c r="X372" s="670"/>
      <c r="Y372" s="670"/>
      <c r="Z372" s="670"/>
      <c r="AA372" s="670"/>
      <c r="AB372" s="681"/>
    </row>
    <row r="373" spans="1:28" ht="15">
      <c r="A373" s="1590"/>
      <c r="B373" s="1332" t="s">
        <v>444</v>
      </c>
      <c r="C373" s="1332"/>
      <c r="D373" s="1275">
        <v>0</v>
      </c>
      <c r="E373" s="1332"/>
      <c r="F373" s="713">
        <v>0</v>
      </c>
      <c r="G373" s="670"/>
      <c r="H373" s="670"/>
      <c r="I373" s="670"/>
      <c r="J373" s="1542">
        <v>0</v>
      </c>
      <c r="K373" s="1355"/>
      <c r="L373" s="655"/>
      <c r="M373" s="655"/>
      <c r="N373" s="655"/>
      <c r="O373" s="655"/>
      <c r="P373" s="761"/>
      <c r="Q373" s="763"/>
      <c r="R373" s="763"/>
      <c r="S373" s="763"/>
      <c r="T373" s="670"/>
      <c r="U373" s="670"/>
      <c r="V373" s="670"/>
      <c r="W373" s="670"/>
      <c r="X373" s="670"/>
      <c r="Y373" s="670"/>
      <c r="Z373" s="670"/>
      <c r="AA373" s="670"/>
      <c r="AB373" s="681"/>
    </row>
    <row r="374" spans="1:28" ht="15">
      <c r="A374" s="1590"/>
      <c r="B374" s="749" t="s">
        <v>493</v>
      </c>
      <c r="C374" s="749"/>
      <c r="D374" s="1276">
        <f>'Statement of Financial Position'!J17</f>
        <v>-3349376.1199999992</v>
      </c>
      <c r="E374" s="1332"/>
      <c r="F374" s="713">
        <v>0</v>
      </c>
      <c r="G374" s="670"/>
      <c r="H374" s="670"/>
      <c r="I374" s="670"/>
      <c r="J374" s="1542"/>
      <c r="K374" s="1355"/>
      <c r="L374" s="655"/>
      <c r="M374" s="655" t="s">
        <v>45</v>
      </c>
      <c r="N374" s="655"/>
      <c r="O374" s="655"/>
      <c r="P374" s="761"/>
      <c r="Q374" s="763"/>
      <c r="R374" s="763"/>
      <c r="S374" s="763"/>
      <c r="T374" s="670"/>
      <c r="U374" s="670"/>
      <c r="V374" s="670"/>
      <c r="W374" s="670"/>
      <c r="X374" s="670"/>
      <c r="Y374" s="670"/>
      <c r="Z374" s="670"/>
      <c r="AA374" s="670"/>
      <c r="AB374" s="681"/>
    </row>
    <row r="375" spans="1:28" ht="15">
      <c r="A375" s="1590"/>
      <c r="B375" s="749" t="s">
        <v>132</v>
      </c>
      <c r="C375" s="749"/>
      <c r="D375" s="1276">
        <f>'Statement of Financial Position'!J26</f>
        <v>1215105.04</v>
      </c>
      <c r="E375" s="1332"/>
      <c r="F375" s="713">
        <v>0</v>
      </c>
      <c r="G375" s="670"/>
      <c r="H375" s="670"/>
      <c r="I375" s="670"/>
      <c r="J375" s="1542"/>
      <c r="K375" s="1355"/>
      <c r="L375" s="655"/>
      <c r="M375" s="655" t="s">
        <v>45</v>
      </c>
      <c r="N375" s="655"/>
      <c r="O375" s="655"/>
      <c r="P375" s="761"/>
      <c r="Q375" s="763"/>
      <c r="R375" s="763"/>
      <c r="S375" s="763"/>
      <c r="T375" s="670"/>
      <c r="U375" s="670"/>
      <c r="V375" s="670"/>
      <c r="W375" s="670"/>
      <c r="X375" s="670"/>
      <c r="Y375" s="670"/>
      <c r="Z375" s="670"/>
      <c r="AA375" s="670"/>
      <c r="AB375" s="681"/>
    </row>
    <row r="376" spans="1:28" ht="15">
      <c r="A376" s="1590"/>
      <c r="B376" s="749" t="s">
        <v>1584</v>
      </c>
      <c r="C376" s="749"/>
      <c r="D376" s="713">
        <f>-'Statement of Financial Position'!J25</f>
        <v>-4048928.0399999991</v>
      </c>
      <c r="E376" s="1332"/>
      <c r="F376" s="713">
        <v>-435887</v>
      </c>
      <c r="G376" s="670"/>
      <c r="H376" s="670"/>
      <c r="I376" s="670"/>
      <c r="J376" s="1542"/>
      <c r="K376" s="1355"/>
      <c r="L376" s="655"/>
      <c r="M376" s="655" t="s">
        <v>45</v>
      </c>
      <c r="N376" s="655"/>
      <c r="O376" s="655"/>
      <c r="P376" s="761"/>
      <c r="Q376" s="763"/>
      <c r="R376" s="763"/>
      <c r="S376" s="763"/>
      <c r="T376" s="670"/>
      <c r="U376" s="670"/>
      <c r="V376" s="670"/>
      <c r="W376" s="670"/>
      <c r="X376" s="670"/>
      <c r="Y376" s="670"/>
      <c r="Z376" s="670"/>
      <c r="AA376" s="670"/>
      <c r="AB376" s="681"/>
    </row>
    <row r="377" spans="1:28" ht="15">
      <c r="A377" s="1590"/>
      <c r="B377" s="1332" t="s">
        <v>3958</v>
      </c>
      <c r="C377" s="1332"/>
      <c r="D377" s="1275">
        <f>'Statement of Financial Position'!J36</f>
        <v>1507829.69</v>
      </c>
      <c r="E377" s="1332"/>
      <c r="F377" s="713">
        <v>0</v>
      </c>
      <c r="G377" s="670"/>
      <c r="H377" s="670"/>
      <c r="I377" s="670"/>
      <c r="J377" s="1439">
        <v>0</v>
      </c>
      <c r="K377" s="1355"/>
      <c r="L377" s="655"/>
      <c r="M377" s="655"/>
      <c r="N377" s="655"/>
      <c r="O377" s="655"/>
      <c r="P377" s="761"/>
      <c r="Q377" s="763"/>
      <c r="R377" s="763"/>
      <c r="S377" s="763"/>
      <c r="T377" s="670"/>
      <c r="U377" s="670"/>
      <c r="V377" s="670"/>
      <c r="W377" s="670"/>
      <c r="X377" s="670"/>
      <c r="Y377" s="670"/>
      <c r="Z377" s="670"/>
      <c r="AA377" s="670"/>
      <c r="AB377" s="681"/>
    </row>
    <row r="378" spans="1:28" ht="15">
      <c r="A378" s="1590"/>
      <c r="B378" s="670" t="s">
        <v>2988</v>
      </c>
      <c r="C378" s="670"/>
      <c r="D378" s="655">
        <f>-'Cash Flow Statement'!D39</f>
        <v>-28802.17</v>
      </c>
      <c r="E378" s="1332"/>
      <c r="F378" s="713">
        <v>0</v>
      </c>
      <c r="G378" s="670"/>
      <c r="H378" s="670"/>
      <c r="I378" s="670"/>
      <c r="J378" s="1439"/>
      <c r="K378" s="1355"/>
      <c r="L378" s="655"/>
      <c r="M378" s="655" t="s">
        <v>45</v>
      </c>
      <c r="N378" s="655"/>
      <c r="O378" s="655"/>
      <c r="P378" s="761"/>
      <c r="Q378" s="763"/>
      <c r="R378" s="763"/>
      <c r="S378" s="763"/>
      <c r="T378" s="670"/>
      <c r="U378" s="670"/>
      <c r="V378" s="670"/>
      <c r="W378" s="670"/>
      <c r="X378" s="670"/>
      <c r="Y378" s="670"/>
      <c r="Z378" s="670"/>
      <c r="AA378" s="670"/>
      <c r="AB378" s="681"/>
    </row>
    <row r="379" spans="1:28" ht="15">
      <c r="A379" s="1590"/>
      <c r="B379" s="1332"/>
      <c r="C379" s="1332"/>
      <c r="D379" s="726">
        <v>0</v>
      </c>
      <c r="E379" s="1332"/>
      <c r="F379" s="713"/>
      <c r="G379" s="670"/>
      <c r="H379" s="670"/>
      <c r="I379" s="670"/>
      <c r="J379" s="1542" t="s">
        <v>45</v>
      </c>
      <c r="K379" s="1355"/>
      <c r="L379" s="655"/>
      <c r="M379" s="655"/>
      <c r="N379" s="655"/>
      <c r="O379" s="655"/>
      <c r="P379" s="761"/>
      <c r="Q379" s="763"/>
      <c r="R379" s="763"/>
      <c r="S379" s="763"/>
      <c r="T379" s="670"/>
      <c r="U379" s="670"/>
      <c r="V379" s="670"/>
      <c r="W379" s="670"/>
      <c r="X379" s="670"/>
      <c r="Y379" s="670"/>
      <c r="Z379" s="670"/>
      <c r="AA379" s="670"/>
      <c r="AB379" s="681"/>
    </row>
    <row r="380" spans="1:28" ht="15.75" thickBot="1">
      <c r="A380" s="1590"/>
      <c r="B380" s="766" t="s">
        <v>2046</v>
      </c>
      <c r="C380" s="766"/>
      <c r="D380" s="767">
        <f>SUM(D368:D379)</f>
        <v>-3736808.1700000004</v>
      </c>
      <c r="E380" s="766"/>
      <c r="F380" s="767">
        <f>SUM(F368:F379)</f>
        <v>-4665094.9250000073</v>
      </c>
      <c r="G380" s="682"/>
      <c r="H380" s="682"/>
      <c r="I380" s="682"/>
      <c r="J380" s="1707">
        <f>SUM(J368:J379)</f>
        <v>9151858.180000009</v>
      </c>
      <c r="K380" s="1356"/>
      <c r="L380" s="655">
        <f>'Cash Flow Statement'!D14</f>
        <v>-3736808.1700000018</v>
      </c>
      <c r="M380" s="685">
        <f>L380-D380</f>
        <v>0</v>
      </c>
      <c r="N380" s="655"/>
      <c r="O380" s="655"/>
      <c r="P380" s="761"/>
      <c r="Q380" s="763"/>
      <c r="R380" s="763"/>
      <c r="S380" s="763"/>
      <c r="T380" s="670"/>
      <c r="U380" s="670"/>
      <c r="V380" s="670"/>
      <c r="W380" s="670"/>
      <c r="X380" s="670"/>
      <c r="Y380" s="670"/>
      <c r="Z380" s="670"/>
      <c r="AA380" s="670"/>
      <c r="AB380" s="681"/>
    </row>
    <row r="381" spans="1:28" ht="15.75" thickTop="1">
      <c r="A381" s="1596"/>
      <c r="B381" s="699"/>
      <c r="C381" s="699"/>
      <c r="D381" s="700"/>
      <c r="E381" s="699"/>
      <c r="F381" s="700"/>
      <c r="G381" s="699"/>
      <c r="H381" s="699"/>
      <c r="I381" s="699"/>
      <c r="J381" s="1570"/>
      <c r="K381" s="1352"/>
      <c r="L381" s="655"/>
      <c r="M381" s="655">
        <v>0</v>
      </c>
      <c r="N381" s="655"/>
      <c r="O381" s="655"/>
      <c r="P381" s="761"/>
      <c r="Q381" s="763"/>
      <c r="R381" s="763"/>
      <c r="S381" s="763"/>
      <c r="T381" s="670"/>
      <c r="U381" s="670"/>
      <c r="V381" s="670"/>
      <c r="W381" s="670"/>
      <c r="X381" s="670"/>
      <c r="Y381" s="670"/>
      <c r="Z381" s="670"/>
      <c r="AA381" s="670"/>
      <c r="AB381" s="681"/>
    </row>
    <row r="382" spans="1:28" ht="15">
      <c r="A382" s="1708"/>
      <c r="B382" s="768"/>
      <c r="C382" s="768"/>
      <c r="D382" s="769"/>
      <c r="E382" s="768"/>
      <c r="F382" s="769"/>
      <c r="G382" s="768"/>
      <c r="H382" s="768"/>
      <c r="I382" s="768"/>
      <c r="J382" s="1709"/>
      <c r="K382" s="1362"/>
      <c r="L382" s="655"/>
      <c r="M382" s="655"/>
      <c r="N382" s="655"/>
      <c r="O382" s="655"/>
      <c r="P382" s="761"/>
      <c r="Q382" s="763"/>
      <c r="R382" s="763"/>
      <c r="S382" s="763"/>
      <c r="T382" s="670"/>
      <c r="U382" s="670"/>
      <c r="V382" s="670"/>
      <c r="W382" s="670"/>
      <c r="X382" s="670"/>
      <c r="Y382" s="670"/>
      <c r="Z382" s="670"/>
      <c r="AA382" s="670"/>
      <c r="AB382" s="681"/>
    </row>
    <row r="383" spans="1:28">
      <c r="A383" s="1686"/>
      <c r="B383" s="1334"/>
      <c r="C383" s="1334"/>
      <c r="D383" s="770" t="s">
        <v>3484</v>
      </c>
      <c r="E383" s="1334"/>
      <c r="F383" s="770" t="s">
        <v>2651</v>
      </c>
      <c r="G383" s="1334"/>
      <c r="H383" s="1334"/>
      <c r="I383" s="1334"/>
      <c r="J383" s="1710" t="s">
        <v>1634</v>
      </c>
      <c r="K383" s="1363"/>
      <c r="L383" s="655"/>
      <c r="M383" s="655"/>
      <c r="N383" s="655"/>
      <c r="O383" s="655"/>
      <c r="P383" s="670"/>
      <c r="Q383" s="771"/>
      <c r="R383" s="655"/>
      <c r="S383" s="670"/>
      <c r="T383" s="670"/>
      <c r="U383" s="670"/>
      <c r="V383" s="670"/>
      <c r="W383" s="670"/>
      <c r="X383" s="670"/>
      <c r="Y383" s="670"/>
      <c r="Z383" s="670"/>
      <c r="AA383" s="670"/>
      <c r="AB383" s="681"/>
    </row>
    <row r="384" spans="1:28">
      <c r="A384" s="1686"/>
      <c r="B384" s="1334"/>
      <c r="C384" s="1334"/>
      <c r="D384" s="772"/>
      <c r="E384" s="1334"/>
      <c r="F384" s="772" t="s">
        <v>2422</v>
      </c>
      <c r="G384" s="1334"/>
      <c r="H384" s="1334"/>
      <c r="I384" s="1334"/>
      <c r="J384" s="1711" t="s">
        <v>2422</v>
      </c>
      <c r="K384" s="1363"/>
      <c r="L384" s="655"/>
      <c r="M384" s="655"/>
      <c r="N384" s="655"/>
      <c r="O384" s="655"/>
      <c r="P384" s="670"/>
      <c r="Q384" s="670"/>
      <c r="R384" s="655"/>
      <c r="S384" s="670"/>
      <c r="T384" s="670"/>
      <c r="U384" s="670"/>
      <c r="V384" s="670"/>
      <c r="W384" s="670"/>
      <c r="X384" s="670"/>
      <c r="Y384" s="670"/>
      <c r="Z384" s="670"/>
      <c r="AA384" s="670"/>
      <c r="AB384" s="681"/>
    </row>
    <row r="385" spans="1:45">
      <c r="A385" s="1679" t="s">
        <v>732</v>
      </c>
      <c r="B385" s="709" t="s">
        <v>2047</v>
      </c>
      <c r="C385" s="709"/>
      <c r="D385" s="711"/>
      <c r="E385" s="670"/>
      <c r="F385" s="655"/>
      <c r="G385" s="670"/>
      <c r="H385" s="670"/>
      <c r="I385" s="670"/>
      <c r="J385" s="1439"/>
      <c r="K385" s="1355"/>
      <c r="L385" s="655"/>
      <c r="M385" s="655"/>
      <c r="N385" s="655"/>
      <c r="O385" s="655"/>
      <c r="P385" s="670"/>
      <c r="Q385" s="670"/>
      <c r="R385" s="655"/>
      <c r="S385" s="670"/>
      <c r="T385" s="670"/>
      <c r="U385" s="670"/>
      <c r="V385" s="670"/>
      <c r="W385" s="670"/>
      <c r="X385" s="670"/>
      <c r="Y385" s="670"/>
      <c r="Z385" s="670"/>
      <c r="AA385" s="670"/>
      <c r="AB385" s="670"/>
      <c r="AC385" s="670"/>
      <c r="AD385" s="670"/>
      <c r="AE385" s="670"/>
      <c r="AF385" s="670"/>
      <c r="AG385" s="670"/>
      <c r="AH385" s="670"/>
      <c r="AI385" s="670"/>
      <c r="AJ385" s="670"/>
      <c r="AK385" s="670"/>
      <c r="AL385" s="670"/>
      <c r="AM385" s="670"/>
      <c r="AN385" s="670"/>
      <c r="AO385" s="670"/>
      <c r="AP385" s="670"/>
      <c r="AQ385" s="670"/>
      <c r="AR385" s="670"/>
      <c r="AS385" s="670"/>
    </row>
    <row r="386" spans="1:45">
      <c r="A386" s="1590"/>
      <c r="B386" s="708" t="s">
        <v>3004</v>
      </c>
      <c r="C386" s="708"/>
      <c r="D386" s="713"/>
      <c r="E386" s="670"/>
      <c r="F386" s="655"/>
      <c r="G386" s="670"/>
      <c r="H386" s="670"/>
      <c r="I386" s="670"/>
      <c r="J386" s="1439"/>
      <c r="K386" s="1355"/>
    </row>
    <row r="387" spans="1:45">
      <c r="A387" s="1590"/>
      <c r="B387" s="708" t="s">
        <v>2048</v>
      </c>
      <c r="C387" s="708"/>
      <c r="D387" s="713"/>
      <c r="E387" s="670"/>
      <c r="F387" s="655"/>
      <c r="G387" s="670"/>
      <c r="H387" s="670"/>
      <c r="I387" s="670"/>
      <c r="J387" s="1439"/>
      <c r="K387" s="1355"/>
    </row>
    <row r="388" spans="1:45">
      <c r="A388" s="1590"/>
      <c r="B388" s="709" t="s">
        <v>510</v>
      </c>
      <c r="C388" s="709"/>
      <c r="D388" s="711"/>
      <c r="E388" s="670"/>
      <c r="F388" s="683">
        <f>SUM(F386:F387)</f>
        <v>0</v>
      </c>
      <c r="G388" s="670"/>
      <c r="H388" s="670"/>
      <c r="I388" s="670"/>
      <c r="J388" s="1446"/>
      <c r="K388" s="1355"/>
    </row>
    <row r="389" spans="1:45">
      <c r="A389" s="1590"/>
      <c r="B389" s="708" t="s">
        <v>3027</v>
      </c>
      <c r="C389" s="708"/>
      <c r="D389" s="713"/>
      <c r="E389" s="670"/>
      <c r="F389" s="655"/>
      <c r="G389" s="670"/>
      <c r="H389" s="670"/>
      <c r="I389" s="670"/>
      <c r="J389" s="1439"/>
      <c r="K389" s="1355"/>
    </row>
    <row r="390" spans="1:45">
      <c r="A390" s="1590"/>
      <c r="B390" s="708" t="s">
        <v>2049</v>
      </c>
      <c r="C390" s="708"/>
      <c r="D390" s="713"/>
      <c r="E390" s="670"/>
      <c r="F390" s="655"/>
      <c r="G390" s="670"/>
      <c r="H390" s="670"/>
      <c r="I390" s="670"/>
      <c r="J390" s="1439"/>
      <c r="K390" s="1355"/>
    </row>
    <row r="391" spans="1:45" ht="13.5" thickBot="1">
      <c r="A391" s="1590"/>
      <c r="B391" s="709" t="s">
        <v>2050</v>
      </c>
      <c r="C391" s="709"/>
      <c r="D391" s="710">
        <f>SUM(D388:D390)</f>
        <v>0</v>
      </c>
      <c r="E391" s="670"/>
      <c r="F391" s="710">
        <f>SUM(F388:F390)</f>
        <v>0</v>
      </c>
      <c r="G391" s="670"/>
      <c r="H391" s="670"/>
      <c r="I391" s="670"/>
      <c r="J391" s="1685">
        <f>SUM(J388:J390)</f>
        <v>0</v>
      </c>
      <c r="K391" s="1355"/>
    </row>
    <row r="392" spans="1:45" ht="13.5" thickTop="1">
      <c r="A392" s="1596"/>
      <c r="B392" s="699"/>
      <c r="C392" s="699"/>
      <c r="D392" s="700"/>
      <c r="E392" s="699"/>
      <c r="F392" s="700"/>
      <c r="G392" s="699"/>
      <c r="H392" s="699"/>
      <c r="I392" s="699"/>
      <c r="J392" s="1570"/>
      <c r="K392" s="1352"/>
    </row>
    <row r="393" spans="1:45">
      <c r="A393" s="1684"/>
      <c r="B393" s="677"/>
      <c r="C393" s="677"/>
      <c r="D393" s="676"/>
      <c r="E393" s="677"/>
      <c r="F393" s="676"/>
      <c r="G393" s="677"/>
      <c r="H393" s="677"/>
      <c r="I393" s="677"/>
      <c r="J393" s="1572"/>
      <c r="K393" s="1353"/>
    </row>
    <row r="394" spans="1:45">
      <c r="A394" s="1590"/>
      <c r="B394" s="703"/>
      <c r="C394" s="703"/>
      <c r="D394" s="704" t="s">
        <v>3484</v>
      </c>
      <c r="E394" s="703"/>
      <c r="F394" s="704" t="s">
        <v>2651</v>
      </c>
      <c r="G394" s="703"/>
      <c r="H394" s="703"/>
      <c r="I394" s="703"/>
      <c r="J394" s="1440" t="s">
        <v>1634</v>
      </c>
      <c r="K394" s="1354"/>
    </row>
    <row r="395" spans="1:45">
      <c r="A395" s="1590"/>
      <c r="B395" s="703"/>
      <c r="C395" s="703"/>
      <c r="D395" s="706"/>
      <c r="E395" s="703"/>
      <c r="F395" s="706" t="s">
        <v>2422</v>
      </c>
      <c r="G395" s="703"/>
      <c r="H395" s="703"/>
      <c r="I395" s="703"/>
      <c r="J395" s="1441" t="s">
        <v>2422</v>
      </c>
      <c r="K395" s="1354"/>
    </row>
    <row r="396" spans="1:45">
      <c r="A396" s="1679" t="s">
        <v>733</v>
      </c>
      <c r="B396" s="709" t="s">
        <v>3946</v>
      </c>
      <c r="C396" s="709"/>
      <c r="D396" s="711"/>
      <c r="E396" s="708"/>
      <c r="F396" s="683"/>
      <c r="G396" s="682"/>
      <c r="H396" s="682"/>
      <c r="I396" s="682"/>
      <c r="J396" s="1446"/>
      <c r="K396" s="1356"/>
    </row>
    <row r="397" spans="1:45">
      <c r="A397" s="1590"/>
      <c r="B397" s="708" t="s">
        <v>2051</v>
      </c>
      <c r="C397" s="708"/>
      <c r="D397" s="713"/>
      <c r="E397" s="708"/>
      <c r="F397" s="655"/>
      <c r="G397" s="670"/>
      <c r="H397" s="670"/>
      <c r="I397" s="670"/>
      <c r="J397" s="1439"/>
      <c r="K397" s="1355"/>
    </row>
    <row r="398" spans="1:45">
      <c r="A398" s="1590"/>
      <c r="B398" s="709" t="s">
        <v>2052</v>
      </c>
      <c r="C398" s="709"/>
      <c r="D398" s="711">
        <f>SUM(D399:D401)</f>
        <v>13003259.560000001</v>
      </c>
      <c r="E398" s="708"/>
      <c r="F398" s="683">
        <f>SUM(F399:F401)</f>
        <v>0</v>
      </c>
      <c r="G398" s="670"/>
      <c r="H398" s="670"/>
      <c r="I398" s="670"/>
      <c r="J398" s="1446">
        <f>SUM(J399:J401)</f>
        <v>0</v>
      </c>
      <c r="K398" s="1355"/>
    </row>
    <row r="399" spans="1:45">
      <c r="A399" s="1590"/>
      <c r="B399" s="708" t="s">
        <v>2053</v>
      </c>
      <c r="C399" s="708"/>
      <c r="D399" s="715">
        <f>933000+2616262.73</f>
        <v>3549262.73</v>
      </c>
      <c r="E399" s="708"/>
      <c r="F399" s="658">
        <v>0</v>
      </c>
      <c r="G399" s="670"/>
      <c r="H399" s="670"/>
      <c r="I399" s="670"/>
      <c r="J399" s="1448"/>
      <c r="K399" s="1355"/>
    </row>
    <row r="400" spans="1:45">
      <c r="A400" s="1590"/>
      <c r="B400" s="708" t="s">
        <v>2054</v>
      </c>
      <c r="C400" s="708"/>
      <c r="D400" s="716">
        <v>9453996.8300000001</v>
      </c>
      <c r="E400" s="670"/>
      <c r="F400" s="659">
        <v>0</v>
      </c>
      <c r="G400" s="670"/>
      <c r="H400" s="670"/>
      <c r="I400" s="670"/>
      <c r="J400" s="1444"/>
      <c r="K400" s="1355"/>
    </row>
    <row r="401" spans="1:11">
      <c r="A401" s="1590"/>
      <c r="B401" s="708" t="s">
        <v>2279</v>
      </c>
      <c r="C401" s="708"/>
      <c r="D401" s="717"/>
      <c r="E401" s="670"/>
      <c r="F401" s="482">
        <v>0</v>
      </c>
      <c r="G401" s="670"/>
      <c r="H401" s="670"/>
      <c r="I401" s="670"/>
      <c r="J401" s="1445"/>
      <c r="K401" s="1355"/>
    </row>
    <row r="402" spans="1:11">
      <c r="A402" s="1590"/>
      <c r="B402" s="708"/>
      <c r="C402" s="708"/>
      <c r="D402" s="713"/>
      <c r="E402" s="670"/>
      <c r="F402" s="655"/>
      <c r="G402" s="670"/>
      <c r="H402" s="670"/>
      <c r="I402" s="670"/>
      <c r="J402" s="1439"/>
      <c r="K402" s="1355"/>
    </row>
    <row r="403" spans="1:11">
      <c r="A403" s="1590"/>
      <c r="B403" s="708" t="s">
        <v>3947</v>
      </c>
      <c r="C403" s="708"/>
      <c r="D403" s="713">
        <f>SUM(D404:D408)</f>
        <v>11870881.82</v>
      </c>
      <c r="E403" s="670"/>
      <c r="F403" s="655"/>
      <c r="G403" s="670"/>
      <c r="H403" s="670"/>
      <c r="I403" s="670"/>
      <c r="J403" s="1439"/>
      <c r="K403" s="1355"/>
    </row>
    <row r="404" spans="1:11">
      <c r="A404" s="1590"/>
      <c r="B404" s="708" t="s">
        <v>3948</v>
      </c>
      <c r="C404" s="708"/>
      <c r="D404" s="715">
        <v>3398691.5</v>
      </c>
      <c r="E404" s="670"/>
      <c r="F404" s="659"/>
      <c r="G404" s="670"/>
      <c r="H404" s="670"/>
      <c r="I404" s="670"/>
      <c r="J404" s="1444"/>
      <c r="K404" s="1355"/>
    </row>
    <row r="405" spans="1:11">
      <c r="A405" s="1590"/>
      <c r="B405" s="708" t="s">
        <v>3950</v>
      </c>
      <c r="C405" s="708"/>
      <c r="D405" s="716">
        <v>5511563.0700000003</v>
      </c>
      <c r="E405" s="670"/>
      <c r="F405" s="659"/>
      <c r="G405" s="670"/>
      <c r="H405" s="670"/>
      <c r="I405" s="670"/>
      <c r="J405" s="1444"/>
      <c r="K405" s="1355"/>
    </row>
    <row r="406" spans="1:11">
      <c r="A406" s="1590"/>
      <c r="B406" s="708" t="s">
        <v>3951</v>
      </c>
      <c r="C406" s="708"/>
      <c r="D406" s="716">
        <v>1111604.8799999999</v>
      </c>
      <c r="E406" s="670"/>
      <c r="F406" s="659"/>
      <c r="G406" s="670"/>
      <c r="H406" s="670"/>
      <c r="I406" s="670"/>
      <c r="J406" s="1444"/>
      <c r="K406" s="1355"/>
    </row>
    <row r="407" spans="1:11">
      <c r="A407" s="1590"/>
      <c r="B407" s="708" t="s">
        <v>2325</v>
      </c>
      <c r="C407" s="708"/>
      <c r="D407" s="716">
        <v>1549022.37</v>
      </c>
      <c r="E407" s="670"/>
      <c r="F407" s="659"/>
      <c r="G407" s="670"/>
      <c r="H407" s="670"/>
      <c r="I407" s="670"/>
      <c r="J407" s="1444"/>
      <c r="K407" s="1355"/>
    </row>
    <row r="408" spans="1:11">
      <c r="A408" s="1590"/>
      <c r="B408" s="708" t="s">
        <v>3949</v>
      </c>
      <c r="C408" s="708"/>
      <c r="D408" s="717">
        <v>300000</v>
      </c>
      <c r="E408" s="670"/>
      <c r="F408" s="482"/>
      <c r="G408" s="670"/>
      <c r="H408" s="670"/>
      <c r="I408" s="670"/>
      <c r="J408" s="1445"/>
      <c r="K408" s="1355"/>
    </row>
    <row r="409" spans="1:11">
      <c r="A409" s="1590"/>
      <c r="B409" s="708"/>
      <c r="C409" s="708"/>
      <c r="D409" s="713"/>
      <c r="E409" s="670"/>
      <c r="F409" s="655"/>
      <c r="G409" s="670"/>
      <c r="H409" s="670"/>
      <c r="I409" s="670"/>
      <c r="J409" s="1439"/>
      <c r="K409" s="1355"/>
    </row>
    <row r="410" spans="1:11">
      <c r="A410" s="1590"/>
      <c r="B410" s="709" t="s">
        <v>2280</v>
      </c>
      <c r="C410" s="709"/>
      <c r="D410" s="711"/>
      <c r="E410" s="670"/>
      <c r="F410" s="683">
        <f>SUM(F411:F415)</f>
        <v>0</v>
      </c>
      <c r="G410" s="670"/>
      <c r="H410" s="670"/>
      <c r="I410" s="670"/>
      <c r="J410" s="1446">
        <f>SUM(J411:J415)</f>
        <v>0</v>
      </c>
      <c r="K410" s="1355"/>
    </row>
    <row r="411" spans="1:11">
      <c r="A411" s="1590"/>
      <c r="B411" s="708" t="s">
        <v>2281</v>
      </c>
      <c r="C411" s="708"/>
      <c r="D411" s="715"/>
      <c r="E411" s="670"/>
      <c r="F411" s="658"/>
      <c r="G411" s="670"/>
      <c r="H411" s="670"/>
      <c r="I411" s="670"/>
      <c r="J411" s="1448"/>
      <c r="K411" s="1355"/>
    </row>
    <row r="412" spans="1:11">
      <c r="A412" s="1590"/>
      <c r="B412" s="708" t="s">
        <v>2053</v>
      </c>
      <c r="C412" s="708"/>
      <c r="D412" s="716"/>
      <c r="E412" s="670"/>
      <c r="F412" s="659"/>
      <c r="G412" s="670"/>
      <c r="H412" s="670"/>
      <c r="I412" s="670"/>
      <c r="J412" s="1444"/>
      <c r="K412" s="1355"/>
    </row>
    <row r="413" spans="1:11">
      <c r="A413" s="1590"/>
      <c r="B413" s="708" t="s">
        <v>2054</v>
      </c>
      <c r="C413" s="708"/>
      <c r="D413" s="716"/>
      <c r="E413" s="670"/>
      <c r="F413" s="659"/>
      <c r="G413" s="670"/>
      <c r="H413" s="670"/>
      <c r="I413" s="670"/>
      <c r="J413" s="1444"/>
      <c r="K413" s="1355"/>
    </row>
    <row r="414" spans="1:11">
      <c r="A414" s="1590"/>
      <c r="B414" s="708" t="s">
        <v>2279</v>
      </c>
      <c r="C414" s="708"/>
      <c r="D414" s="716"/>
      <c r="E414" s="670"/>
      <c r="F414" s="659"/>
      <c r="G414" s="670"/>
      <c r="H414" s="670"/>
      <c r="I414" s="670"/>
      <c r="J414" s="1444"/>
      <c r="K414" s="1355"/>
    </row>
    <row r="415" spans="1:11">
      <c r="A415" s="1590"/>
      <c r="B415" s="708" t="s">
        <v>2282</v>
      </c>
      <c r="C415" s="708"/>
      <c r="D415" s="717"/>
      <c r="E415" s="670"/>
      <c r="F415" s="482"/>
      <c r="G415" s="670"/>
      <c r="H415" s="670"/>
      <c r="I415" s="670"/>
      <c r="J415" s="1445">
        <v>0</v>
      </c>
      <c r="K415" s="1355"/>
    </row>
    <row r="416" spans="1:11">
      <c r="A416" s="1590"/>
      <c r="B416" s="708"/>
      <c r="C416" s="708"/>
      <c r="D416" s="713"/>
      <c r="E416" s="670"/>
      <c r="F416" s="655"/>
      <c r="G416" s="670"/>
      <c r="H416" s="670"/>
      <c r="I416" s="670"/>
      <c r="J416" s="1439"/>
      <c r="K416" s="1355"/>
    </row>
    <row r="417" spans="1:11" ht="13.5" thickBot="1">
      <c r="A417" s="1590"/>
      <c r="B417" s="709" t="s">
        <v>1740</v>
      </c>
      <c r="C417" s="709"/>
      <c r="D417" s="710">
        <f>D398+D403</f>
        <v>24874141.380000003</v>
      </c>
      <c r="E417" s="670"/>
      <c r="F417" s="710">
        <f>F410+F398</f>
        <v>0</v>
      </c>
      <c r="G417" s="670"/>
      <c r="H417" s="670"/>
      <c r="I417" s="670"/>
      <c r="J417" s="1685">
        <f>J410+J398</f>
        <v>0</v>
      </c>
      <c r="K417" s="1355"/>
    </row>
    <row r="418" spans="1:11" ht="13.5" thickTop="1">
      <c r="A418" s="1590"/>
      <c r="B418" s="709"/>
      <c r="C418" s="709"/>
      <c r="D418" s="711"/>
      <c r="E418" s="670"/>
      <c r="F418" s="655"/>
      <c r="G418" s="670"/>
      <c r="H418" s="670"/>
      <c r="I418" s="670"/>
      <c r="J418" s="1439"/>
      <c r="K418" s="1355"/>
    </row>
    <row r="419" spans="1:11">
      <c r="A419" s="1590"/>
      <c r="B419" s="709" t="s">
        <v>2283</v>
      </c>
      <c r="C419" s="709"/>
      <c r="D419" s="711"/>
      <c r="E419" s="670"/>
      <c r="F419" s="655"/>
      <c r="G419" s="670"/>
      <c r="H419" s="670"/>
      <c r="I419" s="670"/>
      <c r="J419" s="1439"/>
      <c r="K419" s="1355"/>
    </row>
    <row r="420" spans="1:11">
      <c r="A420" s="1590"/>
      <c r="B420" s="708" t="s">
        <v>2284</v>
      </c>
      <c r="C420" s="708"/>
      <c r="D420" s="715"/>
      <c r="E420" s="670"/>
      <c r="F420" s="658">
        <v>0</v>
      </c>
      <c r="G420" s="670"/>
      <c r="H420" s="670"/>
      <c r="I420" s="670"/>
      <c r="J420" s="1448"/>
      <c r="K420" s="1355"/>
    </row>
    <row r="421" spans="1:11">
      <c r="A421" s="1590"/>
      <c r="B421" s="708" t="s">
        <v>3026</v>
      </c>
      <c r="C421" s="708"/>
      <c r="D421" s="716">
        <v>13931141</v>
      </c>
      <c r="E421" s="670"/>
      <c r="F421" s="659">
        <v>0</v>
      </c>
      <c r="G421" s="670"/>
      <c r="H421" s="670"/>
      <c r="I421" s="670"/>
      <c r="J421" s="1444"/>
      <c r="K421" s="1355"/>
    </row>
    <row r="422" spans="1:11">
      <c r="A422" s="1590"/>
      <c r="B422" s="708" t="s">
        <v>2285</v>
      </c>
      <c r="C422" s="708"/>
      <c r="D422" s="717">
        <v>10943000</v>
      </c>
      <c r="E422" s="670"/>
      <c r="F422" s="482">
        <v>0</v>
      </c>
      <c r="G422" s="670"/>
      <c r="H422" s="670"/>
      <c r="I422" s="670"/>
      <c r="J422" s="1445"/>
      <c r="K422" s="1355"/>
    </row>
    <row r="423" spans="1:11">
      <c r="A423" s="1590"/>
      <c r="B423" s="708"/>
      <c r="C423" s="708"/>
      <c r="D423" s="713"/>
      <c r="E423" s="670"/>
      <c r="F423" s="655"/>
      <c r="G423" s="670"/>
      <c r="H423" s="670"/>
      <c r="I423" s="670"/>
      <c r="J423" s="1439"/>
      <c r="K423" s="1355"/>
    </row>
    <row r="424" spans="1:11" ht="13.5" thickBot="1">
      <c r="A424" s="1590"/>
      <c r="B424" s="709" t="s">
        <v>1740</v>
      </c>
      <c r="C424" s="709"/>
      <c r="D424" s="710">
        <f>SUM(D420:D422)</f>
        <v>24874141</v>
      </c>
      <c r="E424" s="670"/>
      <c r="F424" s="710">
        <f>SUM(F420:F422)</f>
        <v>0</v>
      </c>
      <c r="G424" s="670"/>
      <c r="H424" s="670"/>
      <c r="I424" s="670"/>
      <c r="J424" s="1685">
        <f>SUM(J420:J422)</f>
        <v>0</v>
      </c>
      <c r="K424" s="1355"/>
    </row>
    <row r="425" spans="1:11" ht="13.5" thickTop="1">
      <c r="A425" s="1596"/>
      <c r="B425" s="699"/>
      <c r="C425" s="699"/>
      <c r="D425" s="700"/>
      <c r="E425" s="699"/>
      <c r="F425" s="700"/>
      <c r="G425" s="699"/>
      <c r="H425" s="699"/>
      <c r="I425" s="699"/>
      <c r="J425" s="1570"/>
      <c r="K425" s="1352"/>
    </row>
    <row r="426" spans="1:11">
      <c r="A426" s="1684"/>
      <c r="B426" s="677"/>
      <c r="C426" s="677"/>
      <c r="D426" s="676"/>
      <c r="E426" s="677"/>
      <c r="F426" s="676"/>
      <c r="G426" s="677"/>
      <c r="H426" s="677"/>
      <c r="I426" s="677"/>
      <c r="J426" s="1572"/>
      <c r="K426" s="1353"/>
    </row>
    <row r="427" spans="1:11">
      <c r="A427" s="1590"/>
      <c r="B427" s="670"/>
      <c r="C427" s="670"/>
      <c r="D427" s="704" t="s">
        <v>3484</v>
      </c>
      <c r="E427" s="670"/>
      <c r="F427" s="704" t="s">
        <v>2651</v>
      </c>
      <c r="G427" s="703"/>
      <c r="H427" s="703"/>
      <c r="I427" s="703"/>
      <c r="J427" s="1440" t="s">
        <v>1634</v>
      </c>
      <c r="K427" s="1355"/>
    </row>
    <row r="428" spans="1:11">
      <c r="A428" s="1590"/>
      <c r="B428" s="670"/>
      <c r="C428" s="670"/>
      <c r="D428" s="655"/>
      <c r="E428" s="670"/>
      <c r="F428" s="706" t="s">
        <v>2422</v>
      </c>
      <c r="G428" s="703"/>
      <c r="H428" s="703"/>
      <c r="I428" s="703"/>
      <c r="J428" s="1441" t="s">
        <v>2422</v>
      </c>
      <c r="K428" s="1355"/>
    </row>
    <row r="429" spans="1:11">
      <c r="A429" s="1590"/>
      <c r="B429" s="670"/>
      <c r="C429" s="670"/>
      <c r="D429" s="655"/>
      <c r="E429" s="670"/>
      <c r="F429" s="655"/>
      <c r="G429" s="670"/>
      <c r="H429" s="670"/>
      <c r="I429" s="670"/>
      <c r="J429" s="1439"/>
      <c r="K429" s="1355"/>
    </row>
    <row r="430" spans="1:11" ht="25.5">
      <c r="A430" s="1679" t="s">
        <v>734</v>
      </c>
      <c r="B430" s="709" t="s">
        <v>3885</v>
      </c>
      <c r="C430" s="709"/>
      <c r="D430" s="711"/>
      <c r="E430" s="670"/>
      <c r="F430" s="655"/>
      <c r="G430" s="670"/>
      <c r="H430" s="670"/>
      <c r="I430" s="670"/>
      <c r="J430" s="1439"/>
      <c r="K430" s="1355"/>
    </row>
    <row r="431" spans="1:11">
      <c r="A431" s="1590"/>
      <c r="B431" s="709" t="s">
        <v>2286</v>
      </c>
      <c r="C431" s="709"/>
      <c r="D431" s="711"/>
      <c r="E431" s="670"/>
      <c r="F431" s="655"/>
      <c r="G431" s="670"/>
      <c r="H431" s="670"/>
      <c r="I431" s="670"/>
      <c r="J431" s="1439"/>
      <c r="K431" s="1355"/>
    </row>
    <row r="432" spans="1:11">
      <c r="A432" s="1590"/>
      <c r="B432" s="708" t="s">
        <v>2287</v>
      </c>
      <c r="C432" s="708"/>
      <c r="D432" s="713"/>
      <c r="E432" s="670"/>
      <c r="F432" s="655"/>
      <c r="G432" s="670"/>
      <c r="H432" s="670"/>
      <c r="I432" s="670"/>
      <c r="J432" s="1439"/>
      <c r="K432" s="1355"/>
    </row>
    <row r="433" spans="1:12">
      <c r="A433" s="1590"/>
      <c r="B433" s="708" t="s">
        <v>2288</v>
      </c>
      <c r="C433" s="708"/>
      <c r="D433" s="713">
        <f>'TRAIL BALANCE'!S64</f>
        <v>262197.42</v>
      </c>
      <c r="E433" s="670"/>
      <c r="F433" s="655">
        <f>SUM('TRAIL BALANCE'!G64)</f>
        <v>130345.51</v>
      </c>
      <c r="G433" s="670"/>
      <c r="H433" s="670"/>
      <c r="I433" s="670"/>
      <c r="J433" s="1439">
        <f>SUM('TRAIL BALANCE'!E64)</f>
        <v>77300.97</v>
      </c>
      <c r="K433" s="1355"/>
      <c r="L433" s="735" t="s">
        <v>45</v>
      </c>
    </row>
    <row r="434" spans="1:12" ht="13.5" thickBot="1">
      <c r="A434" s="1590"/>
      <c r="B434" s="709" t="s">
        <v>2289</v>
      </c>
      <c r="C434" s="709"/>
      <c r="D434" s="710">
        <f>SUM(D432:D433)</f>
        <v>262197.42</v>
      </c>
      <c r="E434" s="670"/>
      <c r="F434" s="710">
        <f>SUM(F432:F433)</f>
        <v>130345.51</v>
      </c>
      <c r="G434" s="670"/>
      <c r="H434" s="670"/>
      <c r="I434" s="670"/>
      <c r="J434" s="1685">
        <f>SUM(J432:J433)</f>
        <v>77300.97</v>
      </c>
      <c r="K434" s="1355"/>
    </row>
    <row r="435" spans="1:12" ht="13.5" thickTop="1">
      <c r="A435" s="1590"/>
      <c r="B435" s="670"/>
      <c r="C435" s="670"/>
      <c r="D435" s="655"/>
      <c r="E435" s="670"/>
      <c r="F435" s="655"/>
      <c r="G435" s="670"/>
      <c r="H435" s="670"/>
      <c r="I435" s="670"/>
      <c r="J435" s="1439"/>
      <c r="K435" s="1355"/>
    </row>
    <row r="436" spans="1:12">
      <c r="A436" s="1590"/>
      <c r="B436" s="709" t="s">
        <v>3799</v>
      </c>
      <c r="C436" s="709"/>
      <c r="D436" s="711"/>
      <c r="E436" s="670"/>
      <c r="F436" s="655"/>
      <c r="G436" s="670"/>
      <c r="H436" s="670"/>
      <c r="I436" s="670"/>
      <c r="J436" s="1439"/>
      <c r="K436" s="1355"/>
    </row>
    <row r="437" spans="1:12">
      <c r="A437" s="1590"/>
      <c r="B437" s="708" t="s">
        <v>2290</v>
      </c>
      <c r="C437" s="708"/>
      <c r="D437" s="713"/>
      <c r="E437" s="670"/>
      <c r="F437" s="655"/>
      <c r="G437" s="670"/>
      <c r="H437" s="670"/>
      <c r="I437" s="670"/>
      <c r="J437" s="1439"/>
      <c r="K437" s="1355"/>
    </row>
    <row r="438" spans="1:12">
      <c r="A438" s="1590"/>
      <c r="B438" s="708" t="s">
        <v>2288</v>
      </c>
      <c r="C438" s="708"/>
      <c r="D438" s="713">
        <f>'TRAIL BALANCE'!S299+'TRAIL BALANCE'!S300</f>
        <v>2165150.9900000002</v>
      </c>
      <c r="E438" s="670"/>
      <c r="F438" s="655">
        <f>SUM('TRAIL BALANCE'!G300)</f>
        <v>630719.16</v>
      </c>
      <c r="G438" s="670"/>
      <c r="H438" s="670"/>
      <c r="I438" s="670"/>
      <c r="J438" s="1439">
        <f>SUM('TRAIL BALANCE'!E300)</f>
        <v>870002.64</v>
      </c>
      <c r="K438" s="1355"/>
      <c r="L438" s="735" t="s">
        <v>45</v>
      </c>
    </row>
    <row r="439" spans="1:12">
      <c r="A439" s="1590"/>
      <c r="B439" s="708" t="s">
        <v>2289</v>
      </c>
      <c r="C439" s="709"/>
      <c r="D439" s="713">
        <f>1243035.97+92864.75</f>
        <v>1335900.72</v>
      </c>
      <c r="E439" s="670"/>
      <c r="F439" s="655"/>
      <c r="G439" s="670"/>
      <c r="H439" s="670"/>
      <c r="I439" s="670"/>
      <c r="J439" s="1439"/>
      <c r="K439" s="1355"/>
      <c r="L439" s="735"/>
    </row>
    <row r="440" spans="1:12" ht="13.5" thickBot="1">
      <c r="A440" s="1590"/>
      <c r="B440" s="670"/>
      <c r="C440" s="670"/>
      <c r="D440" s="710">
        <f>SUM(D438:D439)</f>
        <v>3501051.71</v>
      </c>
      <c r="E440" s="670"/>
      <c r="F440" s="710">
        <f>SUM(F437:F438)</f>
        <v>630719.16</v>
      </c>
      <c r="G440" s="670"/>
      <c r="H440" s="670"/>
      <c r="I440" s="670"/>
      <c r="J440" s="1685">
        <f>SUM(J437:J438)</f>
        <v>870002.64</v>
      </c>
      <c r="K440" s="1355"/>
    </row>
    <row r="441" spans="1:12" ht="13.5" thickTop="1">
      <c r="A441" s="1590"/>
      <c r="B441" s="670"/>
      <c r="C441" s="670"/>
      <c r="D441" s="655"/>
      <c r="E441" s="670"/>
      <c r="F441" s="655"/>
      <c r="G441" s="670"/>
      <c r="H441" s="670"/>
      <c r="I441" s="670"/>
      <c r="J441" s="1439"/>
      <c r="K441" s="1355"/>
    </row>
    <row r="442" spans="1:12">
      <c r="A442" s="1590"/>
      <c r="B442" s="709" t="s">
        <v>793</v>
      </c>
      <c r="C442" s="709"/>
      <c r="D442" s="711"/>
      <c r="E442" s="670"/>
      <c r="F442" s="655"/>
      <c r="G442" s="670"/>
      <c r="H442" s="670"/>
      <c r="I442" s="670"/>
      <c r="J442" s="1439"/>
      <c r="K442" s="1355"/>
    </row>
    <row r="443" spans="1:12">
      <c r="A443" s="1590"/>
      <c r="B443" s="709" t="s">
        <v>2291</v>
      </c>
      <c r="C443" s="709"/>
      <c r="D443" s="711"/>
      <c r="E443" s="670"/>
      <c r="F443" s="655"/>
      <c r="G443" s="670"/>
      <c r="H443" s="670"/>
      <c r="I443" s="670"/>
      <c r="J443" s="1439"/>
      <c r="K443" s="1355"/>
    </row>
    <row r="444" spans="1:12">
      <c r="A444" s="1590"/>
      <c r="B444" s="708" t="s">
        <v>2535</v>
      </c>
      <c r="C444" s="708"/>
      <c r="D444" s="713"/>
      <c r="E444" s="670"/>
      <c r="F444" s="655"/>
      <c r="G444" s="670"/>
      <c r="H444" s="670"/>
      <c r="I444" s="670"/>
      <c r="J444" s="1439"/>
      <c r="K444" s="1355"/>
    </row>
    <row r="445" spans="1:12">
      <c r="A445" s="1590"/>
      <c r="B445" s="708" t="s">
        <v>2292</v>
      </c>
      <c r="C445" s="708"/>
      <c r="D445" s="713">
        <v>8100970.8399999999</v>
      </c>
      <c r="E445" s="670"/>
      <c r="F445" s="655">
        <v>6624163.7000000002</v>
      </c>
      <c r="G445" s="670"/>
      <c r="H445" s="670"/>
      <c r="I445" s="670"/>
      <c r="J445" s="1439">
        <v>4793221</v>
      </c>
      <c r="K445" s="1355"/>
    </row>
    <row r="446" spans="1:12">
      <c r="A446" s="1590"/>
      <c r="B446" s="709" t="s">
        <v>2293</v>
      </c>
      <c r="C446" s="709"/>
      <c r="D446" s="711"/>
      <c r="E446" s="670"/>
      <c r="F446" s="655"/>
      <c r="G446" s="670"/>
      <c r="H446" s="670"/>
      <c r="I446" s="670"/>
      <c r="J446" s="1439"/>
      <c r="K446" s="1355"/>
      <c r="L446" s="695" t="s">
        <v>45</v>
      </c>
    </row>
    <row r="447" spans="1:12">
      <c r="A447" s="1590"/>
      <c r="B447" s="708" t="s">
        <v>2294</v>
      </c>
      <c r="C447" s="708"/>
      <c r="D447" s="713">
        <v>-10180280.25</v>
      </c>
      <c r="E447" s="670"/>
      <c r="F447" s="655">
        <v>-9053366.8699999992</v>
      </c>
      <c r="G447" s="670"/>
      <c r="H447" s="670"/>
      <c r="I447" s="670"/>
      <c r="J447" s="1439"/>
      <c r="K447" s="1355"/>
    </row>
    <row r="448" spans="1:12">
      <c r="A448" s="1590"/>
      <c r="B448" s="708" t="s">
        <v>3909</v>
      </c>
      <c r="C448" s="708"/>
      <c r="D448" s="713">
        <v>117654</v>
      </c>
      <c r="E448" s="670"/>
      <c r="F448" s="655">
        <v>0</v>
      </c>
      <c r="G448" s="670"/>
      <c r="H448" s="670"/>
      <c r="I448" s="670"/>
      <c r="J448" s="1439">
        <v>6811756</v>
      </c>
      <c r="K448" s="1355"/>
    </row>
    <row r="449" spans="1:12" ht="13.5" thickBot="1">
      <c r="A449" s="1590"/>
      <c r="B449" s="709" t="s">
        <v>456</v>
      </c>
      <c r="C449" s="709"/>
      <c r="D449" s="710">
        <f>SUM(D445:D448)</f>
        <v>-1961655.4100000001</v>
      </c>
      <c r="E449" s="670"/>
      <c r="F449" s="710">
        <f>SUM(F445:F448)</f>
        <v>-2429203.169999999</v>
      </c>
      <c r="G449" s="670"/>
      <c r="H449" s="670" t="s">
        <v>2206</v>
      </c>
      <c r="I449" s="670"/>
      <c r="J449" s="1685">
        <f>+J445-J448</f>
        <v>-2018535</v>
      </c>
      <c r="K449" s="1355"/>
    </row>
    <row r="450" spans="1:12" ht="13.5" thickTop="1">
      <c r="A450" s="1590"/>
      <c r="B450" s="670"/>
      <c r="C450" s="670"/>
      <c r="D450" s="655"/>
      <c r="E450" s="670"/>
      <c r="F450" s="655"/>
      <c r="G450" s="670"/>
      <c r="H450" s="670"/>
      <c r="I450" s="670"/>
      <c r="J450" s="1439"/>
      <c r="K450" s="1355"/>
    </row>
    <row r="451" spans="1:12" ht="63.75">
      <c r="A451" s="1691"/>
      <c r="B451" s="615" t="s">
        <v>3884</v>
      </c>
      <c r="C451" s="615"/>
      <c r="D451" s="719"/>
      <c r="E451" s="615"/>
      <c r="F451" s="615"/>
      <c r="G451" s="615"/>
      <c r="H451" s="615"/>
      <c r="I451" s="615"/>
      <c r="J451" s="1692"/>
      <c r="K451" s="1360"/>
    </row>
    <row r="452" spans="1:12">
      <c r="A452" s="1590"/>
      <c r="B452" s="670"/>
      <c r="C452" s="670"/>
      <c r="D452" s="655"/>
      <c r="E452" s="670"/>
      <c r="F452" s="655"/>
      <c r="G452" s="670"/>
      <c r="H452" s="670"/>
      <c r="I452" s="670"/>
      <c r="J452" s="1439"/>
      <c r="K452" s="1355"/>
    </row>
    <row r="453" spans="1:12">
      <c r="A453" s="1590"/>
      <c r="B453" s="709" t="s">
        <v>2200</v>
      </c>
      <c r="C453" s="709"/>
      <c r="D453" s="711"/>
      <c r="E453" s="670"/>
      <c r="F453" s="655"/>
      <c r="G453" s="670"/>
      <c r="H453" s="670"/>
      <c r="I453" s="670"/>
      <c r="J453" s="1439"/>
      <c r="K453" s="1355"/>
    </row>
    <row r="454" spans="1:12">
      <c r="A454" s="1590"/>
      <c r="B454" s="708" t="s">
        <v>2201</v>
      </c>
      <c r="C454" s="708"/>
      <c r="D454" s="713" t="s">
        <v>45</v>
      </c>
      <c r="E454" s="670"/>
      <c r="F454" s="655"/>
      <c r="G454" s="670"/>
      <c r="H454" s="670"/>
      <c r="I454" s="670"/>
      <c r="J454" s="1439"/>
      <c r="K454" s="1355"/>
    </row>
    <row r="455" spans="1:12">
      <c r="A455" s="1590"/>
      <c r="B455" s="708" t="s">
        <v>2288</v>
      </c>
      <c r="C455" s="708"/>
      <c r="D455" s="713">
        <v>3427626</v>
      </c>
      <c r="E455" s="670"/>
      <c r="F455" s="655">
        <v>3569632.86</v>
      </c>
      <c r="G455" s="670"/>
      <c r="H455" s="670"/>
      <c r="I455" s="670"/>
      <c r="J455" s="1439">
        <v>3078477</v>
      </c>
      <c r="K455" s="1355"/>
      <c r="L455" s="695" t="s">
        <v>45</v>
      </c>
    </row>
    <row r="456" spans="1:12" ht="13.5" thickBot="1">
      <c r="A456" s="1590"/>
      <c r="B456" s="709" t="s">
        <v>2202</v>
      </c>
      <c r="C456" s="709"/>
      <c r="D456" s="710">
        <f>SUM(D454:D455)</f>
        <v>3427626</v>
      </c>
      <c r="E456" s="670"/>
      <c r="F456" s="710">
        <f>SUM(F454:F455)</f>
        <v>3569632.86</v>
      </c>
      <c r="G456" s="670"/>
      <c r="H456" s="670"/>
      <c r="I456" s="670"/>
      <c r="J456" s="1685">
        <f>SUM(J454:J455)</f>
        <v>3078477</v>
      </c>
      <c r="K456" s="1355"/>
    </row>
    <row r="457" spans="1:12" ht="13.5" thickTop="1">
      <c r="A457" s="1590"/>
      <c r="B457" s="709"/>
      <c r="C457" s="709"/>
      <c r="D457" s="711"/>
      <c r="E457" s="670"/>
      <c r="F457" s="655"/>
      <c r="G457" s="670"/>
      <c r="H457" s="670"/>
      <c r="I457" s="670"/>
      <c r="J457" s="1439"/>
      <c r="K457" s="1355"/>
    </row>
    <row r="458" spans="1:12">
      <c r="A458" s="1590"/>
      <c r="B458" s="709" t="s">
        <v>2203</v>
      </c>
      <c r="C458" s="709"/>
      <c r="D458" s="711"/>
      <c r="E458" s="670"/>
      <c r="F458" s="655"/>
      <c r="G458" s="670"/>
      <c r="H458" s="670"/>
      <c r="I458" s="670"/>
      <c r="J458" s="1439"/>
      <c r="K458" s="1355"/>
    </row>
    <row r="459" spans="1:12">
      <c r="A459" s="1590"/>
      <c r="B459" s="708" t="s">
        <v>2201</v>
      </c>
      <c r="C459" s="708"/>
      <c r="D459" s="713">
        <v>207368</v>
      </c>
      <c r="E459" s="670"/>
      <c r="F459" s="655">
        <f>'work paper employee cost 0809'!I190</f>
        <v>159277.02000000002</v>
      </c>
      <c r="G459" s="670"/>
      <c r="H459" s="670"/>
      <c r="I459" s="670"/>
      <c r="J459" s="1439"/>
      <c r="K459" s="1355"/>
    </row>
    <row r="460" spans="1:12">
      <c r="A460" s="1590"/>
      <c r="B460" s="708" t="s">
        <v>2288</v>
      </c>
      <c r="C460" s="708"/>
      <c r="D460" s="713">
        <v>-207368</v>
      </c>
      <c r="E460" s="670"/>
      <c r="F460" s="655">
        <v>-148103</v>
      </c>
      <c r="G460" s="670"/>
      <c r="H460" s="670"/>
      <c r="I460" s="670"/>
      <c r="J460" s="1439">
        <v>192083</v>
      </c>
      <c r="K460" s="1355"/>
      <c r="L460" s="673" t="s">
        <v>45</v>
      </c>
    </row>
    <row r="461" spans="1:12" ht="13.5" thickBot="1">
      <c r="A461" s="1590"/>
      <c r="B461" s="709" t="s">
        <v>2202</v>
      </c>
      <c r="C461" s="709"/>
      <c r="D461" s="710">
        <f>SUM(D459:D460)</f>
        <v>0</v>
      </c>
      <c r="E461" s="670"/>
      <c r="F461" s="710">
        <f>SUM(F459:F460)</f>
        <v>11174.020000000019</v>
      </c>
      <c r="G461" s="670"/>
      <c r="H461" s="670"/>
      <c r="I461" s="670"/>
      <c r="J461" s="1685">
        <f>SUM(J459:J460)</f>
        <v>192083</v>
      </c>
      <c r="K461" s="1355"/>
      <c r="L461" s="695" t="s">
        <v>45</v>
      </c>
    </row>
    <row r="462" spans="1:12" ht="13.5" thickTop="1">
      <c r="A462" s="1590"/>
      <c r="B462" s="670"/>
      <c r="C462" s="670"/>
      <c r="D462" s="655"/>
      <c r="E462" s="670"/>
      <c r="F462" s="655"/>
      <c r="G462" s="670"/>
      <c r="H462" s="670"/>
      <c r="I462" s="670"/>
      <c r="J462" s="1439"/>
      <c r="K462" s="1355"/>
      <c r="L462" s="673" t="s">
        <v>45</v>
      </c>
    </row>
    <row r="463" spans="1:12">
      <c r="A463" s="1590"/>
      <c r="B463" s="709" t="s">
        <v>2204</v>
      </c>
      <c r="C463" s="709"/>
      <c r="D463" s="711"/>
      <c r="E463" s="670"/>
      <c r="F463" s="655"/>
      <c r="G463" s="670"/>
      <c r="H463" s="670"/>
      <c r="I463" s="670"/>
      <c r="J463" s="1439"/>
      <c r="K463" s="1355"/>
    </row>
    <row r="464" spans="1:12">
      <c r="A464" s="1590"/>
      <c r="B464" s="708" t="s">
        <v>2201</v>
      </c>
      <c r="C464" s="708"/>
      <c r="D464" s="713">
        <v>781751</v>
      </c>
      <c r="E464" s="670"/>
      <c r="F464" s="655">
        <f>'work paper employee cost 0809'!I151</f>
        <v>454139.91000000003</v>
      </c>
      <c r="G464" s="670"/>
      <c r="H464" s="670"/>
      <c r="I464" s="670"/>
      <c r="J464" s="1439"/>
      <c r="K464" s="1355"/>
    </row>
    <row r="465" spans="1:15">
      <c r="A465" s="1590"/>
      <c r="B465" s="708" t="s">
        <v>2288</v>
      </c>
      <c r="C465" s="708"/>
      <c r="D465" s="713">
        <v>-781751</v>
      </c>
      <c r="E465" s="670"/>
      <c r="F465" s="655">
        <v>-454140</v>
      </c>
      <c r="G465" s="670"/>
      <c r="H465" s="670"/>
      <c r="I465" s="670"/>
      <c r="J465" s="1439">
        <v>481048</v>
      </c>
      <c r="K465" s="1355"/>
      <c r="L465" s="673" t="s">
        <v>45</v>
      </c>
    </row>
    <row r="466" spans="1:15" ht="13.5" thickBot="1">
      <c r="A466" s="1590"/>
      <c r="B466" s="709" t="s">
        <v>2202</v>
      </c>
      <c r="C466" s="709"/>
      <c r="D466" s="710">
        <f>SUM(D464:D465)</f>
        <v>0</v>
      </c>
      <c r="E466" s="670"/>
      <c r="F466" s="710">
        <f>SUM(F464:F465)</f>
        <v>-8.999999996740371E-2</v>
      </c>
      <c r="G466" s="670"/>
      <c r="H466" s="670"/>
      <c r="I466" s="670"/>
      <c r="J466" s="1685">
        <f>SUM(J464:J465)</f>
        <v>481048</v>
      </c>
      <c r="K466" s="1355"/>
      <c r="L466" s="695" t="s">
        <v>45</v>
      </c>
    </row>
    <row r="467" spans="1:15" ht="13.5" thickTop="1">
      <c r="A467" s="1590"/>
      <c r="B467" s="709"/>
      <c r="C467" s="709"/>
      <c r="D467" s="711"/>
      <c r="E467" s="670"/>
      <c r="F467" s="655"/>
      <c r="G467" s="670"/>
      <c r="H467" s="670"/>
      <c r="I467" s="670"/>
      <c r="J467" s="1439"/>
      <c r="K467" s="1355"/>
    </row>
    <row r="468" spans="1:15">
      <c r="A468" s="1590"/>
      <c r="B468" s="709" t="s">
        <v>2205</v>
      </c>
      <c r="C468" s="709"/>
      <c r="D468" s="711"/>
      <c r="E468" s="670"/>
      <c r="F468" s="655"/>
      <c r="G468" s="670"/>
      <c r="H468" s="670"/>
      <c r="I468" s="670"/>
      <c r="J468" s="1439"/>
      <c r="K468" s="1355"/>
    </row>
    <row r="469" spans="1:15">
      <c r="A469" s="1590"/>
      <c r="B469" s="708" t="s">
        <v>2201</v>
      </c>
      <c r="C469" s="708"/>
      <c r="D469" s="713">
        <v>3954767</v>
      </c>
      <c r="E469" s="670"/>
      <c r="F469" s="655">
        <f>'work paper employee cost 0809'!I170</f>
        <v>2579424.13</v>
      </c>
      <c r="G469" s="670"/>
      <c r="H469" s="670"/>
      <c r="I469" s="670"/>
      <c r="J469" s="1439"/>
      <c r="K469" s="1355"/>
    </row>
    <row r="470" spans="1:15">
      <c r="A470" s="1590"/>
      <c r="B470" s="708" t="s">
        <v>2288</v>
      </c>
      <c r="C470" s="708"/>
      <c r="D470" s="713">
        <v>-3954767</v>
      </c>
      <c r="E470" s="670"/>
      <c r="F470" s="655">
        <v>-2579424</v>
      </c>
      <c r="G470" s="670"/>
      <c r="H470" s="670"/>
      <c r="I470" s="670"/>
      <c r="J470" s="1439">
        <v>3225193</v>
      </c>
      <c r="K470" s="1355"/>
      <c r="L470" s="673" t="s">
        <v>45</v>
      </c>
    </row>
    <row r="471" spans="1:15" ht="13.5" thickBot="1">
      <c r="A471" s="1590"/>
      <c r="B471" s="709" t="s">
        <v>2202</v>
      </c>
      <c r="C471" s="709"/>
      <c r="D471" s="710">
        <f>SUM(D469:D470)</f>
        <v>0</v>
      </c>
      <c r="E471" s="670"/>
      <c r="F471" s="710">
        <f>SUM(F469:F470)</f>
        <v>0.12999999988824129</v>
      </c>
      <c r="G471" s="670"/>
      <c r="H471" s="670"/>
      <c r="I471" s="670"/>
      <c r="J471" s="1685">
        <f>SUM(J469:J470)</f>
        <v>3225193</v>
      </c>
      <c r="K471" s="1355"/>
      <c r="L471" s="695" t="s">
        <v>45</v>
      </c>
    </row>
    <row r="472" spans="1:15" ht="13.5" thickTop="1">
      <c r="A472" s="1596"/>
      <c r="B472" s="699"/>
      <c r="C472" s="699"/>
      <c r="D472" s="700"/>
      <c r="E472" s="699"/>
      <c r="F472" s="700"/>
      <c r="G472" s="699"/>
      <c r="H472" s="699"/>
      <c r="I472" s="699"/>
      <c r="J472" s="1570"/>
      <c r="K472" s="1352"/>
    </row>
    <row r="473" spans="1:15">
      <c r="A473" s="1684"/>
      <c r="B473" s="677"/>
      <c r="C473" s="677"/>
      <c r="D473" s="676"/>
      <c r="E473" s="677"/>
      <c r="F473" s="676"/>
      <c r="G473" s="677"/>
      <c r="H473" s="677"/>
      <c r="I473" s="677"/>
      <c r="J473" s="1572"/>
      <c r="K473" s="1353"/>
    </row>
    <row r="474" spans="1:15">
      <c r="A474" s="1590"/>
      <c r="B474" s="670"/>
      <c r="C474" s="670"/>
      <c r="D474" s="655"/>
      <c r="E474" s="708"/>
      <c r="F474" s="774"/>
      <c r="G474" s="670"/>
      <c r="H474" s="670"/>
      <c r="I474" s="670"/>
      <c r="J474" s="1712"/>
      <c r="K474" s="1355"/>
    </row>
    <row r="475" spans="1:15">
      <c r="A475" s="1590"/>
      <c r="B475" s="670"/>
      <c r="C475" s="670"/>
      <c r="D475" s="655"/>
      <c r="E475" s="670"/>
      <c r="F475" s="775"/>
      <c r="G475" s="670"/>
      <c r="H475" s="670"/>
      <c r="I475" s="670"/>
      <c r="J475" s="1713"/>
      <c r="K475" s="1355"/>
    </row>
    <row r="476" spans="1:15">
      <c r="A476" s="1686"/>
      <c r="B476" s="1856" t="s">
        <v>1297</v>
      </c>
      <c r="C476" s="1857"/>
      <c r="D476" s="1857"/>
      <c r="E476" s="1857"/>
      <c r="F476" s="1857"/>
      <c r="G476" s="1857"/>
      <c r="H476" s="1857"/>
      <c r="I476" s="1857"/>
      <c r="J476" s="1858"/>
      <c r="K476" s="1359"/>
    </row>
    <row r="477" spans="1:15" ht="18">
      <c r="A477" s="1686"/>
      <c r="B477" s="1859" t="s">
        <v>2023</v>
      </c>
      <c r="C477" s="1860"/>
      <c r="D477" s="1860"/>
      <c r="E477" s="1860"/>
      <c r="F477" s="1860"/>
      <c r="G477" s="1860"/>
      <c r="H477" s="1860"/>
      <c r="I477" s="1860"/>
      <c r="J477" s="1861"/>
      <c r="K477" s="1359"/>
      <c r="L477" s="776"/>
      <c r="M477" s="777"/>
      <c r="N477" s="777"/>
      <c r="O477" s="777"/>
    </row>
    <row r="478" spans="1:15">
      <c r="A478" s="1686"/>
      <c r="B478" s="1859" t="s">
        <v>2024</v>
      </c>
      <c r="C478" s="1860"/>
      <c r="D478" s="1860"/>
      <c r="E478" s="1860"/>
      <c r="F478" s="1860"/>
      <c r="G478" s="1860"/>
      <c r="H478" s="1860"/>
      <c r="I478" s="1860"/>
      <c r="J478" s="1861"/>
      <c r="K478" s="1359"/>
    </row>
    <row r="479" spans="1:15">
      <c r="A479" s="1686"/>
      <c r="B479" s="1862"/>
      <c r="C479" s="1863"/>
      <c r="D479" s="1863"/>
      <c r="E479" s="1863"/>
      <c r="F479" s="1863"/>
      <c r="G479" s="1863"/>
      <c r="H479" s="1863"/>
      <c r="I479" s="1863"/>
      <c r="J479" s="1864"/>
      <c r="K479" s="1359"/>
    </row>
    <row r="480" spans="1:15">
      <c r="A480" s="1686"/>
      <c r="B480" s="1862"/>
      <c r="C480" s="1863"/>
      <c r="D480" s="1863"/>
      <c r="E480" s="1863"/>
      <c r="F480" s="1863"/>
      <c r="G480" s="1863"/>
      <c r="H480" s="1863"/>
      <c r="I480" s="1863"/>
      <c r="J480" s="1864"/>
      <c r="K480" s="1359"/>
    </row>
    <row r="481" spans="1:15" ht="63" customHeight="1">
      <c r="A481" s="1686"/>
      <c r="B481" s="1853" t="s">
        <v>3907</v>
      </c>
      <c r="C481" s="1854"/>
      <c r="D481" s="1854"/>
      <c r="E481" s="1854"/>
      <c r="F481" s="1854"/>
      <c r="G481" s="1854"/>
      <c r="H481" s="1854"/>
      <c r="I481" s="1854"/>
      <c r="J481" s="1855"/>
      <c r="K481" s="1359"/>
    </row>
    <row r="482" spans="1:15">
      <c r="A482" s="1686"/>
      <c r="B482" s="778"/>
      <c r="C482" s="708"/>
      <c r="D482" s="713"/>
      <c r="E482" s="708"/>
      <c r="F482" s="779"/>
      <c r="G482" s="708"/>
      <c r="H482" s="708"/>
      <c r="I482" s="708"/>
      <c r="J482" s="1714"/>
      <c r="K482" s="1359"/>
    </row>
    <row r="483" spans="1:15">
      <c r="A483" s="1686"/>
      <c r="B483" s="778"/>
      <c r="C483" s="708"/>
      <c r="D483" s="713"/>
      <c r="E483" s="708"/>
      <c r="F483" s="779"/>
      <c r="G483" s="708"/>
      <c r="H483" s="708"/>
      <c r="I483" s="708"/>
      <c r="J483" s="1714"/>
      <c r="K483" s="1359"/>
    </row>
    <row r="484" spans="1:15">
      <c r="A484" s="1686"/>
      <c r="B484" s="778"/>
      <c r="C484" s="708"/>
      <c r="D484" s="713"/>
      <c r="E484" s="708"/>
      <c r="F484" s="779"/>
      <c r="G484" s="708"/>
      <c r="H484" s="708"/>
      <c r="I484" s="708"/>
      <c r="J484" s="1714"/>
      <c r="K484" s="1359"/>
    </row>
    <row r="485" spans="1:15" ht="18">
      <c r="A485" s="1686"/>
      <c r="B485" s="778"/>
      <c r="C485" s="708"/>
      <c r="D485" s="713"/>
      <c r="E485" s="708"/>
      <c r="F485" s="779"/>
      <c r="G485" s="708"/>
      <c r="H485" s="708"/>
      <c r="I485" s="708"/>
      <c r="J485" s="1714"/>
      <c r="K485" s="1359"/>
      <c r="L485" s="776"/>
      <c r="M485" s="777"/>
      <c r="N485" s="777"/>
      <c r="O485" s="777"/>
    </row>
    <row r="486" spans="1:15">
      <c r="A486" s="1686"/>
      <c r="B486" s="778"/>
      <c r="C486" s="708"/>
      <c r="D486" s="713"/>
      <c r="E486" s="708"/>
      <c r="F486" s="779"/>
      <c r="G486" s="708"/>
      <c r="H486" s="708"/>
      <c r="I486" s="708"/>
      <c r="J486" s="1714"/>
      <c r="K486" s="1359"/>
    </row>
    <row r="487" spans="1:15">
      <c r="A487" s="1686"/>
      <c r="B487" s="780" t="s">
        <v>2107</v>
      </c>
      <c r="C487" s="709"/>
      <c r="D487" s="711"/>
      <c r="E487" s="708"/>
      <c r="F487" s="779"/>
      <c r="G487" s="708"/>
      <c r="H487" s="708"/>
      <c r="I487" s="708"/>
      <c r="J487" s="1714"/>
      <c r="K487" s="1359"/>
    </row>
    <row r="488" spans="1:15">
      <c r="A488" s="1686"/>
      <c r="B488" s="781" t="s">
        <v>2025</v>
      </c>
      <c r="C488" s="709"/>
      <c r="D488" s="711"/>
      <c r="E488" s="708"/>
      <c r="F488" s="779"/>
      <c r="G488" s="708"/>
      <c r="H488" s="708"/>
      <c r="I488" s="708"/>
      <c r="J488" s="1714"/>
      <c r="K488" s="1359"/>
    </row>
    <row r="489" spans="1:15" ht="13.5" thickBot="1">
      <c r="A489" s="1715"/>
      <c r="B489" s="1716"/>
      <c r="C489" s="1717"/>
      <c r="D489" s="1718"/>
      <c r="E489" s="1717"/>
      <c r="F489" s="1719"/>
      <c r="G489" s="1717"/>
      <c r="H489" s="1717"/>
      <c r="I489" s="1717"/>
      <c r="J489" s="1720"/>
      <c r="K489" s="1364"/>
    </row>
    <row r="490" spans="1:15" ht="13.5" thickTop="1">
      <c r="A490" s="736"/>
      <c r="B490" s="737"/>
      <c r="C490" s="737"/>
      <c r="D490" s="738"/>
      <c r="E490" s="737"/>
      <c r="F490" s="783"/>
      <c r="G490" s="737"/>
      <c r="H490" s="737"/>
      <c r="I490" s="737"/>
      <c r="J490" s="1436"/>
      <c r="K490" s="739"/>
    </row>
  </sheetData>
  <mergeCells count="11">
    <mergeCell ref="B481:J481"/>
    <mergeCell ref="B476:J476"/>
    <mergeCell ref="B477:J477"/>
    <mergeCell ref="B478:J478"/>
    <mergeCell ref="B479:J479"/>
    <mergeCell ref="B480:J480"/>
    <mergeCell ref="B96:E96"/>
    <mergeCell ref="B88:E88"/>
    <mergeCell ref="B80:E80"/>
    <mergeCell ref="A1:G1"/>
    <mergeCell ref="A2:G2"/>
  </mergeCells>
  <phoneticPr fontId="0" type="noConversion"/>
  <printOptions horizontalCentered="1"/>
  <pageMargins left="0.6692913385826772" right="0.39370078740157483" top="0.98425196850393704" bottom="0.98425196850393704" header="0.51181102362204722" footer="0.51181102362204722"/>
  <pageSetup scale="68" fitToHeight="10" orientation="portrait" r:id="rId1"/>
  <headerFooter>
    <oddHeader>&amp;C FINANCIAL STATEMENTS: MUSINA LOCAL MUNICIPALITY</oddHeader>
    <oddFooter>&amp;R&amp;P</oddFooter>
  </headerFooter>
  <rowBreaks count="7" manualBreakCount="7">
    <brk id="45" max="10" man="1"/>
    <brk id="143" max="10" man="1"/>
    <brk id="206" max="10" man="1"/>
    <brk id="255" max="10" man="1"/>
    <brk id="315" max="10" man="1"/>
    <brk id="381" max="10" man="1"/>
    <brk id="441" max="10" man="1"/>
  </rowBreaks>
  <legacyDrawing r:id="rId2"/>
</worksheet>
</file>

<file path=xl/worksheets/sheet19.xml><?xml version="1.0" encoding="utf-8"?>
<worksheet xmlns="http://schemas.openxmlformats.org/spreadsheetml/2006/main" xmlns:r="http://schemas.openxmlformats.org/officeDocument/2006/relationships">
  <dimension ref="A1:M125"/>
  <sheetViews>
    <sheetView tabSelected="1" view="pageBreakPreview" zoomScaleSheetLayoutView="100" workbookViewId="0">
      <selection activeCell="B43" sqref="B43"/>
    </sheetView>
  </sheetViews>
  <sheetFormatPr defaultRowHeight="12.75"/>
  <cols>
    <col min="1" max="1" width="9.140625" style="170" customWidth="1"/>
    <col min="2" max="2" width="23.85546875" style="234" customWidth="1"/>
    <col min="3" max="3" width="10.5703125" style="214" bestFit="1" customWidth="1"/>
    <col min="4" max="4" width="11.7109375" style="214" bestFit="1" customWidth="1"/>
    <col min="5" max="5" width="11.28515625" style="214" customWidth="1"/>
    <col min="6" max="6" width="10" style="214" bestFit="1" customWidth="1"/>
    <col min="7" max="7" width="9.140625" style="218" bestFit="1" customWidth="1"/>
    <col min="8" max="8" width="11" style="218" bestFit="1" customWidth="1"/>
    <col min="9" max="9" width="1.140625" style="218" customWidth="1"/>
    <col min="10" max="10" width="9.140625" style="218" customWidth="1"/>
    <col min="11" max="11" width="10.28515625" style="218" bestFit="1" customWidth="1"/>
    <col min="12" max="16384" width="9.140625" style="218"/>
  </cols>
  <sheetData>
    <row r="1" spans="1:10" ht="13.5" thickTop="1">
      <c r="A1" s="1827" t="s">
        <v>2486</v>
      </c>
      <c r="B1" s="1828"/>
      <c r="C1" s="1828"/>
      <c r="D1" s="1828"/>
      <c r="E1" s="1828"/>
      <c r="F1" s="1828"/>
      <c r="G1" s="1828"/>
      <c r="H1" s="1828"/>
      <c r="I1" s="1874"/>
    </row>
    <row r="2" spans="1:10">
      <c r="A2" s="1829" t="s">
        <v>3498</v>
      </c>
      <c r="B2" s="1830"/>
      <c r="C2" s="1830"/>
      <c r="D2" s="1830"/>
      <c r="E2" s="1830"/>
      <c r="F2" s="1830"/>
      <c r="G2" s="1830"/>
      <c r="H2" s="1830"/>
      <c r="I2" s="1875"/>
    </row>
    <row r="3" spans="1:10">
      <c r="A3" s="1604"/>
      <c r="I3" s="1663"/>
    </row>
    <row r="4" spans="1:10">
      <c r="A4" s="1604"/>
      <c r="I4" s="1663"/>
    </row>
    <row r="5" spans="1:10" ht="25.5">
      <c r="A5" s="1721" t="s">
        <v>3291</v>
      </c>
      <c r="B5" s="1337" t="s">
        <v>2207</v>
      </c>
      <c r="I5" s="1663"/>
    </row>
    <row r="6" spans="1:10">
      <c r="A6" s="1604"/>
      <c r="B6" s="1339" t="s">
        <v>2208</v>
      </c>
      <c r="I6" s="1663"/>
    </row>
    <row r="7" spans="1:10" ht="63.75">
      <c r="A7" s="1604"/>
      <c r="B7" s="328" t="s">
        <v>2209</v>
      </c>
      <c r="C7" s="329" t="s">
        <v>2191</v>
      </c>
      <c r="D7" s="329" t="s">
        <v>2212</v>
      </c>
      <c r="E7" s="329" t="s">
        <v>2211</v>
      </c>
      <c r="F7" s="330" t="s">
        <v>2672</v>
      </c>
      <c r="I7" s="1663"/>
    </row>
    <row r="8" spans="1:10">
      <c r="A8" s="1604"/>
      <c r="B8" s="331" t="s">
        <v>45</v>
      </c>
      <c r="C8" s="332" t="s">
        <v>45</v>
      </c>
      <c r="D8" s="332"/>
      <c r="E8" s="332"/>
      <c r="F8" s="332">
        <v>0</v>
      </c>
      <c r="I8" s="1663"/>
      <c r="J8" s="333"/>
    </row>
    <row r="9" spans="1:10">
      <c r="A9" s="1604"/>
      <c r="B9" s="331"/>
      <c r="C9" s="332"/>
      <c r="D9" s="332"/>
      <c r="E9" s="332"/>
      <c r="F9" s="332"/>
      <c r="I9" s="1663"/>
    </row>
    <row r="10" spans="1:10">
      <c r="A10" s="1604"/>
      <c r="B10" s="334" t="s">
        <v>1740</v>
      </c>
      <c r="C10" s="335">
        <f>SUM(C8:C9)</f>
        <v>0</v>
      </c>
      <c r="D10" s="335">
        <f>SUM(D8:D9)</f>
        <v>0</v>
      </c>
      <c r="E10" s="335">
        <f>SUM(E8:E9)</f>
        <v>0</v>
      </c>
      <c r="F10" s="335">
        <f>SUM(F8:F9)</f>
        <v>0</v>
      </c>
      <c r="I10" s="1663"/>
    </row>
    <row r="11" spans="1:10">
      <c r="A11" s="1604"/>
      <c r="B11" s="1337"/>
      <c r="I11" s="1663"/>
    </row>
    <row r="12" spans="1:10" ht="63.75">
      <c r="A12" s="1604"/>
      <c r="B12" s="328" t="s">
        <v>2210</v>
      </c>
      <c r="C12" s="336"/>
      <c r="D12" s="329" t="s">
        <v>2213</v>
      </c>
      <c r="E12" s="329" t="s">
        <v>2214</v>
      </c>
      <c r="F12" s="329" t="s">
        <v>2193</v>
      </c>
      <c r="I12" s="1663"/>
    </row>
    <row r="13" spans="1:10">
      <c r="A13" s="1604"/>
      <c r="B13" s="331"/>
      <c r="C13" s="332"/>
      <c r="D13" s="332"/>
      <c r="E13" s="332" t="s">
        <v>2192</v>
      </c>
      <c r="F13" s="332"/>
      <c r="I13" s="1663"/>
    </row>
    <row r="14" spans="1:10">
      <c r="A14" s="1604"/>
      <c r="B14" s="331"/>
      <c r="C14" s="332"/>
      <c r="D14" s="332"/>
      <c r="E14" s="332" t="s">
        <v>2192</v>
      </c>
      <c r="F14" s="332"/>
      <c r="I14" s="1663"/>
    </row>
    <row r="15" spans="1:10" ht="51">
      <c r="A15" s="1604"/>
      <c r="B15" s="328" t="s">
        <v>3315</v>
      </c>
      <c r="I15" s="1663"/>
    </row>
    <row r="16" spans="1:10" s="328" customFormat="1" ht="140.25">
      <c r="A16" s="1722"/>
      <c r="B16" s="328" t="s">
        <v>2215</v>
      </c>
      <c r="I16" s="1723"/>
    </row>
    <row r="17" spans="1:13">
      <c r="A17" s="1604"/>
      <c r="I17" s="1663"/>
    </row>
    <row r="18" spans="1:13">
      <c r="A18" s="1724"/>
      <c r="B18" s="338" t="s">
        <v>2216</v>
      </c>
      <c r="I18" s="1663"/>
    </row>
    <row r="19" spans="1:13" ht="25.5">
      <c r="A19" s="1604"/>
      <c r="B19" s="174" t="s">
        <v>2217</v>
      </c>
      <c r="I19" s="1663"/>
    </row>
    <row r="20" spans="1:13">
      <c r="A20" s="1604"/>
      <c r="B20" s="227" t="s">
        <v>2218</v>
      </c>
      <c r="I20" s="1663"/>
    </row>
    <row r="21" spans="1:13" ht="23.25" thickBot="1">
      <c r="A21" s="1604"/>
      <c r="B21" s="339"/>
      <c r="C21" s="340" t="s">
        <v>2223</v>
      </c>
      <c r="D21" s="340" t="s">
        <v>2224</v>
      </c>
      <c r="E21" s="340" t="s">
        <v>3524</v>
      </c>
      <c r="F21" s="340" t="s">
        <v>2225</v>
      </c>
      <c r="G21" s="340" t="s">
        <v>2224</v>
      </c>
      <c r="H21" s="340" t="s">
        <v>2673</v>
      </c>
      <c r="I21" s="1663"/>
    </row>
    <row r="22" spans="1:13">
      <c r="A22" s="1604"/>
      <c r="B22" s="341" t="s">
        <v>2219</v>
      </c>
      <c r="C22" s="332"/>
      <c r="D22" s="332"/>
      <c r="E22" s="332">
        <f>SUM(C22:D22)</f>
        <v>0</v>
      </c>
      <c r="F22" s="332"/>
      <c r="G22" s="332"/>
      <c r="H22" s="332">
        <f>SUM(F22:G22)</f>
        <v>0</v>
      </c>
      <c r="I22" s="1663"/>
    </row>
    <row r="23" spans="1:13" ht="22.5">
      <c r="A23" s="1604"/>
      <c r="B23" s="341" t="s">
        <v>2220</v>
      </c>
      <c r="C23" s="332"/>
      <c r="D23" s="332">
        <v>0</v>
      </c>
      <c r="E23" s="332">
        <f>SUM(C23:D23)</f>
        <v>0</v>
      </c>
      <c r="F23" s="332">
        <v>0</v>
      </c>
      <c r="G23" s="332">
        <v>0</v>
      </c>
      <c r="H23" s="332">
        <f>SUM(F23:G23)</f>
        <v>0</v>
      </c>
      <c r="I23" s="1663"/>
      <c r="J23" s="333"/>
    </row>
    <row r="24" spans="1:13" ht="22.5">
      <c r="A24" s="1604"/>
      <c r="B24" s="341" t="s">
        <v>2221</v>
      </c>
      <c r="C24" s="332">
        <v>0</v>
      </c>
      <c r="D24" s="332">
        <v>0</v>
      </c>
      <c r="E24" s="332">
        <f>SUM(C24:D24)</f>
        <v>0</v>
      </c>
      <c r="F24" s="332">
        <v>0</v>
      </c>
      <c r="G24" s="332">
        <v>0</v>
      </c>
      <c r="H24" s="332">
        <f>SUM(F24:G24)</f>
        <v>0</v>
      </c>
      <c r="I24" s="1663"/>
    </row>
    <row r="25" spans="1:13">
      <c r="A25" s="1604"/>
      <c r="B25" s="341" t="s">
        <v>452</v>
      </c>
      <c r="C25" s="332">
        <v>0</v>
      </c>
      <c r="D25" s="332"/>
      <c r="E25" s="332">
        <f>SUM(C25:D25)</f>
        <v>0</v>
      </c>
      <c r="F25" s="332">
        <v>0</v>
      </c>
      <c r="G25" s="332"/>
      <c r="H25" s="332">
        <f>SUM(F25:G25)</f>
        <v>0</v>
      </c>
      <c r="I25" s="1663"/>
    </row>
    <row r="26" spans="1:13" ht="13.5" thickBot="1">
      <c r="A26" s="1604"/>
      <c r="B26" s="342" t="s">
        <v>1740</v>
      </c>
      <c r="C26" s="343">
        <f t="shared" ref="C26:H26" si="0">SUM(C22:C25)</f>
        <v>0</v>
      </c>
      <c r="D26" s="343">
        <f t="shared" si="0"/>
        <v>0</v>
      </c>
      <c r="E26" s="343">
        <f t="shared" si="0"/>
        <v>0</v>
      </c>
      <c r="F26" s="343">
        <f t="shared" si="0"/>
        <v>0</v>
      </c>
      <c r="G26" s="343">
        <f t="shared" si="0"/>
        <v>0</v>
      </c>
      <c r="H26" s="343">
        <f t="shared" si="0"/>
        <v>0</v>
      </c>
      <c r="I26" s="1663"/>
    </row>
    <row r="27" spans="1:13" ht="13.5" thickTop="1">
      <c r="A27" s="1604"/>
      <c r="I27" s="1663"/>
    </row>
    <row r="28" spans="1:13" s="328" customFormat="1" ht="76.5">
      <c r="A28" s="1722"/>
      <c r="B28" s="328" t="s">
        <v>2222</v>
      </c>
      <c r="I28" s="1723"/>
    </row>
    <row r="29" spans="1:13">
      <c r="A29" s="1725"/>
      <c r="B29" s="344"/>
      <c r="C29" s="222"/>
      <c r="D29" s="222"/>
      <c r="E29" s="222"/>
      <c r="F29" s="222"/>
      <c r="G29" s="345"/>
      <c r="H29" s="345"/>
      <c r="I29" s="1726"/>
    </row>
    <row r="30" spans="1:13">
      <c r="A30" s="1727"/>
      <c r="B30" s="346"/>
      <c r="C30" s="279"/>
      <c r="D30" s="279"/>
      <c r="E30" s="279"/>
      <c r="F30" s="279"/>
      <c r="G30" s="347"/>
      <c r="H30" s="347"/>
      <c r="I30" s="1728"/>
    </row>
    <row r="31" spans="1:13">
      <c r="A31" s="1602" t="s">
        <v>388</v>
      </c>
      <c r="B31" s="172" t="s">
        <v>1276</v>
      </c>
      <c r="C31" s="227"/>
      <c r="D31" s="184"/>
      <c r="E31" s="218"/>
      <c r="F31" s="218"/>
      <c r="H31" s="184"/>
      <c r="I31" s="1663"/>
      <c r="J31" s="264"/>
      <c r="K31" s="348"/>
      <c r="L31" s="348"/>
      <c r="M31" s="348"/>
    </row>
    <row r="32" spans="1:13">
      <c r="A32" s="1604"/>
      <c r="B32" s="218"/>
      <c r="C32" s="218"/>
      <c r="D32" s="349"/>
      <c r="E32" s="218"/>
      <c r="F32" s="218"/>
      <c r="H32" s="349"/>
      <c r="I32" s="1663"/>
      <c r="J32" s="264"/>
      <c r="K32" s="348"/>
      <c r="L32" s="348"/>
      <c r="M32" s="348"/>
    </row>
    <row r="33" spans="1:13">
      <c r="A33" s="1729"/>
      <c r="B33" s="1876" t="s">
        <v>1707</v>
      </c>
      <c r="C33" s="1877"/>
      <c r="D33" s="1877"/>
      <c r="E33" s="1877"/>
      <c r="F33" s="1877"/>
      <c r="G33" s="1877"/>
      <c r="H33" s="1878"/>
      <c r="I33" s="1730"/>
      <c r="J33" s="241"/>
      <c r="K33" s="350"/>
      <c r="L33" s="350"/>
      <c r="M33" s="350"/>
    </row>
    <row r="34" spans="1:13">
      <c r="A34" s="1729"/>
      <c r="B34" s="1879" t="s">
        <v>1708</v>
      </c>
      <c r="C34" s="1880"/>
      <c r="D34" s="1880"/>
      <c r="E34" s="1880"/>
      <c r="F34" s="1880"/>
      <c r="G34" s="1880"/>
      <c r="H34" s="1881"/>
      <c r="I34" s="1730"/>
      <c r="J34" s="241"/>
      <c r="K34" s="350"/>
      <c r="L34" s="350"/>
      <c r="M34" s="350"/>
    </row>
    <row r="35" spans="1:13">
      <c r="A35" s="1729"/>
      <c r="B35" s="1879"/>
      <c r="C35" s="1880"/>
      <c r="D35" s="1880"/>
      <c r="E35" s="1880"/>
      <c r="F35" s="1880"/>
      <c r="G35" s="1880"/>
      <c r="H35" s="1881"/>
      <c r="I35" s="1730"/>
      <c r="J35" s="241"/>
      <c r="K35" s="350"/>
      <c r="L35" s="350"/>
      <c r="M35" s="350"/>
    </row>
    <row r="36" spans="1:13">
      <c r="A36" s="1729"/>
      <c r="B36" s="1865"/>
      <c r="C36" s="1866"/>
      <c r="D36" s="1866"/>
      <c r="E36" s="1866"/>
      <c r="F36" s="1866"/>
      <c r="G36" s="1866"/>
      <c r="H36" s="1867"/>
      <c r="I36" s="1730"/>
      <c r="J36" s="241"/>
      <c r="K36" s="350"/>
      <c r="L36" s="350"/>
      <c r="M36" s="350"/>
    </row>
    <row r="37" spans="1:13">
      <c r="A37" s="1729"/>
      <c r="B37" s="1865"/>
      <c r="C37" s="1866"/>
      <c r="D37" s="1866"/>
      <c r="E37" s="1866"/>
      <c r="F37" s="1866"/>
      <c r="G37" s="1866"/>
      <c r="H37" s="1867"/>
      <c r="I37" s="1730"/>
      <c r="J37" s="241"/>
      <c r="K37" s="350"/>
      <c r="L37" s="350"/>
      <c r="M37" s="350"/>
    </row>
    <row r="38" spans="1:13">
      <c r="A38" s="1729"/>
      <c r="B38" s="1871" t="s">
        <v>2451</v>
      </c>
      <c r="C38" s="1872"/>
      <c r="D38" s="1872"/>
      <c r="E38" s="1872"/>
      <c r="F38" s="1872"/>
      <c r="G38" s="1872"/>
      <c r="H38" s="1873"/>
      <c r="I38" s="1730"/>
      <c r="J38" s="241"/>
      <c r="K38" s="350"/>
      <c r="L38" s="350"/>
      <c r="M38" s="350"/>
    </row>
    <row r="39" spans="1:13">
      <c r="A39" s="1729"/>
      <c r="B39" s="1338" t="s">
        <v>2453</v>
      </c>
      <c r="C39" s="1339"/>
      <c r="D39" s="1339"/>
      <c r="E39" s="1339"/>
      <c r="F39" s="1339"/>
      <c r="G39" s="1339"/>
      <c r="H39" s="1340"/>
      <c r="I39" s="1730"/>
      <c r="J39" s="241"/>
      <c r="K39" s="350"/>
      <c r="L39" s="350"/>
      <c r="M39" s="350"/>
    </row>
    <row r="40" spans="1:13" ht="46.5" customHeight="1">
      <c r="A40" s="1729"/>
      <c r="B40" s="1853" t="s">
        <v>3798</v>
      </c>
      <c r="C40" s="1854"/>
      <c r="D40" s="1854"/>
      <c r="E40" s="1854"/>
      <c r="F40" s="1854"/>
      <c r="G40" s="1854"/>
      <c r="H40" s="1870"/>
      <c r="I40" s="1730"/>
      <c r="J40" s="241"/>
      <c r="K40" s="350"/>
      <c r="L40" s="350"/>
      <c r="M40" s="350"/>
    </row>
    <row r="41" spans="1:13">
      <c r="A41" s="1729"/>
      <c r="B41" s="351"/>
      <c r="C41" s="227"/>
      <c r="D41" s="352"/>
      <c r="E41" s="227"/>
      <c r="F41" s="227"/>
      <c r="G41" s="227"/>
      <c r="H41" s="353"/>
      <c r="I41" s="1730"/>
      <c r="J41" s="241"/>
      <c r="K41" s="350"/>
      <c r="L41" s="350"/>
      <c r="M41" s="350"/>
    </row>
    <row r="42" spans="1:13">
      <c r="A42" s="1729"/>
      <c r="B42" s="351"/>
      <c r="C42" s="227"/>
      <c r="D42" s="352"/>
      <c r="E42" s="227"/>
      <c r="F42" s="227"/>
      <c r="G42" s="227"/>
      <c r="H42" s="353"/>
      <c r="I42" s="1730"/>
      <c r="J42" s="241"/>
      <c r="K42" s="350"/>
      <c r="L42" s="350"/>
      <c r="M42" s="350"/>
    </row>
    <row r="43" spans="1:13">
      <c r="A43" s="1729"/>
      <c r="B43" s="351"/>
      <c r="C43" s="227"/>
      <c r="D43" s="352"/>
      <c r="E43" s="227"/>
      <c r="F43" s="227"/>
      <c r="G43" s="227"/>
      <c r="H43" s="353"/>
      <c r="I43" s="1730"/>
      <c r="J43" s="241"/>
      <c r="K43" s="350"/>
      <c r="L43" s="350"/>
      <c r="M43" s="350"/>
    </row>
    <row r="44" spans="1:13">
      <c r="A44" s="1729"/>
      <c r="B44" s="351"/>
      <c r="C44" s="227"/>
      <c r="D44" s="352"/>
      <c r="E44" s="227"/>
      <c r="F44" s="227"/>
      <c r="G44" s="227"/>
      <c r="H44" s="353"/>
      <c r="I44" s="1730"/>
      <c r="J44" s="241"/>
      <c r="K44" s="350"/>
      <c r="L44" s="350"/>
      <c r="M44" s="350"/>
    </row>
    <row r="45" spans="1:13">
      <c r="A45" s="1729"/>
      <c r="B45" s="351"/>
      <c r="C45" s="227"/>
      <c r="D45" s="352"/>
      <c r="E45" s="227"/>
      <c r="F45" s="227"/>
      <c r="G45" s="227"/>
      <c r="H45" s="353"/>
      <c r="I45" s="1730"/>
      <c r="J45" s="241"/>
      <c r="K45" s="350"/>
      <c r="L45" s="350"/>
      <c r="M45" s="350"/>
    </row>
    <row r="46" spans="1:13">
      <c r="A46" s="1729"/>
      <c r="B46" s="354"/>
      <c r="C46" s="227"/>
      <c r="D46" s="352"/>
      <c r="E46" s="355"/>
      <c r="F46" s="355"/>
      <c r="G46" s="227"/>
      <c r="H46" s="353"/>
      <c r="I46" s="1730"/>
      <c r="J46" s="241"/>
      <c r="K46" s="350"/>
      <c r="L46" s="350"/>
      <c r="M46" s="350"/>
    </row>
    <row r="47" spans="1:13">
      <c r="A47" s="1729"/>
      <c r="B47" s="185" t="s">
        <v>2107</v>
      </c>
      <c r="C47" s="227"/>
      <c r="D47" s="352"/>
      <c r="E47" s="174" t="s">
        <v>2452</v>
      </c>
      <c r="F47" s="227"/>
      <c r="G47" s="227"/>
      <c r="H47" s="353"/>
      <c r="I47" s="1730"/>
      <c r="J47" s="241"/>
      <c r="K47" s="350"/>
      <c r="L47" s="350"/>
      <c r="M47" s="350"/>
    </row>
    <row r="48" spans="1:13">
      <c r="A48" s="1729"/>
      <c r="B48" s="1868" t="s">
        <v>2025</v>
      </c>
      <c r="C48" s="1869"/>
      <c r="D48" s="352"/>
      <c r="E48" s="218"/>
      <c r="F48" s="227"/>
      <c r="G48" s="227"/>
      <c r="H48" s="353"/>
      <c r="I48" s="1730"/>
      <c r="J48" s="241"/>
      <c r="K48" s="350"/>
      <c r="L48" s="350"/>
      <c r="M48" s="350"/>
    </row>
    <row r="49" spans="1:13">
      <c r="A49" s="1729"/>
      <c r="B49" s="232"/>
      <c r="C49" s="355"/>
      <c r="D49" s="356"/>
      <c r="E49" s="355"/>
      <c r="F49" s="355"/>
      <c r="G49" s="355"/>
      <c r="H49" s="357"/>
      <c r="I49" s="1730"/>
      <c r="J49" s="241"/>
      <c r="K49" s="350"/>
      <c r="L49" s="350"/>
      <c r="M49" s="350"/>
    </row>
    <row r="50" spans="1:13" ht="13.5" thickBot="1">
      <c r="A50" s="1731"/>
      <c r="B50" s="1608"/>
      <c r="C50" s="1608"/>
      <c r="D50" s="1732"/>
      <c r="E50" s="1608"/>
      <c r="F50" s="1608"/>
      <c r="G50" s="1608"/>
      <c r="H50" s="1732"/>
      <c r="I50" s="1733"/>
      <c r="J50" s="241"/>
      <c r="K50" s="350"/>
      <c r="L50" s="350"/>
      <c r="M50" s="350"/>
    </row>
    <row r="51" spans="1:13" ht="13.5" thickTop="1"/>
    <row r="125" spans="7:7">
      <c r="G125" s="218">
        <v>5253981.1399999997</v>
      </c>
    </row>
  </sheetData>
  <mergeCells count="10">
    <mergeCell ref="A1:I1"/>
    <mergeCell ref="A2:I2"/>
    <mergeCell ref="B33:H33"/>
    <mergeCell ref="B34:H34"/>
    <mergeCell ref="B35:H35"/>
    <mergeCell ref="B36:H36"/>
    <mergeCell ref="B48:C48"/>
    <mergeCell ref="B37:H37"/>
    <mergeCell ref="B40:H40"/>
    <mergeCell ref="B38:H38"/>
  </mergeCells>
  <phoneticPr fontId="0" type="noConversion"/>
  <printOptions horizontalCentered="1"/>
  <pageMargins left="0.6692913385826772" right="0.39370078740157483" top="0.98425196850393704" bottom="0.98425196850393704" header="0.51181102362204722" footer="0.51181102362204722"/>
  <pageSetup scale="85" fitToHeight="2" orientation="portrait" r:id="rId1"/>
  <headerFooter>
    <oddHeader>&amp;C FINANCIAL STATEMENTS: MUSINA LOCAL MUNICIPALITY</oddHeader>
    <oddFooter>&amp;R&amp;P</oddFooter>
  </headerFooter>
  <rowBreaks count="1" manualBreakCount="1">
    <brk id="29" max="8" man="1"/>
  </rowBreaks>
</worksheet>
</file>

<file path=xl/worksheets/sheet2.xml><?xml version="1.0" encoding="utf-8"?>
<worksheet xmlns="http://schemas.openxmlformats.org/spreadsheetml/2006/main" xmlns:r="http://schemas.openxmlformats.org/officeDocument/2006/relationships">
  <sheetPr>
    <pageSetUpPr fitToPage="1"/>
  </sheetPr>
  <dimension ref="A1:Q125"/>
  <sheetViews>
    <sheetView tabSelected="1" view="pageBreakPreview" topLeftCell="A49" zoomScaleSheetLayoutView="100" workbookViewId="0">
      <selection activeCell="B43" sqref="B43"/>
    </sheetView>
  </sheetViews>
  <sheetFormatPr defaultColWidth="85.140625" defaultRowHeight="14.25"/>
  <cols>
    <col min="1" max="1" width="19.5703125" style="405" customWidth="1"/>
    <col min="2" max="2" width="4.28515625" style="405" bestFit="1" customWidth="1"/>
    <col min="3" max="3" width="63.85546875" style="617" customWidth="1"/>
    <col min="4" max="4" width="7.85546875" style="405" customWidth="1"/>
    <col min="5" max="5" width="35.28515625" style="617" customWidth="1"/>
    <col min="6" max="16384" width="85.140625" style="617"/>
  </cols>
  <sheetData>
    <row r="1" spans="1:4" ht="18">
      <c r="A1" s="1782" t="s">
        <v>1593</v>
      </c>
      <c r="B1" s="1782"/>
      <c r="C1" s="1782"/>
      <c r="D1" s="1782"/>
    </row>
    <row r="2" spans="1:4">
      <c r="D2" s="405" t="s">
        <v>13</v>
      </c>
    </row>
    <row r="3" spans="1:4" ht="14.25" customHeight="1">
      <c r="A3" s="1781" t="s">
        <v>12</v>
      </c>
      <c r="B3" s="1781"/>
      <c r="C3" s="1781"/>
      <c r="D3" s="406">
        <v>4</v>
      </c>
    </row>
    <row r="4" spans="1:4" ht="17.100000000000001" customHeight="1">
      <c r="A4" s="1781" t="s">
        <v>703</v>
      </c>
      <c r="B4" s="1781"/>
      <c r="C4" s="1781"/>
      <c r="D4" s="406">
        <v>5</v>
      </c>
    </row>
    <row r="5" spans="1:4" ht="17.100000000000001" customHeight="1">
      <c r="A5" s="1781" t="s">
        <v>1108</v>
      </c>
      <c r="B5" s="1781"/>
      <c r="C5" s="1781"/>
      <c r="D5" s="406">
        <v>6</v>
      </c>
    </row>
    <row r="6" spans="1:4" ht="17.100000000000001" customHeight="1">
      <c r="A6" s="1781" t="s">
        <v>1742</v>
      </c>
      <c r="B6" s="1781"/>
      <c r="C6" s="1781"/>
      <c r="D6" s="406">
        <v>7</v>
      </c>
    </row>
    <row r="7" spans="1:4" ht="17.100000000000001" customHeight="1">
      <c r="A7" s="1781" t="s">
        <v>1592</v>
      </c>
      <c r="B7" s="1781"/>
      <c r="C7" s="1781"/>
      <c r="D7" s="406">
        <v>8</v>
      </c>
    </row>
    <row r="8" spans="1:4" ht="17.100000000000001" customHeight="1">
      <c r="A8" s="616" t="s">
        <v>1591</v>
      </c>
      <c r="B8" s="616"/>
      <c r="C8" s="616"/>
      <c r="D8" s="406"/>
    </row>
    <row r="9" spans="1:4">
      <c r="A9" s="616" t="s">
        <v>1594</v>
      </c>
      <c r="B9" s="406" t="s">
        <v>746</v>
      </c>
      <c r="C9" s="616" t="str">
        <f>'Note 1 Accounting Policy'!_Toc203654196</f>
        <v>ACCOUNTING POLICY</v>
      </c>
      <c r="D9" s="407" t="s">
        <v>3997</v>
      </c>
    </row>
    <row r="10" spans="1:4">
      <c r="A10" s="616" t="s">
        <v>1595</v>
      </c>
      <c r="B10" s="406" t="s">
        <v>746</v>
      </c>
      <c r="C10" s="616" t="str">
        <f>'Notes 2 - 9'!B7</f>
        <v>STATUTORY FUNDS &amp; RESERVES</v>
      </c>
      <c r="D10" s="406">
        <v>21</v>
      </c>
    </row>
    <row r="11" spans="1:4">
      <c r="A11" s="616" t="s">
        <v>1596</v>
      </c>
      <c r="B11" s="406" t="s">
        <v>746</v>
      </c>
      <c r="C11" s="616" t="str">
        <f>'Notes 2 - 9'!B17</f>
        <v>RESERVES</v>
      </c>
      <c r="D11" s="406">
        <v>21</v>
      </c>
    </row>
    <row r="12" spans="1:4">
      <c r="A12" s="616" t="s">
        <v>1597</v>
      </c>
      <c r="B12" s="406" t="s">
        <v>746</v>
      </c>
      <c r="C12" s="616" t="str">
        <f>'Notes 2 - 9'!B44</f>
        <v>ACCUMULATED (SURPLUS)/DEFICIT</v>
      </c>
      <c r="D12" s="406">
        <v>21</v>
      </c>
    </row>
    <row r="13" spans="1:4">
      <c r="A13" s="616" t="s">
        <v>1598</v>
      </c>
      <c r="B13" s="406" t="s">
        <v>746</v>
      </c>
      <c r="C13" s="616" t="str">
        <f>'Notes 2 - 9'!B60</f>
        <v>LONG TERM LIABILITIES</v>
      </c>
      <c r="D13" s="406">
        <v>22</v>
      </c>
    </row>
    <row r="14" spans="1:4">
      <c r="A14" s="616" t="s">
        <v>1599</v>
      </c>
      <c r="B14" s="406" t="s">
        <v>746</v>
      </c>
      <c r="C14" s="616" t="str">
        <f>'Notes 2 - 9'!B97</f>
        <v>CONSUMER DEPOSITS</v>
      </c>
      <c r="D14" s="406">
        <v>23</v>
      </c>
    </row>
    <row r="15" spans="1:4">
      <c r="A15" s="616" t="s">
        <v>1600</v>
      </c>
      <c r="B15" s="406" t="s">
        <v>746</v>
      </c>
      <c r="C15" s="616" t="str">
        <f>'Notes 2 - 9'!B112</f>
        <v>PROVISIONS</v>
      </c>
      <c r="D15" s="406">
        <v>23</v>
      </c>
    </row>
    <row r="16" spans="1:4">
      <c r="A16" s="616" t="s">
        <v>1601</v>
      </c>
      <c r="B16" s="406" t="s">
        <v>746</v>
      </c>
      <c r="C16" s="616" t="str">
        <f>'Notes 2 - 9'!B123</f>
        <v>TRADE AND OTHER PAYABLES</v>
      </c>
      <c r="D16" s="406">
        <v>23</v>
      </c>
    </row>
    <row r="17" spans="1:4">
      <c r="A17" s="616" t="s">
        <v>1602</v>
      </c>
      <c r="B17" s="406" t="s">
        <v>746</v>
      </c>
      <c r="C17" s="616" t="str">
        <f>'Notes 2 - 9'!B152</f>
        <v>UNSPEND CONDITIONAL GRANTS FROM GOVERNMENT</v>
      </c>
      <c r="D17" s="406">
        <v>24</v>
      </c>
    </row>
    <row r="18" spans="1:4" ht="14.25" customHeight="1">
      <c r="A18" s="616" t="s">
        <v>1603</v>
      </c>
      <c r="B18" s="406" t="s">
        <v>746</v>
      </c>
      <c r="C18" s="616" t="str">
        <f>'Note 10'!B4</f>
        <v>PROPERTY, PLANT &amp; EQUIPMENT</v>
      </c>
      <c r="D18" s="406">
        <v>25</v>
      </c>
    </row>
    <row r="19" spans="1:4" ht="14.25" customHeight="1">
      <c r="A19" s="616" t="s">
        <v>3292</v>
      </c>
      <c r="B19" s="406" t="s">
        <v>746</v>
      </c>
      <c r="C19" s="616" t="s">
        <v>447</v>
      </c>
      <c r="D19" s="406">
        <v>26</v>
      </c>
    </row>
    <row r="20" spans="1:4" ht="14.25" customHeight="1">
      <c r="A20" s="616" t="s">
        <v>3312</v>
      </c>
      <c r="B20" s="406" t="s">
        <v>746</v>
      </c>
      <c r="C20" s="616" t="s">
        <v>2226</v>
      </c>
      <c r="D20" s="406">
        <v>27</v>
      </c>
    </row>
    <row r="21" spans="1:4" ht="14.25" customHeight="1">
      <c r="A21" s="616" t="s">
        <v>1604</v>
      </c>
      <c r="B21" s="406" t="s">
        <v>746</v>
      </c>
      <c r="C21" s="616" t="s">
        <v>447</v>
      </c>
      <c r="D21" s="406">
        <v>28</v>
      </c>
    </row>
    <row r="22" spans="1:4" ht="14.25" customHeight="1">
      <c r="A22" s="616" t="s">
        <v>1605</v>
      </c>
      <c r="B22" s="406" t="s">
        <v>746</v>
      </c>
      <c r="C22" s="616" t="str">
        <f>'Note 11-14'!B32</f>
        <v>INVESTMENTS</v>
      </c>
      <c r="D22" s="406">
        <v>28</v>
      </c>
    </row>
    <row r="23" spans="1:4" ht="14.25" customHeight="1">
      <c r="A23" s="616" t="s">
        <v>1606</v>
      </c>
      <c r="B23" s="406" t="s">
        <v>746</v>
      </c>
      <c r="C23" s="616" t="str">
        <f>'Note 11-14'!B58</f>
        <v>NON CURRENT RECEIVABLES</v>
      </c>
      <c r="D23" s="406">
        <v>29</v>
      </c>
    </row>
    <row r="24" spans="1:4" ht="14.25" customHeight="1">
      <c r="A24" s="616" t="s">
        <v>1607</v>
      </c>
      <c r="B24" s="406" t="s">
        <v>746</v>
      </c>
      <c r="C24" s="616" t="str">
        <f>'Note 11-14'!B81</f>
        <v>INVENTORY</v>
      </c>
      <c r="D24" s="406">
        <v>29</v>
      </c>
    </row>
    <row r="25" spans="1:4" ht="14.25" customHeight="1">
      <c r="A25" s="616" t="s">
        <v>1608</v>
      </c>
      <c r="B25" s="406" t="s">
        <v>746</v>
      </c>
      <c r="C25" s="616" t="s">
        <v>2510</v>
      </c>
      <c r="D25" s="514" t="s">
        <v>3998</v>
      </c>
    </row>
    <row r="26" spans="1:4" ht="36" customHeight="1">
      <c r="A26" s="616" t="s">
        <v>3853</v>
      </c>
      <c r="B26" s="406" t="s">
        <v>746</v>
      </c>
      <c r="C26" s="632" t="s">
        <v>3854</v>
      </c>
      <c r="D26" s="514">
        <v>33</v>
      </c>
    </row>
    <row r="27" spans="1:4" ht="36" customHeight="1">
      <c r="A27" s="616" t="s">
        <v>3931</v>
      </c>
      <c r="B27" s="406" t="s">
        <v>746</v>
      </c>
      <c r="C27" s="182" t="s">
        <v>3855</v>
      </c>
      <c r="D27" s="514">
        <v>33</v>
      </c>
    </row>
    <row r="28" spans="1:4" ht="14.25" customHeight="1">
      <c r="A28" s="616" t="s">
        <v>1609</v>
      </c>
      <c r="B28" s="406" t="s">
        <v>746</v>
      </c>
      <c r="C28" s="616" t="str">
        <f>'Note 16, 17'!B8</f>
        <v>OTHER RECEIVABLES</v>
      </c>
      <c r="D28" s="406">
        <v>34</v>
      </c>
    </row>
    <row r="29" spans="1:4" ht="14.25" customHeight="1">
      <c r="A29" s="616" t="s">
        <v>1610</v>
      </c>
      <c r="B29" s="406" t="s">
        <v>746</v>
      </c>
      <c r="C29" s="408" t="str">
        <f>'Note 16, 17'!B28</f>
        <v>BANK &amp; CASH BALANCES</v>
      </c>
      <c r="D29" s="514" t="s">
        <v>3999</v>
      </c>
    </row>
    <row r="30" spans="1:4" ht="14.25" customHeight="1">
      <c r="A30" s="616" t="s">
        <v>1611</v>
      </c>
      <c r="B30" s="406" t="s">
        <v>746</v>
      </c>
      <c r="C30" s="616" t="str">
        <f>'Notes 18 - 35'!B5</f>
        <v>PROPERTY RATES</v>
      </c>
      <c r="D30" s="406">
        <v>36</v>
      </c>
    </row>
    <row r="31" spans="1:4" ht="14.25" customHeight="1">
      <c r="A31" s="616" t="s">
        <v>1612</v>
      </c>
      <c r="B31" s="406" t="s">
        <v>746</v>
      </c>
      <c r="C31" s="616" t="str">
        <f>'Notes 18 - 35'!B40</f>
        <v>SERVICE CHARGES</v>
      </c>
      <c r="D31" s="406">
        <v>36</v>
      </c>
    </row>
    <row r="32" spans="1:4" ht="14.25" customHeight="1">
      <c r="A32" s="616" t="s">
        <v>1613</v>
      </c>
      <c r="B32" s="406" t="s">
        <v>746</v>
      </c>
      <c r="C32" s="616" t="str">
        <f>'Notes 18 - 35'!B49</f>
        <v>GOVERNMENT SUBSIDIES &amp; GRANTS</v>
      </c>
      <c r="D32" s="514" t="s">
        <v>4000</v>
      </c>
    </row>
    <row r="33" spans="1:4" ht="14.25" customHeight="1">
      <c r="A33" s="616" t="s">
        <v>1614</v>
      </c>
      <c r="B33" s="406" t="s">
        <v>746</v>
      </c>
      <c r="C33" s="616" t="str">
        <f>'Notes 18 - 35'!B119</f>
        <v>PUBLIC CONTRIBUTIONS, DONATED &amp; CONTRIBUTED PROPERTY,  PLANT &amp; EQUIPMENT</v>
      </c>
      <c r="D33" s="406">
        <v>38</v>
      </c>
    </row>
    <row r="34" spans="1:4" ht="14.25" customHeight="1">
      <c r="A34" s="616" t="s">
        <v>1615</v>
      </c>
      <c r="B34" s="406" t="s">
        <v>746</v>
      </c>
      <c r="C34" s="616" t="str">
        <f>'Notes 18 - 35'!B127</f>
        <v>EXTERNAL INVESTMENTS</v>
      </c>
      <c r="D34" s="406">
        <v>38</v>
      </c>
    </row>
    <row r="35" spans="1:4" ht="14.25" customHeight="1">
      <c r="A35" s="616" t="s">
        <v>1616</v>
      </c>
      <c r="B35" s="406" t="s">
        <v>746</v>
      </c>
      <c r="C35" s="616" t="str">
        <f>'Notes 18 - 35'!B132</f>
        <v>INTEREST OUTSTANDING DEBTORS</v>
      </c>
      <c r="D35" s="406">
        <v>38</v>
      </c>
    </row>
    <row r="36" spans="1:4" ht="14.25" customHeight="1">
      <c r="A36" s="616" t="s">
        <v>1617</v>
      </c>
      <c r="B36" s="406" t="s">
        <v>746</v>
      </c>
      <c r="C36" s="616" t="str">
        <f>'Notes 18 - 35'!B145</f>
        <v>OTHER REVENUE</v>
      </c>
      <c r="D36" s="406">
        <v>39</v>
      </c>
    </row>
    <row r="37" spans="1:4" ht="14.25" customHeight="1">
      <c r="A37" s="616" t="s">
        <v>1618</v>
      </c>
      <c r="B37" s="406" t="s">
        <v>746</v>
      </c>
      <c r="C37" s="616" t="str">
        <f>'Notes 18 - 35'!B162</f>
        <v>EMPLOYEE RELATED COSTS</v>
      </c>
      <c r="D37" s="406">
        <v>39</v>
      </c>
    </row>
    <row r="38" spans="1:4" ht="14.25" customHeight="1">
      <c r="A38" s="616" t="s">
        <v>1619</v>
      </c>
      <c r="B38" s="406" t="s">
        <v>746</v>
      </c>
      <c r="C38" s="616" t="str">
        <f>'Notes 18 - 35'!B210</f>
        <v>REMUNERATION OF COUNCILLORS</v>
      </c>
      <c r="D38" s="406">
        <v>40</v>
      </c>
    </row>
    <row r="39" spans="1:4" ht="14.25" customHeight="1">
      <c r="A39" s="616" t="s">
        <v>1620</v>
      </c>
      <c r="B39" s="406" t="s">
        <v>746</v>
      </c>
      <c r="C39" s="616" t="str">
        <f>'Notes 18 - 35'!B228</f>
        <v>FINANCE COST</v>
      </c>
      <c r="D39" s="406">
        <v>40</v>
      </c>
    </row>
    <row r="40" spans="1:4" ht="14.25" customHeight="1">
      <c r="A40" s="616" t="s">
        <v>1621</v>
      </c>
      <c r="B40" s="406" t="s">
        <v>746</v>
      </c>
      <c r="C40" s="616" t="str">
        <f>'Notes 18 - 35'!B236</f>
        <v>BULK PURCHASES</v>
      </c>
      <c r="D40" s="406">
        <v>40</v>
      </c>
    </row>
    <row r="41" spans="1:4" ht="14.25" customHeight="1">
      <c r="A41" s="616" t="s">
        <v>1622</v>
      </c>
      <c r="B41" s="406" t="s">
        <v>746</v>
      </c>
      <c r="C41" s="616" t="str">
        <f>'Notes 18 - 35'!B246</f>
        <v>GRANT AND SUBSIDIES PAID</v>
      </c>
      <c r="D41" s="406">
        <v>40</v>
      </c>
    </row>
    <row r="42" spans="1:4" ht="14.25" customHeight="1">
      <c r="A42" s="616" t="s">
        <v>1623</v>
      </c>
      <c r="B42" s="406" t="s">
        <v>746</v>
      </c>
      <c r="C42" s="616" t="str">
        <f>'Notes 18 - 35'!B259</f>
        <v xml:space="preserve">GENERAL EXPENSES </v>
      </c>
      <c r="D42" s="406">
        <v>41</v>
      </c>
    </row>
    <row r="43" spans="1:4" ht="14.25" customHeight="1">
      <c r="A43" s="616" t="s">
        <v>1624</v>
      </c>
      <c r="B43" s="406" t="s">
        <v>746</v>
      </c>
      <c r="C43" s="616" t="str">
        <f>'Notes 18 - 35'!B319</f>
        <v>CORRECTION OF ERROR</v>
      </c>
      <c r="D43" s="406">
        <v>42</v>
      </c>
    </row>
    <row r="44" spans="1:4" ht="14.25" customHeight="1">
      <c r="A44" s="616" t="s">
        <v>1625</v>
      </c>
      <c r="B44" s="406" t="s">
        <v>746</v>
      </c>
      <c r="C44" s="616" t="str">
        <f>'Notes 18 - 35'!B350</f>
        <v>CASH GENERATED FROM/(UTILISED IN) OPERATIONS</v>
      </c>
      <c r="D44" s="406">
        <v>42</v>
      </c>
    </row>
    <row r="45" spans="1:4" ht="14.25" customHeight="1">
      <c r="A45" s="616" t="s">
        <v>1626</v>
      </c>
      <c r="B45" s="406" t="s">
        <v>746</v>
      </c>
      <c r="C45" s="616" t="str">
        <f>'Notes 18 - 35'!B385</f>
        <v>UTILISATION OF LONG TERM LIABILITIES RECONCILIATION</v>
      </c>
      <c r="D45" s="406">
        <v>43</v>
      </c>
    </row>
    <row r="46" spans="1:4" ht="14.25" customHeight="1">
      <c r="A46" s="616" t="s">
        <v>1627</v>
      </c>
      <c r="B46" s="406" t="s">
        <v>746</v>
      </c>
      <c r="C46" s="616" t="str">
        <f>'Notes 18 - 35'!B396</f>
        <v>COMMITMENTS</v>
      </c>
      <c r="D46" s="406">
        <v>43</v>
      </c>
    </row>
    <row r="47" spans="1:4" ht="29.25" customHeight="1">
      <c r="A47" s="616" t="s">
        <v>1628</v>
      </c>
      <c r="B47" s="406" t="s">
        <v>746</v>
      </c>
      <c r="C47" s="616" t="s">
        <v>1080</v>
      </c>
      <c r="D47" s="514" t="s">
        <v>4001</v>
      </c>
    </row>
    <row r="48" spans="1:4" ht="14.25" customHeight="1">
      <c r="A48" s="616" t="s">
        <v>1629</v>
      </c>
      <c r="B48" s="406" t="s">
        <v>746</v>
      </c>
      <c r="C48" s="616" t="str">
        <f>'Note 35 (Continue..) - 36'!B31</f>
        <v>CERTIFICATION AND APPROVAL BY THE ACCOUNTING OFFICER</v>
      </c>
      <c r="D48" s="406">
        <v>46</v>
      </c>
    </row>
    <row r="49" spans="1:4" ht="14.25" customHeight="1">
      <c r="A49" s="616" t="s">
        <v>1630</v>
      </c>
      <c r="B49" s="406" t="s">
        <v>746</v>
      </c>
      <c r="C49" s="1319" t="s">
        <v>4004</v>
      </c>
      <c r="D49" s="406">
        <v>47</v>
      </c>
    </row>
    <row r="50" spans="1:4" ht="14.25" customHeight="1">
      <c r="A50" s="616" t="s">
        <v>1631</v>
      </c>
      <c r="B50" s="406" t="s">
        <v>746</v>
      </c>
      <c r="C50" s="616" t="str">
        <f>'Note 37-38'!C15</f>
        <v>CHANGE IN ACCOUNTING POLICY - IMPLEMENTATION OF GAMAP</v>
      </c>
      <c r="D50" s="514" t="s">
        <v>3932</v>
      </c>
    </row>
    <row r="51" spans="1:4" ht="14.25" customHeight="1">
      <c r="A51" s="616" t="s">
        <v>1632</v>
      </c>
      <c r="B51" s="406" t="s">
        <v>746</v>
      </c>
      <c r="C51" s="616" t="str">
        <f>'Note 39-46'!B5</f>
        <v>CONTINGENT LIABILITIES</v>
      </c>
      <c r="D51" s="406">
        <v>49</v>
      </c>
    </row>
    <row r="52" spans="1:4" ht="14.25" customHeight="1">
      <c r="A52" s="616" t="s">
        <v>1633</v>
      </c>
      <c r="B52" s="406" t="s">
        <v>746</v>
      </c>
      <c r="C52" s="616" t="str">
        <f>'Note 39-46'!B14</f>
        <v>CONTINGENT ASSETS</v>
      </c>
      <c r="D52" s="406">
        <v>49</v>
      </c>
    </row>
    <row r="53" spans="1:4">
      <c r="A53" s="616" t="s">
        <v>14</v>
      </c>
      <c r="B53" s="406" t="s">
        <v>746</v>
      </c>
      <c r="C53" s="616" t="s">
        <v>455</v>
      </c>
      <c r="D53" s="406">
        <v>49</v>
      </c>
    </row>
    <row r="54" spans="1:4">
      <c r="A54" s="616" t="s">
        <v>15</v>
      </c>
      <c r="B54" s="406" t="s">
        <v>746</v>
      </c>
      <c r="C54" s="616" t="s">
        <v>2623</v>
      </c>
      <c r="D54" s="514" t="s">
        <v>4002</v>
      </c>
    </row>
    <row r="55" spans="1:4">
      <c r="A55" s="616" t="s">
        <v>2650</v>
      </c>
      <c r="B55" s="406" t="s">
        <v>746</v>
      </c>
      <c r="C55" s="616" t="s">
        <v>3297</v>
      </c>
      <c r="D55" s="406">
        <v>52</v>
      </c>
    </row>
    <row r="56" spans="1:4">
      <c r="A56" s="616" t="s">
        <v>3293</v>
      </c>
      <c r="B56" s="406" t="s">
        <v>746</v>
      </c>
      <c r="C56" s="616" t="s">
        <v>3298</v>
      </c>
      <c r="D56" s="406">
        <v>52</v>
      </c>
    </row>
    <row r="57" spans="1:4">
      <c r="A57" s="616" t="s">
        <v>3294</v>
      </c>
      <c r="B57" s="406" t="s">
        <v>746</v>
      </c>
      <c r="C57" s="616" t="s">
        <v>1698</v>
      </c>
      <c r="D57" s="406">
        <v>52</v>
      </c>
    </row>
    <row r="58" spans="1:4" s="1280" customFormat="1">
      <c r="A58" s="1277" t="s">
        <v>3971</v>
      </c>
      <c r="B58" s="406" t="s">
        <v>746</v>
      </c>
      <c r="C58" s="1290" t="s">
        <v>3968</v>
      </c>
      <c r="D58" s="406">
        <v>53</v>
      </c>
    </row>
    <row r="59" spans="1:4">
      <c r="A59" s="616" t="s">
        <v>3295</v>
      </c>
      <c r="B59" s="406" t="s">
        <v>746</v>
      </c>
      <c r="C59" s="616" t="s">
        <v>3037</v>
      </c>
      <c r="D59" s="514" t="s">
        <v>4003</v>
      </c>
    </row>
    <row r="60" spans="1:4">
      <c r="A60" s="616" t="s">
        <v>3296</v>
      </c>
      <c r="B60" s="406" t="s">
        <v>746</v>
      </c>
      <c r="C60" s="616" t="s">
        <v>3299</v>
      </c>
      <c r="D60" s="406">
        <v>53</v>
      </c>
    </row>
    <row r="61" spans="1:4">
      <c r="A61" s="409" t="s">
        <v>16</v>
      </c>
      <c r="B61" s="406" t="s">
        <v>746</v>
      </c>
      <c r="C61" s="616" t="s">
        <v>1075</v>
      </c>
      <c r="D61" s="406">
        <v>54</v>
      </c>
    </row>
    <row r="62" spans="1:4">
      <c r="A62" s="409" t="s">
        <v>17</v>
      </c>
      <c r="B62" s="406" t="s">
        <v>746</v>
      </c>
      <c r="C62" s="616" t="s">
        <v>1076</v>
      </c>
      <c r="D62" s="406">
        <v>55</v>
      </c>
    </row>
    <row r="63" spans="1:4">
      <c r="A63" s="409" t="s">
        <v>3307</v>
      </c>
      <c r="B63" s="406" t="s">
        <v>746</v>
      </c>
      <c r="C63" s="616" t="s">
        <v>447</v>
      </c>
      <c r="D63" s="406">
        <v>56</v>
      </c>
    </row>
    <row r="64" spans="1:4">
      <c r="A64" s="409" t="s">
        <v>3308</v>
      </c>
      <c r="B64" s="406" t="s">
        <v>746</v>
      </c>
      <c r="C64" s="616" t="s">
        <v>3311</v>
      </c>
      <c r="D64" s="406">
        <v>57</v>
      </c>
    </row>
    <row r="65" spans="1:17" ht="28.5">
      <c r="A65" s="409" t="s">
        <v>1069</v>
      </c>
      <c r="B65" s="406" t="s">
        <v>746</v>
      </c>
      <c r="C65" s="616" t="s">
        <v>1077</v>
      </c>
      <c r="D65" s="406">
        <v>58</v>
      </c>
    </row>
    <row r="66" spans="1:17">
      <c r="A66" s="409" t="s">
        <v>3309</v>
      </c>
      <c r="B66" s="406" t="s">
        <v>746</v>
      </c>
      <c r="C66" s="616" t="s">
        <v>447</v>
      </c>
      <c r="D66" s="406">
        <v>59</v>
      </c>
    </row>
    <row r="67" spans="1:17">
      <c r="A67" s="409" t="s">
        <v>3310</v>
      </c>
      <c r="B67" s="406" t="s">
        <v>746</v>
      </c>
      <c r="C67" s="616" t="s">
        <v>3311</v>
      </c>
      <c r="D67" s="406">
        <v>60</v>
      </c>
    </row>
    <row r="68" spans="1:17" ht="28.5">
      <c r="A68" s="409" t="s">
        <v>1070</v>
      </c>
      <c r="B68" s="406" t="s">
        <v>746</v>
      </c>
      <c r="C68" s="616" t="s">
        <v>3300</v>
      </c>
      <c r="D68" s="406">
        <v>61</v>
      </c>
      <c r="E68" s="173"/>
      <c r="F68" s="173"/>
      <c r="G68" s="173"/>
      <c r="H68" s="173"/>
      <c r="I68" s="173"/>
      <c r="J68" s="173"/>
      <c r="K68" s="173"/>
      <c r="L68" s="173"/>
      <c r="M68" s="173"/>
      <c r="N68" s="173"/>
      <c r="O68" s="173"/>
      <c r="P68" s="173"/>
      <c r="Q68" s="173"/>
    </row>
    <row r="69" spans="1:17">
      <c r="A69" s="409" t="s">
        <v>1071</v>
      </c>
      <c r="B69" s="406" t="s">
        <v>746</v>
      </c>
      <c r="C69" s="616" t="s">
        <v>1078</v>
      </c>
      <c r="D69" s="406">
        <v>62</v>
      </c>
      <c r="E69" s="633"/>
      <c r="F69" s="633"/>
      <c r="G69" s="633"/>
      <c r="H69" s="633"/>
    </row>
    <row r="70" spans="1:17">
      <c r="A70" s="409" t="s">
        <v>3856</v>
      </c>
      <c r="B70" s="406" t="s">
        <v>746</v>
      </c>
      <c r="C70" s="616" t="s">
        <v>3857</v>
      </c>
      <c r="D70" s="406">
        <v>63</v>
      </c>
      <c r="E70" s="633"/>
      <c r="F70" s="633"/>
      <c r="G70" s="633"/>
      <c r="H70" s="633"/>
    </row>
    <row r="71" spans="1:17">
      <c r="A71" s="409" t="s">
        <v>1072</v>
      </c>
      <c r="B71" s="406" t="s">
        <v>746</v>
      </c>
      <c r="C71" s="616" t="s">
        <v>1648</v>
      </c>
      <c r="D71" s="406">
        <v>64</v>
      </c>
    </row>
    <row r="72" spans="1:17">
      <c r="A72" s="409" t="s">
        <v>1073</v>
      </c>
      <c r="B72" s="406" t="s">
        <v>746</v>
      </c>
      <c r="C72" s="616" t="s">
        <v>3005</v>
      </c>
      <c r="D72" s="406">
        <v>65</v>
      </c>
    </row>
    <row r="73" spans="1:17">
      <c r="A73" s="409" t="s">
        <v>1074</v>
      </c>
      <c r="B73" s="406" t="s">
        <v>746</v>
      </c>
      <c r="C73" s="616" t="s">
        <v>1079</v>
      </c>
      <c r="D73" s="406">
        <v>66</v>
      </c>
    </row>
    <row r="74" spans="1:17" ht="42.75">
      <c r="A74" s="616" t="s">
        <v>3923</v>
      </c>
      <c r="B74" s="406" t="s">
        <v>746</v>
      </c>
      <c r="C74" s="616" t="s">
        <v>3924</v>
      </c>
      <c r="D74" s="406"/>
    </row>
    <row r="125" spans="7:7">
      <c r="G125" s="617">
        <v>5253981.1399999997</v>
      </c>
    </row>
  </sheetData>
  <mergeCells count="6">
    <mergeCell ref="A3:C3"/>
    <mergeCell ref="A1:D1"/>
    <mergeCell ref="A7:C7"/>
    <mergeCell ref="A4:C4"/>
    <mergeCell ref="A5:C5"/>
    <mergeCell ref="A6:C6"/>
  </mergeCells>
  <phoneticPr fontId="15" type="noConversion"/>
  <printOptions horizontalCentered="1"/>
  <pageMargins left="0.59055118110236227" right="0.39370078740157483" top="0.59055118110236227" bottom="0.39370078740157483" header="0" footer="0"/>
  <pageSetup scale="60" orientation="portrait" r:id="rId1"/>
  <headerFooter alignWithMargins="0">
    <oddHeader>&amp;C FINANCIAL STATEMENTS: MUSINA LOCAL MUNICIPALITY</oddHeader>
  </headerFooter>
</worksheet>
</file>

<file path=xl/worksheets/sheet20.xml><?xml version="1.0" encoding="utf-8"?>
<worksheet xmlns="http://schemas.openxmlformats.org/spreadsheetml/2006/main" xmlns:r="http://schemas.openxmlformats.org/officeDocument/2006/relationships">
  <dimension ref="A1:M134"/>
  <sheetViews>
    <sheetView tabSelected="1" view="pageBreakPreview" zoomScaleSheetLayoutView="100" workbookViewId="0">
      <selection activeCell="B43" sqref="B43"/>
    </sheetView>
  </sheetViews>
  <sheetFormatPr defaultRowHeight="12.75"/>
  <cols>
    <col min="1" max="1" width="3.5703125" style="313" bestFit="1" customWidth="1"/>
    <col min="2" max="2" width="5.7109375" style="324" bestFit="1" customWidth="1"/>
    <col min="3" max="3" width="50.85546875" style="325" customWidth="1"/>
    <col min="4" max="4" width="2" style="325" customWidth="1"/>
    <col min="5" max="5" width="11.28515625" style="325" bestFit="1" customWidth="1"/>
    <col min="6" max="6" width="2.140625" style="315" customWidth="1"/>
    <col min="7" max="7" width="11" style="313" bestFit="1" customWidth="1"/>
    <col min="8" max="8" width="3.42578125" style="313" customWidth="1"/>
    <col min="9" max="9" width="16.42578125" style="265" hidden="1" customWidth="1"/>
    <col min="10" max="10" width="2.28515625" style="313" hidden="1" customWidth="1"/>
    <col min="11" max="11" width="15.5703125" style="276" hidden="1" customWidth="1"/>
    <col min="12" max="12" width="0" style="313" hidden="1" customWidth="1"/>
    <col min="13" max="13" width="15" style="313" hidden="1" customWidth="1"/>
    <col min="14" max="16384" width="9.140625" style="313"/>
  </cols>
  <sheetData>
    <row r="1" spans="1:11" ht="15.75" customHeight="1" thickTop="1">
      <c r="A1" s="1882" t="s">
        <v>2486</v>
      </c>
      <c r="B1" s="1883"/>
      <c r="C1" s="1883"/>
      <c r="D1" s="1883"/>
      <c r="E1" s="1883"/>
      <c r="F1" s="1883"/>
      <c r="G1" s="1883"/>
      <c r="H1" s="1883"/>
      <c r="I1" s="1735"/>
      <c r="J1" s="1734"/>
      <c r="K1" s="265"/>
    </row>
    <row r="2" spans="1:11">
      <c r="A2" s="1884" t="s">
        <v>3498</v>
      </c>
      <c r="B2" s="1885"/>
      <c r="C2" s="1885"/>
      <c r="D2" s="1885"/>
      <c r="E2" s="1885"/>
      <c r="F2" s="1885"/>
      <c r="G2" s="1885"/>
      <c r="H2" s="1885"/>
      <c r="I2" s="1737"/>
      <c r="J2" s="1437"/>
      <c r="K2" s="265"/>
    </row>
    <row r="3" spans="1:11">
      <c r="A3" s="1604"/>
      <c r="B3" s="170"/>
      <c r="C3" s="170"/>
      <c r="D3" s="316"/>
      <c r="E3" s="107" t="s">
        <v>3484</v>
      </c>
      <c r="F3" s="316"/>
      <c r="G3" s="107" t="s">
        <v>2651</v>
      </c>
      <c r="H3" s="170"/>
      <c r="I3" s="1738" t="s">
        <v>1634</v>
      </c>
      <c r="J3" s="171"/>
      <c r="K3" s="265"/>
    </row>
    <row r="4" spans="1:11">
      <c r="A4" s="1604"/>
      <c r="B4" s="170"/>
      <c r="C4" s="170"/>
      <c r="D4" s="316"/>
      <c r="E4" s="515" t="s">
        <v>2422</v>
      </c>
      <c r="F4" s="316"/>
      <c r="G4" s="515" t="s">
        <v>2422</v>
      </c>
      <c r="H4" s="170"/>
      <c r="I4" s="1739" t="s">
        <v>2422</v>
      </c>
      <c r="J4" s="171"/>
      <c r="K4" s="265"/>
    </row>
    <row r="5" spans="1:11" ht="15">
      <c r="A5" s="1602" t="s">
        <v>389</v>
      </c>
      <c r="B5" s="1888" t="s">
        <v>2226</v>
      </c>
      <c r="C5" s="1888"/>
      <c r="D5" s="316"/>
      <c r="E5" s="181"/>
      <c r="F5" s="316"/>
      <c r="G5" s="214"/>
      <c r="H5" s="218"/>
      <c r="I5" s="1740"/>
      <c r="J5" s="216"/>
      <c r="K5" s="265"/>
    </row>
    <row r="6" spans="1:11" ht="14.25">
      <c r="A6" s="1604"/>
      <c r="B6" s="1886" t="s">
        <v>2227</v>
      </c>
      <c r="C6" s="1886"/>
      <c r="D6" s="316"/>
      <c r="E6" s="214">
        <f>'Note 10b'!D17</f>
        <v>35706000</v>
      </c>
      <c r="F6" s="316"/>
      <c r="G6" s="214">
        <v>0</v>
      </c>
      <c r="H6" s="218"/>
      <c r="I6" s="1740">
        <v>0</v>
      </c>
      <c r="J6" s="216"/>
      <c r="K6" s="265"/>
    </row>
    <row r="7" spans="1:11" ht="14.25">
      <c r="A7" s="1604"/>
      <c r="B7" s="1886" t="s">
        <v>2228</v>
      </c>
      <c r="C7" s="1886"/>
      <c r="D7" s="316"/>
      <c r="E7" s="214">
        <v>0</v>
      </c>
      <c r="F7" s="316"/>
      <c r="G7" s="214">
        <v>0</v>
      </c>
      <c r="H7" s="218"/>
      <c r="I7" s="1740">
        <v>0</v>
      </c>
      <c r="J7" s="216"/>
      <c r="K7" s="265"/>
    </row>
    <row r="8" spans="1:11" ht="14.25">
      <c r="A8" s="1604"/>
      <c r="B8" s="1886" t="s">
        <v>2229</v>
      </c>
      <c r="C8" s="1886"/>
      <c r="D8" s="316"/>
      <c r="E8" s="214">
        <v>0</v>
      </c>
      <c r="F8" s="316"/>
      <c r="G8" s="214">
        <v>0</v>
      </c>
      <c r="H8" s="218"/>
      <c r="I8" s="1740">
        <v>0</v>
      </c>
      <c r="J8" s="216"/>
      <c r="K8" s="265"/>
    </row>
    <row r="9" spans="1:11" ht="15.75" thickBot="1">
      <c r="A9" s="1604"/>
      <c r="B9" s="1888" t="s">
        <v>1740</v>
      </c>
      <c r="C9" s="1888"/>
      <c r="D9" s="316"/>
      <c r="E9" s="175">
        <f>SUM(E6:E8)</f>
        <v>35706000</v>
      </c>
      <c r="F9" s="316"/>
      <c r="G9" s="175">
        <f>SUM(G6:G8)</f>
        <v>0</v>
      </c>
      <c r="H9" s="218"/>
      <c r="I9" s="1741">
        <f>SUM(I6:I8)</f>
        <v>0</v>
      </c>
      <c r="J9" s="216"/>
      <c r="K9" s="265"/>
    </row>
    <row r="10" spans="1:11" ht="13.5" thickTop="1">
      <c r="A10" s="1604"/>
      <c r="B10" s="218"/>
      <c r="C10" s="218"/>
      <c r="D10" s="218"/>
      <c r="E10" s="218"/>
      <c r="F10" s="214"/>
      <c r="G10" s="218"/>
      <c r="H10" s="218"/>
      <c r="I10" s="1740"/>
      <c r="J10" s="216"/>
      <c r="K10" s="265"/>
    </row>
    <row r="11" spans="1:11" ht="14.25">
      <c r="A11" s="1722"/>
      <c r="B11" s="1886" t="s">
        <v>3952</v>
      </c>
      <c r="C11" s="1886"/>
      <c r="D11" s="1886"/>
      <c r="E11" s="1886"/>
      <c r="F11" s="1886"/>
      <c r="G11" s="1886"/>
      <c r="H11" s="1886"/>
      <c r="I11" s="1887"/>
      <c r="J11" s="337"/>
      <c r="K11" s="265"/>
    </row>
    <row r="12" spans="1:11">
      <c r="A12" s="1736"/>
      <c r="B12" s="1341"/>
      <c r="C12" s="1341"/>
      <c r="D12" s="1341"/>
      <c r="E12" s="1341"/>
      <c r="F12" s="1341"/>
      <c r="G12" s="1341"/>
      <c r="H12" s="1341"/>
      <c r="I12" s="1737"/>
      <c r="J12" s="1437"/>
      <c r="K12" s="265"/>
    </row>
    <row r="13" spans="1:11">
      <c r="A13" s="1742"/>
      <c r="B13" s="314"/>
      <c r="C13" s="315"/>
      <c r="D13" s="315"/>
      <c r="E13" s="315"/>
      <c r="G13" s="316"/>
      <c r="H13" s="316"/>
      <c r="I13" s="1743"/>
      <c r="J13" s="1375"/>
      <c r="K13" s="265"/>
    </row>
    <row r="14" spans="1:11">
      <c r="A14" s="1742"/>
      <c r="B14" s="314"/>
      <c r="C14" s="315"/>
      <c r="D14" s="315"/>
      <c r="E14" s="524" t="s">
        <v>3484</v>
      </c>
      <c r="F14" s="526"/>
      <c r="G14" s="525" t="s">
        <v>2651</v>
      </c>
      <c r="H14" s="109"/>
      <c r="I14" s="1738" t="s">
        <v>1634</v>
      </c>
      <c r="J14" s="1375"/>
      <c r="K14" s="1365" t="s">
        <v>2534</v>
      </c>
    </row>
    <row r="15" spans="1:11" ht="25.5">
      <c r="A15" s="1744" t="s">
        <v>735</v>
      </c>
      <c r="B15" s="110"/>
      <c r="C15" s="111" t="s">
        <v>390</v>
      </c>
      <c r="D15" s="111"/>
      <c r="E15" s="111"/>
      <c r="F15" s="111"/>
      <c r="G15" s="109"/>
      <c r="H15" s="109"/>
      <c r="I15" s="1745"/>
      <c r="J15" s="1375"/>
      <c r="K15" s="265"/>
    </row>
    <row r="16" spans="1:11" ht="51">
      <c r="A16" s="1746"/>
      <c r="B16" s="110"/>
      <c r="C16" s="315" t="s">
        <v>391</v>
      </c>
      <c r="D16" s="315"/>
      <c r="E16" s="315"/>
      <c r="G16" s="109"/>
      <c r="H16" s="109"/>
      <c r="I16" s="1747"/>
      <c r="J16" s="1375"/>
      <c r="K16" s="265"/>
    </row>
    <row r="17" spans="1:13">
      <c r="A17" s="1746"/>
      <c r="B17" s="110"/>
      <c r="C17" s="315"/>
      <c r="D17" s="315"/>
      <c r="E17" s="315"/>
      <c r="G17" s="109"/>
      <c r="H17" s="109"/>
      <c r="I17" s="1747"/>
      <c r="J17" s="1375"/>
      <c r="K17" s="265"/>
    </row>
    <row r="18" spans="1:13">
      <c r="A18" s="1746"/>
      <c r="B18" s="110">
        <v>38.1</v>
      </c>
      <c r="C18" s="111" t="s">
        <v>392</v>
      </c>
      <c r="D18" s="111"/>
      <c r="E18" s="111"/>
      <c r="F18" s="111"/>
      <c r="G18" s="109"/>
      <c r="H18" s="109"/>
      <c r="I18" s="1747"/>
      <c r="J18" s="1375"/>
      <c r="K18" s="265"/>
    </row>
    <row r="19" spans="1:13">
      <c r="A19" s="1746"/>
      <c r="B19" s="110"/>
      <c r="C19" s="111" t="s">
        <v>393</v>
      </c>
      <c r="D19" s="111"/>
      <c r="E19" s="111"/>
      <c r="F19" s="111"/>
      <c r="G19" s="109"/>
      <c r="H19" s="109"/>
      <c r="I19" s="1748"/>
      <c r="J19" s="1375"/>
      <c r="K19" s="265"/>
    </row>
    <row r="20" spans="1:13">
      <c r="A20" s="1746"/>
      <c r="B20" s="110"/>
      <c r="C20" s="317" t="s">
        <v>404</v>
      </c>
      <c r="D20" s="317"/>
      <c r="E20" s="318">
        <v>0</v>
      </c>
      <c r="F20" s="527"/>
      <c r="G20" s="318">
        <v>0</v>
      </c>
      <c r="H20" s="109"/>
      <c r="I20" s="1749">
        <v>0</v>
      </c>
      <c r="J20" s="1375"/>
      <c r="K20" s="1366">
        <v>3871633</v>
      </c>
      <c r="M20" s="265"/>
    </row>
    <row r="21" spans="1:13">
      <c r="A21" s="1746"/>
      <c r="B21" s="110"/>
      <c r="C21" s="317" t="s">
        <v>405</v>
      </c>
      <c r="D21" s="317"/>
      <c r="E21" s="319">
        <v>0</v>
      </c>
      <c r="F21" s="527"/>
      <c r="G21" s="319">
        <v>0</v>
      </c>
      <c r="H21" s="109"/>
      <c r="I21" s="1750">
        <v>0</v>
      </c>
      <c r="J21" s="1375"/>
      <c r="K21" s="1367">
        <v>13387227</v>
      </c>
      <c r="M21" s="265"/>
    </row>
    <row r="22" spans="1:13">
      <c r="A22" s="1746"/>
      <c r="B22" s="110"/>
      <c r="C22" s="317" t="s">
        <v>407</v>
      </c>
      <c r="D22" s="317"/>
      <c r="E22" s="319">
        <v>0</v>
      </c>
      <c r="F22" s="527"/>
      <c r="G22" s="319">
        <v>0</v>
      </c>
      <c r="H22" s="109"/>
      <c r="I22" s="1750">
        <v>0</v>
      </c>
      <c r="J22" s="1375"/>
      <c r="K22" s="1367">
        <v>3000</v>
      </c>
      <c r="M22" s="276"/>
    </row>
    <row r="23" spans="1:13">
      <c r="A23" s="1746"/>
      <c r="B23" s="110"/>
      <c r="C23" s="317" t="s">
        <v>406</v>
      </c>
      <c r="D23" s="317"/>
      <c r="E23" s="319">
        <v>0</v>
      </c>
      <c r="F23" s="527"/>
      <c r="G23" s="319">
        <v>0</v>
      </c>
      <c r="H23" s="109"/>
      <c r="I23" s="1750">
        <v>0</v>
      </c>
      <c r="J23" s="1375"/>
      <c r="K23" s="1368">
        <v>42729684</v>
      </c>
    </row>
    <row r="24" spans="1:13">
      <c r="A24" s="1746"/>
      <c r="B24" s="110"/>
      <c r="C24" s="111" t="s">
        <v>1740</v>
      </c>
      <c r="D24" s="111"/>
      <c r="E24" s="115">
        <f>SUM(E20:E23)</f>
        <v>0</v>
      </c>
      <c r="F24" s="109"/>
      <c r="G24" s="115">
        <f>SUM(G20:G23)</f>
        <v>0</v>
      </c>
      <c r="H24" s="109"/>
      <c r="I24" s="1751">
        <f>SUM(I20:I23)</f>
        <v>0</v>
      </c>
      <c r="J24" s="1375"/>
      <c r="K24" s="1369">
        <f>SUM(K20:K23)</f>
        <v>59991544</v>
      </c>
    </row>
    <row r="25" spans="1:13">
      <c r="A25" s="1746"/>
      <c r="B25" s="110"/>
      <c r="C25" s="111"/>
      <c r="D25" s="111"/>
      <c r="E25" s="112"/>
      <c r="F25" s="109"/>
      <c r="G25" s="112"/>
      <c r="H25" s="109"/>
      <c r="I25" s="1745"/>
      <c r="J25" s="1375"/>
      <c r="K25" s="265"/>
    </row>
    <row r="26" spans="1:13">
      <c r="A26" s="1746"/>
      <c r="B26" s="110"/>
      <c r="C26" s="111" t="s">
        <v>394</v>
      </c>
      <c r="D26" s="111"/>
      <c r="E26" s="114"/>
      <c r="F26" s="109"/>
      <c r="G26" s="114"/>
      <c r="H26" s="109"/>
      <c r="I26" s="1748"/>
      <c r="J26" s="1375"/>
      <c r="K26" s="265"/>
    </row>
    <row r="27" spans="1:13">
      <c r="A27" s="1746"/>
      <c r="B27" s="110"/>
      <c r="C27" s="317" t="s">
        <v>408</v>
      </c>
      <c r="D27" s="317"/>
      <c r="E27" s="318">
        <v>0</v>
      </c>
      <c r="F27" s="527"/>
      <c r="G27" s="318">
        <v>0</v>
      </c>
      <c r="H27" s="109"/>
      <c r="I27" s="1749">
        <v>0</v>
      </c>
      <c r="J27" s="1375"/>
      <c r="K27" s="1366">
        <v>21252</v>
      </c>
    </row>
    <row r="28" spans="1:13">
      <c r="A28" s="1746"/>
      <c r="B28" s="110"/>
      <c r="C28" s="317" t="s">
        <v>409</v>
      </c>
      <c r="D28" s="317"/>
      <c r="E28" s="319">
        <v>0</v>
      </c>
      <c r="F28" s="527"/>
      <c r="G28" s="319">
        <v>0</v>
      </c>
      <c r="H28" s="109"/>
      <c r="I28" s="1750">
        <v>0</v>
      </c>
      <c r="J28" s="1375"/>
      <c r="K28" s="1367"/>
    </row>
    <row r="29" spans="1:13">
      <c r="A29" s="1746"/>
      <c r="B29" s="110"/>
      <c r="C29" s="317" t="s">
        <v>2540</v>
      </c>
      <c r="D29" s="317"/>
      <c r="E29" s="319">
        <v>0</v>
      </c>
      <c r="F29" s="527"/>
      <c r="G29" s="319">
        <v>0</v>
      </c>
      <c r="H29" s="109"/>
      <c r="I29" s="1750">
        <v>0</v>
      </c>
      <c r="J29" s="1375"/>
      <c r="K29" s="1367"/>
    </row>
    <row r="30" spans="1:13">
      <c r="A30" s="1746"/>
      <c r="B30" s="110"/>
      <c r="C30" s="317" t="s">
        <v>1062</v>
      </c>
      <c r="D30" s="317"/>
      <c r="E30" s="319">
        <v>0</v>
      </c>
      <c r="F30" s="527"/>
      <c r="G30" s="319">
        <v>0</v>
      </c>
      <c r="H30" s="109"/>
      <c r="I30" s="1750">
        <v>0</v>
      </c>
      <c r="J30" s="1375"/>
      <c r="K30" s="1367"/>
    </row>
    <row r="31" spans="1:13">
      <c r="A31" s="1746"/>
      <c r="B31" s="110"/>
      <c r="C31" s="317" t="s">
        <v>1063</v>
      </c>
      <c r="D31" s="317"/>
      <c r="E31" s="319">
        <v>0</v>
      </c>
      <c r="F31" s="527"/>
      <c r="G31" s="319">
        <v>0</v>
      </c>
      <c r="H31" s="109"/>
      <c r="I31" s="1750">
        <v>0</v>
      </c>
      <c r="J31" s="1375"/>
      <c r="K31" s="1367"/>
    </row>
    <row r="32" spans="1:13">
      <c r="A32" s="1746"/>
      <c r="B32" s="110"/>
      <c r="C32" s="317" t="s">
        <v>410</v>
      </c>
      <c r="D32" s="317"/>
      <c r="E32" s="219">
        <v>0</v>
      </c>
      <c r="F32" s="527"/>
      <c r="G32" s="219">
        <v>0</v>
      </c>
      <c r="H32" s="109"/>
      <c r="I32" s="1752">
        <v>0</v>
      </c>
      <c r="J32" s="1375"/>
      <c r="K32" s="1367">
        <v>960</v>
      </c>
    </row>
    <row r="33" spans="1:11">
      <c r="A33" s="1746"/>
      <c r="B33" s="110"/>
      <c r="C33" s="317" t="s">
        <v>411</v>
      </c>
      <c r="D33" s="317"/>
      <c r="E33" s="319">
        <v>0</v>
      </c>
      <c r="F33" s="527"/>
      <c r="G33" s="319">
        <v>0</v>
      </c>
      <c r="H33" s="109"/>
      <c r="I33" s="1750">
        <v>0</v>
      </c>
      <c r="J33" s="1375"/>
      <c r="K33" s="1367"/>
    </row>
    <row r="34" spans="1:11">
      <c r="A34" s="1746"/>
      <c r="B34" s="110"/>
      <c r="C34" s="317" t="s">
        <v>2194</v>
      </c>
      <c r="D34" s="317"/>
      <c r="E34" s="219">
        <v>0</v>
      </c>
      <c r="F34" s="527"/>
      <c r="G34" s="219">
        <v>0</v>
      </c>
      <c r="H34" s="109"/>
      <c r="I34" s="1752">
        <v>0</v>
      </c>
      <c r="J34" s="1375"/>
      <c r="K34" s="1368">
        <v>59969331</v>
      </c>
    </row>
    <row r="35" spans="1:11">
      <c r="A35" s="1746"/>
      <c r="B35" s="110"/>
      <c r="C35" s="315"/>
      <c r="D35" s="315"/>
      <c r="E35" s="115">
        <f>SUM(E27:E34)</f>
        <v>0</v>
      </c>
      <c r="F35" s="109"/>
      <c r="G35" s="115">
        <f>SUM(G27:G34)</f>
        <v>0</v>
      </c>
      <c r="H35" s="109"/>
      <c r="I35" s="1751">
        <f>SUM(I27:I34)</f>
        <v>0</v>
      </c>
      <c r="J35" s="1375"/>
      <c r="K35" s="1369">
        <f>SUM(K27:K34)</f>
        <v>59991543</v>
      </c>
    </row>
    <row r="36" spans="1:11">
      <c r="A36" s="1746"/>
      <c r="B36" s="110">
        <v>38.200000000000003</v>
      </c>
      <c r="C36" s="111" t="s">
        <v>395</v>
      </c>
      <c r="D36" s="111"/>
      <c r="E36" s="112"/>
      <c r="F36" s="109"/>
      <c r="G36" s="112"/>
      <c r="H36" s="109"/>
      <c r="I36" s="1745"/>
      <c r="J36" s="1375"/>
      <c r="K36" s="265"/>
    </row>
    <row r="37" spans="1:11">
      <c r="A37" s="1746"/>
      <c r="B37" s="110"/>
      <c r="C37" s="111" t="s">
        <v>393</v>
      </c>
      <c r="D37" s="111"/>
      <c r="E37" s="114"/>
      <c r="F37" s="109"/>
      <c r="G37" s="114"/>
      <c r="H37" s="109"/>
      <c r="I37" s="1748"/>
      <c r="J37" s="1375"/>
      <c r="K37" s="265" t="s">
        <v>45</v>
      </c>
    </row>
    <row r="38" spans="1:11">
      <c r="A38" s="1746"/>
      <c r="B38" s="110"/>
      <c r="C38" s="317" t="s">
        <v>1853</v>
      </c>
      <c r="D38" s="317"/>
      <c r="E38" s="318">
        <v>0</v>
      </c>
      <c r="F38" s="527"/>
      <c r="G38" s="318">
        <v>0</v>
      </c>
      <c r="H38" s="109"/>
      <c r="I38" s="1749">
        <v>0</v>
      </c>
      <c r="J38" s="1375"/>
      <c r="K38" s="1366">
        <v>67937</v>
      </c>
    </row>
    <row r="39" spans="1:11">
      <c r="A39" s="1746"/>
      <c r="B39" s="110"/>
      <c r="C39" s="317" t="s">
        <v>1854</v>
      </c>
      <c r="D39" s="317"/>
      <c r="E39" s="319">
        <v>0</v>
      </c>
      <c r="F39" s="527"/>
      <c r="G39" s="319">
        <v>0</v>
      </c>
      <c r="H39" s="109"/>
      <c r="I39" s="1750">
        <v>0</v>
      </c>
      <c r="J39" s="1375"/>
      <c r="K39" s="1367"/>
    </row>
    <row r="40" spans="1:11">
      <c r="A40" s="1746"/>
      <c r="B40" s="110"/>
      <c r="C40" s="317" t="s">
        <v>1855</v>
      </c>
      <c r="D40" s="317"/>
      <c r="E40" s="319">
        <v>0</v>
      </c>
      <c r="F40" s="527"/>
      <c r="G40" s="319">
        <v>0</v>
      </c>
      <c r="H40" s="109"/>
      <c r="I40" s="1750">
        <v>0</v>
      </c>
      <c r="J40" s="1375"/>
      <c r="K40" s="1367">
        <v>7426</v>
      </c>
    </row>
    <row r="41" spans="1:11">
      <c r="A41" s="1746"/>
      <c r="B41" s="110"/>
      <c r="C41" s="317" t="s">
        <v>2053</v>
      </c>
      <c r="D41" s="317"/>
      <c r="E41" s="319">
        <v>0</v>
      </c>
      <c r="F41" s="527"/>
      <c r="G41" s="319">
        <v>0</v>
      </c>
      <c r="H41" s="109"/>
      <c r="I41" s="1750">
        <v>0</v>
      </c>
      <c r="J41" s="1375"/>
      <c r="K41" s="1367">
        <v>49811</v>
      </c>
    </row>
    <row r="42" spans="1:11">
      <c r="A42" s="1746"/>
      <c r="B42" s="110"/>
      <c r="C42" s="317" t="s">
        <v>1856</v>
      </c>
      <c r="D42" s="317"/>
      <c r="E42" s="319">
        <v>0</v>
      </c>
      <c r="F42" s="527"/>
      <c r="G42" s="319">
        <v>0</v>
      </c>
      <c r="H42" s="109"/>
      <c r="I42" s="1750">
        <v>0</v>
      </c>
      <c r="J42" s="1375"/>
      <c r="K42" s="1368">
        <v>875</v>
      </c>
    </row>
    <row r="43" spans="1:11" ht="13.5" thickBot="1">
      <c r="A43" s="1746"/>
      <c r="B43" s="110"/>
      <c r="C43" s="116" t="s">
        <v>1740</v>
      </c>
      <c r="D43" s="116"/>
      <c r="E43" s="117">
        <f>SUM(E38:E42)</f>
        <v>0</v>
      </c>
      <c r="F43" s="109"/>
      <c r="G43" s="117">
        <f>SUM(G38:G42)</f>
        <v>0</v>
      </c>
      <c r="H43" s="109"/>
      <c r="I43" s="1753">
        <f>SUM(I38:I42)</f>
        <v>0</v>
      </c>
      <c r="J43" s="1375"/>
      <c r="K43" s="1369">
        <f>SUM(K38:K42)</f>
        <v>126049</v>
      </c>
    </row>
    <row r="44" spans="1:11" ht="13.5" thickTop="1">
      <c r="A44" s="1746"/>
      <c r="B44" s="110"/>
      <c r="C44" s="116"/>
      <c r="D44" s="116"/>
      <c r="E44" s="113"/>
      <c r="F44" s="109"/>
      <c r="G44" s="113"/>
      <c r="H44" s="109"/>
      <c r="I44" s="1747"/>
      <c r="J44" s="1375"/>
      <c r="K44" s="265"/>
    </row>
    <row r="45" spans="1:11">
      <c r="A45" s="1746"/>
      <c r="B45" s="110"/>
      <c r="C45" s="111" t="s">
        <v>394</v>
      </c>
      <c r="D45" s="111"/>
      <c r="E45" s="113"/>
      <c r="F45" s="109"/>
      <c r="G45" s="113"/>
      <c r="H45" s="109"/>
      <c r="I45" s="1747"/>
      <c r="J45" s="1375"/>
      <c r="K45" s="265"/>
    </row>
    <row r="46" spans="1:11">
      <c r="A46" s="1746"/>
      <c r="B46" s="110"/>
      <c r="C46" s="320" t="s">
        <v>1857</v>
      </c>
      <c r="D46" s="320"/>
      <c r="E46" s="119">
        <v>0</v>
      </c>
      <c r="F46" s="118"/>
      <c r="G46" s="119">
        <v>0</v>
      </c>
      <c r="H46" s="118"/>
      <c r="I46" s="1754">
        <v>0</v>
      </c>
      <c r="J46" s="1375"/>
      <c r="K46" s="1366">
        <v>31895</v>
      </c>
    </row>
    <row r="47" spans="1:11">
      <c r="A47" s="1746"/>
      <c r="B47" s="110"/>
      <c r="C47" s="321" t="s">
        <v>2194</v>
      </c>
      <c r="D47" s="321"/>
      <c r="E47" s="120">
        <v>0</v>
      </c>
      <c r="F47" s="118"/>
      <c r="G47" s="120">
        <v>0</v>
      </c>
      <c r="H47" s="118"/>
      <c r="I47" s="1755">
        <v>0</v>
      </c>
      <c r="J47" s="1375"/>
      <c r="K47" s="1368">
        <v>126050</v>
      </c>
    </row>
    <row r="48" spans="1:11">
      <c r="A48" s="1746"/>
      <c r="B48" s="110"/>
      <c r="C48" s="315"/>
      <c r="D48" s="315"/>
      <c r="E48" s="279"/>
      <c r="F48" s="316"/>
      <c r="G48" s="279"/>
      <c r="H48" s="109"/>
      <c r="I48" s="1756"/>
      <c r="J48" s="1375"/>
      <c r="K48" s="265"/>
    </row>
    <row r="49" spans="1:11">
      <c r="A49" s="1746"/>
      <c r="B49" s="110">
        <v>38.299999999999997</v>
      </c>
      <c r="C49" s="111" t="s">
        <v>396</v>
      </c>
      <c r="D49" s="111"/>
      <c r="E49" s="113"/>
      <c r="F49" s="109"/>
      <c r="G49" s="113"/>
      <c r="H49" s="109"/>
      <c r="I49" s="1747"/>
      <c r="J49" s="1375"/>
      <c r="K49" s="265"/>
    </row>
    <row r="50" spans="1:11">
      <c r="A50" s="1746"/>
      <c r="B50" s="110"/>
      <c r="C50" s="111" t="s">
        <v>393</v>
      </c>
      <c r="D50" s="111"/>
      <c r="E50" s="113">
        <v>0</v>
      </c>
      <c r="F50" s="109"/>
      <c r="G50" s="113">
        <v>0</v>
      </c>
      <c r="H50" s="109"/>
      <c r="I50" s="1747">
        <v>0</v>
      </c>
      <c r="J50" s="1375"/>
      <c r="K50" s="265">
        <v>53637354</v>
      </c>
    </row>
    <row r="51" spans="1:11">
      <c r="A51" s="1746"/>
      <c r="B51" s="110"/>
      <c r="C51" s="111" t="s">
        <v>394</v>
      </c>
      <c r="D51" s="111"/>
      <c r="E51" s="114"/>
      <c r="F51" s="109"/>
      <c r="G51" s="114"/>
      <c r="H51" s="109"/>
      <c r="I51" s="1748"/>
      <c r="J51" s="1375"/>
      <c r="K51" s="265"/>
    </row>
    <row r="52" spans="1:11" ht="25.5">
      <c r="A52" s="1746"/>
      <c r="B52" s="110"/>
      <c r="C52" s="317" t="s">
        <v>1060</v>
      </c>
      <c r="D52" s="317"/>
      <c r="E52" s="115">
        <v>0</v>
      </c>
      <c r="F52" s="109"/>
      <c r="G52" s="115">
        <v>0</v>
      </c>
      <c r="H52" s="109"/>
      <c r="I52" s="1751">
        <v>0</v>
      </c>
      <c r="J52" s="1375"/>
      <c r="K52" s="1370">
        <v>-3585708</v>
      </c>
    </row>
    <row r="53" spans="1:11">
      <c r="A53" s="1746"/>
      <c r="B53" s="110"/>
      <c r="C53" s="317" t="s">
        <v>2195</v>
      </c>
      <c r="D53" s="317"/>
      <c r="E53" s="112"/>
      <c r="F53" s="109"/>
      <c r="G53" s="112"/>
      <c r="H53" s="109"/>
      <c r="I53" s="1745"/>
      <c r="J53" s="1375"/>
      <c r="K53" s="265" t="s">
        <v>45</v>
      </c>
    </row>
    <row r="54" spans="1:11">
      <c r="A54" s="1746"/>
      <c r="B54" s="110"/>
      <c r="C54" s="315"/>
      <c r="D54" s="315"/>
      <c r="E54" s="113"/>
      <c r="F54" s="109"/>
      <c r="G54" s="113"/>
      <c r="H54" s="109"/>
      <c r="I54" s="1747"/>
      <c r="J54" s="1375"/>
      <c r="K54" s="265" t="s">
        <v>45</v>
      </c>
    </row>
    <row r="55" spans="1:11">
      <c r="A55" s="1746"/>
      <c r="B55" s="110">
        <v>38.4</v>
      </c>
      <c r="C55" s="111" t="s">
        <v>397</v>
      </c>
      <c r="D55" s="111"/>
      <c r="E55" s="113"/>
      <c r="F55" s="109"/>
      <c r="G55" s="113"/>
      <c r="H55" s="109"/>
      <c r="I55" s="1747"/>
      <c r="J55" s="1375"/>
      <c r="K55" s="265"/>
    </row>
    <row r="56" spans="1:11">
      <c r="A56" s="1746"/>
      <c r="B56" s="110"/>
      <c r="C56" s="111" t="s">
        <v>393</v>
      </c>
      <c r="D56" s="111"/>
      <c r="E56" s="113"/>
      <c r="F56" s="109"/>
      <c r="G56" s="113"/>
      <c r="H56" s="109"/>
      <c r="I56" s="1747"/>
      <c r="J56" s="1375"/>
      <c r="K56" s="265"/>
    </row>
    <row r="57" spans="1:11">
      <c r="A57" s="1746"/>
      <c r="B57" s="110"/>
      <c r="C57" s="111" t="s">
        <v>394</v>
      </c>
      <c r="D57" s="111"/>
      <c r="E57" s="114"/>
      <c r="F57" s="109"/>
      <c r="G57" s="114"/>
      <c r="H57" s="109"/>
      <c r="I57" s="1748"/>
      <c r="J57" s="1375"/>
      <c r="K57" s="265"/>
    </row>
    <row r="58" spans="1:11">
      <c r="A58" s="1746"/>
      <c r="B58" s="110"/>
      <c r="C58" s="317" t="s">
        <v>412</v>
      </c>
      <c r="D58" s="317"/>
      <c r="E58" s="318">
        <v>0</v>
      </c>
      <c r="F58" s="527"/>
      <c r="G58" s="318">
        <v>0</v>
      </c>
      <c r="H58" s="109"/>
      <c r="I58" s="1749">
        <v>0</v>
      </c>
      <c r="J58" s="1375"/>
      <c r="K58" s="1366"/>
    </row>
    <row r="59" spans="1:11">
      <c r="A59" s="1746"/>
      <c r="B59" s="110"/>
      <c r="C59" s="317" t="s">
        <v>413</v>
      </c>
      <c r="D59" s="317"/>
      <c r="E59" s="319">
        <v>0</v>
      </c>
      <c r="F59" s="527"/>
      <c r="G59" s="319">
        <v>0</v>
      </c>
      <c r="H59" s="109"/>
      <c r="I59" s="1750">
        <v>0</v>
      </c>
      <c r="J59" s="1375"/>
      <c r="K59" s="1367">
        <v>-7028084</v>
      </c>
    </row>
    <row r="60" spans="1:11">
      <c r="A60" s="1746"/>
      <c r="B60" s="110"/>
      <c r="C60" s="317" t="s">
        <v>414</v>
      </c>
      <c r="D60" s="317"/>
      <c r="E60" s="319">
        <v>0</v>
      </c>
      <c r="F60" s="527"/>
      <c r="G60" s="319">
        <v>0</v>
      </c>
      <c r="H60" s="109"/>
      <c r="I60" s="1750">
        <v>0</v>
      </c>
      <c r="J60" s="1375"/>
      <c r="K60" s="1367">
        <v>-5200229</v>
      </c>
    </row>
    <row r="61" spans="1:11">
      <c r="A61" s="1746"/>
      <c r="B61" s="110"/>
      <c r="C61" s="317" t="s">
        <v>415</v>
      </c>
      <c r="D61" s="317"/>
      <c r="E61" s="319">
        <v>0</v>
      </c>
      <c r="F61" s="527"/>
      <c r="G61" s="319">
        <v>0</v>
      </c>
      <c r="H61" s="109"/>
      <c r="I61" s="1750">
        <v>0</v>
      </c>
      <c r="J61" s="1375"/>
      <c r="K61" s="1368">
        <v>-3505009</v>
      </c>
    </row>
    <row r="62" spans="1:11">
      <c r="A62" s="1746"/>
      <c r="B62" s="110"/>
      <c r="C62" s="317" t="s">
        <v>2195</v>
      </c>
      <c r="D62" s="317"/>
      <c r="E62" s="115">
        <f>SUM(E58:E61)</f>
        <v>0</v>
      </c>
      <c r="F62" s="109"/>
      <c r="G62" s="115">
        <f>SUM(G58:G61)</f>
        <v>0</v>
      </c>
      <c r="H62" s="109"/>
      <c r="I62" s="1751">
        <f>SUM(I58:I61)</f>
        <v>0</v>
      </c>
      <c r="J62" s="1375"/>
      <c r="K62" s="1369">
        <f>SUM(K59:K61)</f>
        <v>-15733322</v>
      </c>
    </row>
    <row r="63" spans="1:11">
      <c r="A63" s="1757"/>
      <c r="B63" s="121"/>
      <c r="C63" s="322"/>
      <c r="D63" s="322"/>
      <c r="E63" s="123"/>
      <c r="F63" s="109"/>
      <c r="G63" s="123"/>
      <c r="H63" s="122"/>
      <c r="I63" s="1758"/>
      <c r="J63" s="1376"/>
      <c r="K63" s="265"/>
    </row>
    <row r="64" spans="1:11">
      <c r="A64" s="1759"/>
      <c r="B64" s="124">
        <v>38.5</v>
      </c>
      <c r="C64" s="125" t="s">
        <v>398</v>
      </c>
      <c r="D64" s="125"/>
      <c r="E64" s="112"/>
      <c r="F64" s="109"/>
      <c r="G64" s="112"/>
      <c r="H64" s="126"/>
      <c r="I64" s="1745"/>
      <c r="J64" s="1377"/>
      <c r="K64" s="265"/>
    </row>
    <row r="65" spans="1:13">
      <c r="A65" s="1746"/>
      <c r="B65" s="110"/>
      <c r="C65" s="111" t="s">
        <v>393</v>
      </c>
      <c r="D65" s="111"/>
      <c r="E65" s="113">
        <f>+E67</f>
        <v>0</v>
      </c>
      <c r="F65" s="109"/>
      <c r="G65" s="113">
        <f>+G67</f>
        <v>0</v>
      </c>
      <c r="H65" s="109"/>
      <c r="I65" s="1747">
        <f>+I67</f>
        <v>0</v>
      </c>
      <c r="J65" s="1375"/>
      <c r="K65" s="108">
        <f>+K67</f>
        <v>1562226</v>
      </c>
    </row>
    <row r="66" spans="1:13">
      <c r="A66" s="1746"/>
      <c r="B66" s="110"/>
      <c r="C66" s="111" t="s">
        <v>394</v>
      </c>
      <c r="D66" s="111"/>
      <c r="E66" s="113"/>
      <c r="F66" s="109"/>
      <c r="G66" s="113"/>
      <c r="H66" s="109"/>
      <c r="I66" s="1747"/>
      <c r="J66" s="1375"/>
      <c r="K66" s="265"/>
    </row>
    <row r="67" spans="1:13">
      <c r="A67" s="1746"/>
      <c r="B67" s="110"/>
      <c r="C67" s="317" t="s">
        <v>416</v>
      </c>
      <c r="D67" s="317"/>
      <c r="E67" s="119">
        <v>0</v>
      </c>
      <c r="F67" s="109"/>
      <c r="G67" s="119">
        <v>0</v>
      </c>
      <c r="H67" s="109"/>
      <c r="I67" s="1754">
        <v>0</v>
      </c>
      <c r="J67" s="1375"/>
      <c r="K67" s="1366">
        <v>1562226</v>
      </c>
    </row>
    <row r="68" spans="1:13">
      <c r="A68" s="1746"/>
      <c r="B68" s="110"/>
      <c r="C68" s="317" t="s">
        <v>45</v>
      </c>
      <c r="D68" s="317"/>
      <c r="E68" s="120"/>
      <c r="F68" s="109"/>
      <c r="G68" s="120"/>
      <c r="H68" s="109"/>
      <c r="I68" s="1755"/>
      <c r="J68" s="1375"/>
      <c r="K68" s="1368"/>
    </row>
    <row r="69" spans="1:13">
      <c r="A69" s="1746"/>
      <c r="B69" s="110"/>
      <c r="C69" s="315"/>
      <c r="D69" s="315"/>
      <c r="E69" s="113"/>
      <c r="F69" s="109"/>
      <c r="G69" s="113"/>
      <c r="H69" s="109"/>
      <c r="I69" s="1747"/>
      <c r="J69" s="1375"/>
      <c r="K69" s="265"/>
    </row>
    <row r="70" spans="1:13">
      <c r="A70" s="1746"/>
      <c r="B70" s="110">
        <v>38.6</v>
      </c>
      <c r="C70" s="111" t="s">
        <v>399</v>
      </c>
      <c r="D70" s="111"/>
      <c r="E70" s="113"/>
      <c r="F70" s="109"/>
      <c r="G70" s="113"/>
      <c r="H70" s="109"/>
      <c r="I70" s="1747"/>
      <c r="J70" s="1375"/>
      <c r="K70" s="265"/>
    </row>
    <row r="71" spans="1:13">
      <c r="A71" s="1746"/>
      <c r="B71" s="110"/>
      <c r="C71" s="111" t="s">
        <v>394</v>
      </c>
      <c r="D71" s="111"/>
      <c r="E71" s="113"/>
      <c r="F71" s="109"/>
      <c r="G71" s="113"/>
      <c r="H71" s="109"/>
      <c r="I71" s="1747"/>
      <c r="J71" s="1375"/>
      <c r="K71" s="265"/>
    </row>
    <row r="72" spans="1:13">
      <c r="A72" s="1746"/>
      <c r="B72" s="110"/>
      <c r="C72" s="317" t="s">
        <v>2196</v>
      </c>
      <c r="D72" s="317"/>
      <c r="E72" s="318">
        <v>0</v>
      </c>
      <c r="F72" s="527"/>
      <c r="G72" s="318">
        <v>0</v>
      </c>
      <c r="H72" s="109"/>
      <c r="I72" s="1749">
        <v>0</v>
      </c>
      <c r="J72" s="1375"/>
      <c r="K72" s="1366">
        <v>60171720</v>
      </c>
    </row>
    <row r="73" spans="1:13" ht="25.5">
      <c r="A73" s="1746"/>
      <c r="B73" s="110"/>
      <c r="C73" s="317" t="s">
        <v>1067</v>
      </c>
      <c r="D73" s="317"/>
      <c r="E73" s="319">
        <v>0</v>
      </c>
      <c r="F73" s="527"/>
      <c r="G73" s="319">
        <v>0</v>
      </c>
      <c r="H73" s="109"/>
      <c r="I73" s="1750">
        <v>0</v>
      </c>
      <c r="J73" s="1375"/>
      <c r="K73" s="1367">
        <v>126049</v>
      </c>
    </row>
    <row r="74" spans="1:13">
      <c r="A74" s="1746"/>
      <c r="B74" s="110"/>
      <c r="C74" s="317" t="s">
        <v>2197</v>
      </c>
      <c r="D74" s="317"/>
      <c r="E74" s="319">
        <v>0</v>
      </c>
      <c r="F74" s="527"/>
      <c r="G74" s="319">
        <v>0</v>
      </c>
      <c r="H74" s="109"/>
      <c r="I74" s="1750">
        <v>0</v>
      </c>
      <c r="J74" s="1375"/>
      <c r="K74" s="1367">
        <v>3585708</v>
      </c>
    </row>
    <row r="75" spans="1:13">
      <c r="A75" s="1746"/>
      <c r="B75" s="110"/>
      <c r="C75" s="317" t="s">
        <v>2198</v>
      </c>
      <c r="D75" s="317"/>
      <c r="E75" s="319">
        <v>0</v>
      </c>
      <c r="F75" s="527"/>
      <c r="G75" s="319">
        <v>0</v>
      </c>
      <c r="H75" s="109"/>
      <c r="I75" s="1750">
        <v>0</v>
      </c>
      <c r="J75" s="1375"/>
      <c r="K75" s="1367">
        <v>-15733322</v>
      </c>
      <c r="M75" s="323"/>
    </row>
    <row r="76" spans="1:13">
      <c r="A76" s="1746"/>
      <c r="B76" s="110"/>
      <c r="C76" s="317" t="s">
        <v>2199</v>
      </c>
      <c r="D76" s="317"/>
      <c r="E76" s="319">
        <v>0</v>
      </c>
      <c r="F76" s="527"/>
      <c r="G76" s="319">
        <v>0</v>
      </c>
      <c r="H76" s="109"/>
      <c r="I76" s="1750">
        <v>0</v>
      </c>
      <c r="J76" s="1375"/>
      <c r="K76" s="1367">
        <v>0</v>
      </c>
    </row>
    <row r="77" spans="1:13">
      <c r="A77" s="1746"/>
      <c r="B77" s="110"/>
      <c r="C77" s="317" t="s">
        <v>417</v>
      </c>
      <c r="D77" s="317"/>
      <c r="E77" s="319">
        <v>0</v>
      </c>
      <c r="F77" s="527"/>
      <c r="G77" s="319">
        <v>0</v>
      </c>
      <c r="H77" s="109"/>
      <c r="I77" s="1750">
        <v>0</v>
      </c>
      <c r="J77" s="1375"/>
      <c r="K77" s="1367">
        <v>0</v>
      </c>
    </row>
    <row r="78" spans="1:13">
      <c r="A78" s="1746"/>
      <c r="B78" s="110"/>
      <c r="C78" s="317" t="s">
        <v>400</v>
      </c>
      <c r="D78" s="317"/>
      <c r="E78" s="319">
        <v>0</v>
      </c>
      <c r="F78" s="527"/>
      <c r="G78" s="319">
        <v>0</v>
      </c>
      <c r="H78" s="109"/>
      <c r="I78" s="1750">
        <v>0</v>
      </c>
      <c r="J78" s="1375"/>
      <c r="K78" s="1367">
        <v>0</v>
      </c>
    </row>
    <row r="79" spans="1:13">
      <c r="A79" s="1746"/>
      <c r="B79" s="110"/>
      <c r="C79" s="317" t="s">
        <v>401</v>
      </c>
      <c r="D79" s="317"/>
      <c r="E79" s="319">
        <v>0</v>
      </c>
      <c r="F79" s="527"/>
      <c r="G79" s="319">
        <v>0</v>
      </c>
      <c r="H79" s="109"/>
      <c r="I79" s="1750">
        <v>0</v>
      </c>
      <c r="J79" s="1375"/>
      <c r="K79" s="1368"/>
    </row>
    <row r="80" spans="1:13">
      <c r="A80" s="1746"/>
      <c r="B80" s="110"/>
      <c r="C80" s="315"/>
      <c r="D80" s="315"/>
      <c r="E80" s="115">
        <f>SUM(E67:E79)</f>
        <v>0</v>
      </c>
      <c r="F80" s="109"/>
      <c r="G80" s="115">
        <f>SUM(G67:G79)</f>
        <v>0</v>
      </c>
      <c r="H80" s="109"/>
      <c r="I80" s="1751">
        <f>SUM(I67:I79)</f>
        <v>0</v>
      </c>
      <c r="J80" s="1375"/>
      <c r="K80" s="1369">
        <f>SUM(K67:K78)</f>
        <v>49712381</v>
      </c>
    </row>
    <row r="81" spans="1:12" ht="13.5" thickBot="1">
      <c r="A81" s="1760"/>
      <c r="B81" s="1761"/>
      <c r="C81" s="1762"/>
      <c r="D81" s="1762"/>
      <c r="E81" s="1762"/>
      <c r="F81" s="1762"/>
      <c r="G81" s="1763"/>
      <c r="H81" s="1763"/>
      <c r="I81" s="1764">
        <v>0</v>
      </c>
      <c r="J81" s="1376"/>
      <c r="K81" s="265">
        <v>60117592</v>
      </c>
      <c r="L81" s="313" t="s">
        <v>2674</v>
      </c>
    </row>
    <row r="82" spans="1:12" ht="13.5" thickTop="1">
      <c r="A82" s="1378"/>
      <c r="B82" s="1379"/>
      <c r="C82" s="322"/>
      <c r="D82" s="322"/>
      <c r="E82" s="322"/>
      <c r="F82" s="322"/>
      <c r="G82" s="1380"/>
      <c r="H82" s="1380"/>
      <c r="I82" s="222"/>
      <c r="J82" s="1376"/>
      <c r="K82" s="265"/>
    </row>
    <row r="84" spans="1:12">
      <c r="I84" s="265" t="s">
        <v>45</v>
      </c>
    </row>
    <row r="85" spans="1:12">
      <c r="I85" s="265" t="s">
        <v>45</v>
      </c>
    </row>
    <row r="87" spans="1:12">
      <c r="I87" s="265" t="s">
        <v>45</v>
      </c>
    </row>
    <row r="90" spans="1:12">
      <c r="I90" s="265" t="s">
        <v>45</v>
      </c>
    </row>
    <row r="134" spans="7:7">
      <c r="G134" s="313">
        <v>5253981.1399999997</v>
      </c>
    </row>
  </sheetData>
  <mergeCells count="8">
    <mergeCell ref="A1:H1"/>
    <mergeCell ref="A2:H2"/>
    <mergeCell ref="B11:I11"/>
    <mergeCell ref="B5:C5"/>
    <mergeCell ref="B6:C6"/>
    <mergeCell ref="B7:C7"/>
    <mergeCell ref="B8:C8"/>
    <mergeCell ref="B9:C9"/>
  </mergeCells>
  <phoneticPr fontId="16" type="noConversion"/>
  <printOptions horizontalCentered="1"/>
  <pageMargins left="0.6692913385826772" right="0.39370078740157483" top="0.98425196850393704" bottom="0.98425196850393704" header="0.51181102362204722" footer="0.51181102362204722"/>
  <pageSetup scale="83" orientation="portrait" r:id="rId1"/>
  <headerFooter alignWithMargins="0">
    <oddHeader>&amp;C FINANCIAL STATEMENTS: MUSINA LOCAL MUNICIPALITY</oddHeader>
    <oddFooter>&amp;RPage &amp;P</oddFooter>
  </headerFooter>
  <rowBreaks count="2" manualBreakCount="2">
    <brk id="35" max="16383" man="1"/>
    <brk id="81" max="9" man="1"/>
  </rowBreaks>
  <legacyDrawing r:id="rId2"/>
</worksheet>
</file>

<file path=xl/worksheets/sheet21.xml><?xml version="1.0" encoding="utf-8"?>
<worksheet xmlns="http://schemas.openxmlformats.org/spreadsheetml/2006/main" xmlns:r="http://schemas.openxmlformats.org/officeDocument/2006/relationships">
  <dimension ref="A1:P387"/>
  <sheetViews>
    <sheetView tabSelected="1" view="pageBreakPreview" topLeftCell="A43" zoomScale="90" zoomScaleSheetLayoutView="90" workbookViewId="0">
      <selection activeCell="B43" sqref="B43"/>
    </sheetView>
  </sheetViews>
  <sheetFormatPr defaultRowHeight="15"/>
  <cols>
    <col min="1" max="1" width="9.140625" style="1244" customWidth="1"/>
    <col min="2" max="2" width="50.7109375" style="1281" customWidth="1"/>
    <col min="3" max="3" width="2.28515625" style="1281" customWidth="1"/>
    <col min="4" max="4" width="17.85546875" style="1229" customWidth="1"/>
    <col min="5" max="5" width="2.28515625" style="1281" customWidth="1"/>
    <col min="6" max="6" width="8.42578125" style="1281" bestFit="1" customWidth="1"/>
    <col min="7" max="7" width="17.5703125" style="990" customWidth="1"/>
    <col min="8" max="8" width="2.28515625" style="990" customWidth="1"/>
    <col min="9" max="9" width="9.5703125" style="990" bestFit="1" customWidth="1"/>
    <col min="10" max="10" width="2.28515625" style="990" customWidth="1"/>
    <col min="11" max="11" width="13.42578125" style="1019" hidden="1" customWidth="1"/>
    <col min="12" max="12" width="2.28515625" style="990" customWidth="1"/>
    <col min="13" max="13" width="22.42578125" style="990" customWidth="1"/>
    <col min="14" max="14" width="15" style="1229" bestFit="1" customWidth="1"/>
    <col min="15" max="15" width="9.140625" style="1229" customWidth="1"/>
    <col min="16" max="16" width="14.5703125" style="1229" bestFit="1" customWidth="1"/>
    <col min="17" max="16384" width="9.140625" style="1281"/>
  </cols>
  <sheetData>
    <row r="1" spans="1:16" ht="15.75" thickTop="1">
      <c r="A1" s="1893" t="s">
        <v>2486</v>
      </c>
      <c r="B1" s="1894"/>
      <c r="C1" s="1894"/>
      <c r="D1" s="1894"/>
      <c r="E1" s="1894"/>
      <c r="F1" s="1894"/>
      <c r="G1" s="1894"/>
      <c r="H1" s="1894"/>
      <c r="I1" s="1894"/>
      <c r="J1" s="1894"/>
      <c r="K1" s="1894"/>
      <c r="L1" s="1895"/>
    </row>
    <row r="2" spans="1:16">
      <c r="A2" s="1896" t="s">
        <v>3498</v>
      </c>
      <c r="B2" s="1897"/>
      <c r="C2" s="1897"/>
      <c r="D2" s="1897"/>
      <c r="E2" s="1897"/>
      <c r="F2" s="1897"/>
      <c r="G2" s="1897"/>
      <c r="H2" s="1897"/>
      <c r="I2" s="1897"/>
      <c r="J2" s="1897"/>
      <c r="K2" s="1897"/>
      <c r="L2" s="1898"/>
    </row>
    <row r="3" spans="1:16">
      <c r="A3" s="1765"/>
      <c r="B3" s="990"/>
      <c r="C3" s="990"/>
      <c r="D3" s="1019"/>
      <c r="E3" s="990"/>
      <c r="F3" s="990"/>
      <c r="L3" s="1766"/>
    </row>
    <row r="4" spans="1:16">
      <c r="A4" s="1765"/>
      <c r="B4" s="990"/>
      <c r="C4" s="990"/>
      <c r="D4" s="1019"/>
      <c r="E4" s="990"/>
      <c r="F4" s="990"/>
      <c r="L4" s="1766"/>
    </row>
    <row r="5" spans="1:16" ht="15.75">
      <c r="A5" s="1767" t="s">
        <v>402</v>
      </c>
      <c r="B5" s="740" t="s">
        <v>2472</v>
      </c>
      <c r="C5" s="990"/>
      <c r="D5" s="1230" t="s">
        <v>3484</v>
      </c>
      <c r="E5" s="990"/>
      <c r="F5" s="990"/>
      <c r="G5" s="1230" t="s">
        <v>2651</v>
      </c>
      <c r="H5" s="1381"/>
      <c r="I5" s="1230"/>
      <c r="J5" s="1383"/>
      <c r="K5" s="1382" t="s">
        <v>1634</v>
      </c>
      <c r="L5" s="1766"/>
    </row>
    <row r="6" spans="1:16" ht="28.5">
      <c r="A6" s="1768"/>
      <c r="B6" s="1231" t="s">
        <v>418</v>
      </c>
      <c r="C6" s="1232"/>
      <c r="D6" s="1233"/>
      <c r="E6" s="990"/>
      <c r="F6" s="990"/>
      <c r="L6" s="1766"/>
    </row>
    <row r="7" spans="1:16">
      <c r="A7" s="1765"/>
      <c r="B7" s="1023"/>
      <c r="C7" s="1023"/>
      <c r="D7" s="1234"/>
      <c r="E7" s="990"/>
      <c r="F7" s="990"/>
      <c r="L7" s="1766"/>
    </row>
    <row r="8" spans="1:16">
      <c r="A8" s="1765"/>
      <c r="B8" s="1344" t="s">
        <v>3362</v>
      </c>
      <c r="C8" s="1023"/>
      <c r="D8" s="1024"/>
      <c r="E8" s="990"/>
      <c r="F8" s="990"/>
      <c r="K8" s="1019">
        <v>812439</v>
      </c>
      <c r="L8" s="1766"/>
    </row>
    <row r="9" spans="1:16">
      <c r="A9" s="1765"/>
      <c r="B9" s="1345" t="s">
        <v>3363</v>
      </c>
      <c r="C9" s="990"/>
      <c r="D9" s="1019"/>
      <c r="E9" s="990"/>
      <c r="F9" s="990"/>
      <c r="K9" s="1019">
        <v>5137758</v>
      </c>
      <c r="L9" s="1766"/>
    </row>
    <row r="10" spans="1:16">
      <c r="A10" s="1765"/>
      <c r="B10" s="1345"/>
      <c r="C10" s="990"/>
      <c r="D10" s="1019"/>
      <c r="E10" s="990"/>
      <c r="F10" s="990"/>
      <c r="L10" s="1766"/>
      <c r="M10" s="990" t="s">
        <v>45</v>
      </c>
    </row>
    <row r="11" spans="1:16" ht="15.75" thickBot="1">
      <c r="A11" s="1765"/>
      <c r="B11" s="740" t="s">
        <v>1740</v>
      </c>
      <c r="C11" s="990"/>
      <c r="D11" s="1235"/>
      <c r="E11" s="990"/>
      <c r="F11" s="990"/>
      <c r="G11" s="1236"/>
      <c r="K11" s="1237">
        <f>SUM(K8:K10)</f>
        <v>5950197</v>
      </c>
      <c r="L11" s="1766"/>
    </row>
    <row r="12" spans="1:16" ht="15.75" thickTop="1">
      <c r="A12" s="1769"/>
      <c r="B12" s="1062"/>
      <c r="C12" s="1062"/>
      <c r="D12" s="1063"/>
      <c r="E12" s="1062"/>
      <c r="F12" s="1062"/>
      <c r="G12" s="1062"/>
      <c r="H12" s="1062"/>
      <c r="I12" s="1062"/>
      <c r="J12" s="1062"/>
      <c r="K12" s="1063"/>
      <c r="L12" s="1770"/>
    </row>
    <row r="13" spans="1:16">
      <c r="A13" s="1771"/>
      <c r="B13" s="1238"/>
      <c r="C13" s="1238"/>
      <c r="D13" s="1239"/>
      <c r="E13" s="1238"/>
      <c r="F13" s="990"/>
      <c r="G13" s="1238"/>
      <c r="H13" s="1238"/>
      <c r="I13" s="1238"/>
      <c r="J13" s="1238"/>
      <c r="K13" s="1239"/>
      <c r="L13" s="1772"/>
    </row>
    <row r="14" spans="1:16">
      <c r="A14" s="1767" t="s">
        <v>403</v>
      </c>
      <c r="B14" s="987" t="s">
        <v>736</v>
      </c>
      <c r="C14" s="990"/>
      <c r="D14" s="1019"/>
      <c r="E14" s="990"/>
      <c r="F14" s="990"/>
      <c r="L14" s="1766"/>
    </row>
    <row r="15" spans="1:16" s="1242" customFormat="1" ht="28.5">
      <c r="A15" s="1768"/>
      <c r="B15" s="1231" t="s">
        <v>1858</v>
      </c>
      <c r="C15" s="1232"/>
      <c r="D15" s="1233"/>
      <c r="E15" s="1232"/>
      <c r="F15" s="1232"/>
      <c r="G15" s="1232"/>
      <c r="H15" s="1232"/>
      <c r="I15" s="1232"/>
      <c r="J15" s="1232"/>
      <c r="K15" s="1232"/>
      <c r="L15" s="1773"/>
      <c r="M15" s="1240"/>
      <c r="N15" s="1241"/>
      <c r="O15" s="1241"/>
      <c r="P15" s="1241"/>
    </row>
    <row r="16" spans="1:16" s="1244" customFormat="1">
      <c r="A16" s="1765"/>
      <c r="B16" s="1023"/>
      <c r="C16" s="1023"/>
      <c r="D16" s="1234"/>
      <c r="E16" s="1023"/>
      <c r="F16" s="1023"/>
      <c r="G16" s="1023"/>
      <c r="H16" s="1023"/>
      <c r="I16" s="1023"/>
      <c r="J16" s="1023"/>
      <c r="K16" s="1234"/>
      <c r="L16" s="1774"/>
      <c r="M16" s="1023"/>
      <c r="N16" s="1243"/>
      <c r="O16" s="1243"/>
      <c r="P16" s="1243"/>
    </row>
    <row r="17" spans="1:12" ht="14.25" customHeight="1">
      <c r="A17" s="1765"/>
      <c r="B17" s="1345"/>
      <c r="C17" s="990"/>
      <c r="D17" s="1019"/>
      <c r="E17" s="990"/>
      <c r="F17" s="990"/>
      <c r="L17" s="1766"/>
    </row>
    <row r="18" spans="1:12" ht="15.75" thickBot="1">
      <c r="A18" s="1765"/>
      <c r="B18" s="740" t="s">
        <v>1740</v>
      </c>
      <c r="C18" s="990"/>
      <c r="D18" s="1235"/>
      <c r="E18" s="990"/>
      <c r="F18" s="990"/>
      <c r="G18" s="1236"/>
      <c r="K18" s="1237">
        <f>SUM(D17:D17)</f>
        <v>0</v>
      </c>
      <c r="L18" s="1766"/>
    </row>
    <row r="19" spans="1:12" ht="15.75" thickTop="1">
      <c r="A19" s="1769"/>
      <c r="B19" s="1062"/>
      <c r="C19" s="1062"/>
      <c r="D19" s="1063"/>
      <c r="E19" s="1062"/>
      <c r="F19" s="1062"/>
      <c r="G19" s="1062"/>
      <c r="H19" s="1062"/>
      <c r="I19" s="1062"/>
      <c r="J19" s="1062"/>
      <c r="K19" s="1063"/>
      <c r="L19" s="1770"/>
    </row>
    <row r="20" spans="1:12">
      <c r="A20" s="1771"/>
      <c r="B20" s="1238"/>
      <c r="C20" s="1238"/>
      <c r="D20" s="1239"/>
      <c r="E20" s="1238"/>
      <c r="F20" s="1238"/>
      <c r="G20" s="1238"/>
      <c r="H20" s="1238"/>
      <c r="I20" s="1238"/>
      <c r="J20" s="1238"/>
      <c r="K20" s="1239"/>
      <c r="L20" s="1772"/>
    </row>
    <row r="21" spans="1:12">
      <c r="A21" s="1767" t="s">
        <v>454</v>
      </c>
      <c r="B21" s="987" t="s">
        <v>455</v>
      </c>
      <c r="C21" s="990"/>
      <c r="D21" s="1019"/>
      <c r="E21" s="990"/>
      <c r="F21" s="990"/>
      <c r="L21" s="1766"/>
    </row>
    <row r="22" spans="1:12" ht="25.5">
      <c r="A22" s="1686"/>
      <c r="B22" s="1335"/>
      <c r="C22" s="1335"/>
      <c r="D22" s="1134" t="s">
        <v>2597</v>
      </c>
      <c r="E22" s="1335"/>
      <c r="F22" s="1335"/>
      <c r="G22" s="1335"/>
      <c r="H22" s="1335"/>
      <c r="I22" s="1335"/>
      <c r="J22" s="1335"/>
      <c r="K22" s="1134" t="s">
        <v>2598</v>
      </c>
      <c r="L22" s="1775"/>
    </row>
    <row r="23" spans="1:12">
      <c r="A23" s="1765"/>
      <c r="B23" s="987" t="s">
        <v>3921</v>
      </c>
      <c r="C23" s="990"/>
      <c r="D23" s="1019"/>
      <c r="E23" s="990"/>
      <c r="F23" s="990"/>
      <c r="L23" s="1766"/>
    </row>
    <row r="24" spans="1:12">
      <c r="A24" s="1765"/>
      <c r="B24" s="990" t="s">
        <v>3808</v>
      </c>
      <c r="C24" s="990"/>
      <c r="D24" s="1019">
        <v>0</v>
      </c>
      <c r="E24" s="990"/>
      <c r="F24" s="990"/>
      <c r="K24" s="1019">
        <v>4670.54</v>
      </c>
      <c r="L24" s="1766"/>
    </row>
    <row r="25" spans="1:12">
      <c r="A25" s="1765"/>
      <c r="B25" s="990" t="s">
        <v>3809</v>
      </c>
      <c r="C25" s="990"/>
      <c r="D25" s="1019">
        <v>16467.3</v>
      </c>
      <c r="E25" s="990"/>
      <c r="F25" s="990"/>
      <c r="K25" s="1019">
        <v>1900.35</v>
      </c>
      <c r="L25" s="1766"/>
    </row>
    <row r="26" spans="1:12">
      <c r="A26" s="1765"/>
      <c r="B26" s="990"/>
      <c r="C26" s="990"/>
      <c r="D26" s="1019">
        <v>0</v>
      </c>
      <c r="E26" s="990"/>
      <c r="F26" s="990"/>
      <c r="K26" s="1019">
        <v>3963.62</v>
      </c>
      <c r="L26" s="1766"/>
    </row>
    <row r="27" spans="1:12" ht="15.75" thickBot="1">
      <c r="A27" s="1765"/>
      <c r="B27" s="987" t="s">
        <v>3810</v>
      </c>
      <c r="C27" s="990"/>
      <c r="D27" s="1237">
        <f>SUM(D24:D26)</f>
        <v>16467.3</v>
      </c>
      <c r="E27" s="990"/>
      <c r="F27" s="990"/>
      <c r="K27" s="1237">
        <f>SUM(K24:K26)</f>
        <v>10534.509999999998</v>
      </c>
      <c r="L27" s="1766"/>
    </row>
    <row r="28" spans="1:12" ht="15.75" thickTop="1">
      <c r="A28" s="1765"/>
      <c r="B28" s="987"/>
      <c r="C28" s="990"/>
      <c r="D28" s="1019"/>
      <c r="E28" s="990"/>
      <c r="F28" s="990"/>
      <c r="L28" s="1766"/>
    </row>
    <row r="29" spans="1:12">
      <c r="A29" s="1765"/>
      <c r="B29" s="987" t="s">
        <v>3922</v>
      </c>
      <c r="C29" s="990"/>
      <c r="D29" s="1019"/>
      <c r="E29" s="990"/>
      <c r="F29" s="990"/>
      <c r="L29" s="1766"/>
    </row>
    <row r="30" spans="1:12">
      <c r="A30" s="1765"/>
      <c r="B30" s="987"/>
      <c r="C30" s="990"/>
      <c r="D30" s="1019"/>
      <c r="E30" s="990"/>
      <c r="F30" s="990"/>
      <c r="L30" s="1766"/>
    </row>
    <row r="31" spans="1:12">
      <c r="A31" s="1765"/>
      <c r="B31" s="990" t="s">
        <v>3808</v>
      </c>
      <c r="C31" s="990"/>
      <c r="D31" s="1019">
        <v>122119</v>
      </c>
      <c r="E31" s="990"/>
      <c r="F31" s="990"/>
      <c r="L31" s="1766"/>
    </row>
    <row r="32" spans="1:12">
      <c r="A32" s="1765"/>
      <c r="B32" s="990" t="s">
        <v>3809</v>
      </c>
      <c r="C32" s="990"/>
      <c r="D32" s="1019">
        <v>94625.96</v>
      </c>
      <c r="E32" s="990"/>
      <c r="F32" s="990"/>
      <c r="L32" s="1766"/>
    </row>
    <row r="33" spans="1:16">
      <c r="A33" s="1765"/>
      <c r="B33" s="990"/>
      <c r="C33" s="990"/>
      <c r="D33" s="1019"/>
      <c r="E33" s="990"/>
      <c r="F33" s="990"/>
      <c r="L33" s="1766"/>
    </row>
    <row r="34" spans="1:16" ht="15.75" thickBot="1">
      <c r="A34" s="1765"/>
      <c r="B34" s="987" t="s">
        <v>3810</v>
      </c>
      <c r="C34" s="990"/>
      <c r="D34" s="1237">
        <f>SUM(D31:D33)</f>
        <v>216744.96000000002</v>
      </c>
      <c r="E34" s="990"/>
      <c r="F34" s="990"/>
      <c r="K34" s="1237"/>
      <c r="L34" s="1766"/>
    </row>
    <row r="35" spans="1:16" s="1296" customFormat="1" ht="15.75" thickTop="1">
      <c r="A35" s="1765"/>
      <c r="B35" s="987"/>
      <c r="C35" s="990"/>
      <c r="D35" s="1031"/>
      <c r="E35" s="990"/>
      <c r="F35" s="990"/>
      <c r="G35" s="990"/>
      <c r="H35" s="990"/>
      <c r="I35" s="990"/>
      <c r="J35" s="990"/>
      <c r="K35" s="1031"/>
      <c r="L35" s="1766"/>
      <c r="M35" s="990"/>
      <c r="N35" s="1229"/>
      <c r="O35" s="1229"/>
      <c r="P35" s="1229"/>
    </row>
    <row r="36" spans="1:16" s="1296" customFormat="1" ht="25.5">
      <c r="A36" s="1765"/>
      <c r="B36" s="1304"/>
      <c r="C36" s="1304"/>
      <c r="D36" s="1305" t="s">
        <v>3868</v>
      </c>
      <c r="E36" s="1306"/>
      <c r="F36" s="1305" t="s">
        <v>2999</v>
      </c>
      <c r="G36" s="1307" t="s">
        <v>3000</v>
      </c>
      <c r="H36" s="1390"/>
      <c r="I36" s="1307" t="s">
        <v>1740</v>
      </c>
      <c r="J36" s="1307"/>
      <c r="K36" s="1307"/>
      <c r="L36" s="1766"/>
      <c r="M36" s="990"/>
      <c r="N36" s="1229"/>
      <c r="O36" s="1229"/>
      <c r="P36" s="1229"/>
    </row>
    <row r="37" spans="1:16" s="1296" customFormat="1">
      <c r="A37" s="1765"/>
      <c r="B37" s="1304"/>
      <c r="C37" s="1304"/>
      <c r="D37" s="1305" t="s">
        <v>2422</v>
      </c>
      <c r="E37" s="1306"/>
      <c r="F37" s="1305" t="s">
        <v>2422</v>
      </c>
      <c r="G37" s="1305" t="s">
        <v>2422</v>
      </c>
      <c r="H37" s="1390"/>
      <c r="I37" s="1305" t="s">
        <v>2422</v>
      </c>
      <c r="J37" s="1306"/>
      <c r="K37" s="1305"/>
      <c r="L37" s="1766"/>
      <c r="M37" s="990"/>
      <c r="N37" s="1229"/>
      <c r="O37" s="1229"/>
      <c r="P37" s="1229"/>
    </row>
    <row r="38" spans="1:16" s="1296" customFormat="1">
      <c r="A38" s="1765"/>
      <c r="B38" s="1308">
        <v>2010</v>
      </c>
      <c r="C38" s="1308"/>
      <c r="D38" s="1304"/>
      <c r="E38" s="1304"/>
      <c r="F38" s="1309"/>
      <c r="G38" s="1309"/>
      <c r="H38" s="1390"/>
      <c r="I38" s="1304"/>
      <c r="J38" s="1304"/>
      <c r="K38" s="1304"/>
      <c r="L38" s="1766"/>
      <c r="M38" s="990"/>
      <c r="N38" s="1229"/>
      <c r="O38" s="1229"/>
      <c r="P38" s="1229"/>
    </row>
    <row r="39" spans="1:16" s="1296" customFormat="1">
      <c r="A39" s="1765"/>
      <c r="B39" s="1304"/>
      <c r="C39" s="1304"/>
      <c r="D39" s="1304"/>
      <c r="E39" s="1304"/>
      <c r="F39" s="1309"/>
      <c r="G39" s="1309"/>
      <c r="H39" s="1390"/>
      <c r="I39" s="1304"/>
      <c r="J39" s="1304"/>
      <c r="K39" s="1304"/>
      <c r="L39" s="1766"/>
      <c r="M39" s="990"/>
      <c r="N39" s="1229"/>
      <c r="O39" s="1229"/>
      <c r="P39" s="1229"/>
    </row>
    <row r="40" spans="1:16" s="1296" customFormat="1">
      <c r="A40" s="1765"/>
      <c r="B40" s="1308" t="s">
        <v>3001</v>
      </c>
      <c r="C40" s="1308"/>
      <c r="D40" s="1310">
        <v>94626</v>
      </c>
      <c r="E40" s="1310"/>
      <c r="F40" s="1310">
        <v>0</v>
      </c>
      <c r="G40" s="1310">
        <v>0</v>
      </c>
      <c r="H40" s="1390"/>
      <c r="I40" s="1310">
        <f>SUM(B40:D40)</f>
        <v>94626</v>
      </c>
      <c r="J40" s="1310"/>
      <c r="K40" s="1310"/>
      <c r="L40" s="1766"/>
      <c r="M40" s="990"/>
      <c r="N40" s="1229"/>
      <c r="O40" s="1229"/>
      <c r="P40" s="1229"/>
    </row>
    <row r="41" spans="1:16" s="1296" customFormat="1">
      <c r="A41" s="1765"/>
      <c r="B41" s="1308" t="s">
        <v>2470</v>
      </c>
      <c r="C41" s="1308"/>
      <c r="D41" s="1310"/>
      <c r="E41" s="1310"/>
      <c r="F41" s="1310"/>
      <c r="G41" s="1310"/>
      <c r="H41" s="1390"/>
      <c r="I41" s="1310">
        <f>SUM(B41:D41)</f>
        <v>0</v>
      </c>
      <c r="J41" s="1310"/>
      <c r="K41" s="1310"/>
      <c r="L41" s="1766"/>
      <c r="M41" s="990"/>
      <c r="N41" s="1229"/>
      <c r="O41" s="1229"/>
      <c r="P41" s="1229"/>
    </row>
    <row r="42" spans="1:16" s="1296" customFormat="1" ht="15.75" thickBot="1">
      <c r="A42" s="1765"/>
      <c r="B42" s="1308" t="s">
        <v>3002</v>
      </c>
      <c r="C42" s="1308"/>
      <c r="D42" s="1311">
        <f>D40-D41</f>
        <v>94626</v>
      </c>
      <c r="E42" s="1310"/>
      <c r="F42" s="1311">
        <f>F40-F41</f>
        <v>0</v>
      </c>
      <c r="G42" s="1311">
        <f>G40-G41</f>
        <v>0</v>
      </c>
      <c r="H42" s="1390"/>
      <c r="I42" s="1311">
        <f>I40-I41</f>
        <v>94626</v>
      </c>
      <c r="J42" s="1310"/>
      <c r="K42" s="1311"/>
      <c r="L42" s="1766"/>
      <c r="M42" s="990"/>
      <c r="N42" s="1229"/>
      <c r="O42" s="1229"/>
      <c r="P42" s="1229"/>
    </row>
    <row r="43" spans="1:16" s="1296" customFormat="1" ht="15.75" thickTop="1">
      <c r="A43" s="1765"/>
      <c r="B43" s="1304"/>
      <c r="C43" s="1304"/>
      <c r="D43" s="1310"/>
      <c r="E43" s="1310"/>
      <c r="F43" s="1310"/>
      <c r="G43" s="1310"/>
      <c r="H43" s="1390"/>
      <c r="I43" s="1310"/>
      <c r="J43" s="1310"/>
      <c r="K43" s="1310"/>
      <c r="L43" s="1766"/>
      <c r="M43" s="990"/>
      <c r="N43" s="1229"/>
      <c r="O43" s="1229"/>
      <c r="P43" s="1229"/>
    </row>
    <row r="44" spans="1:16" s="1296" customFormat="1">
      <c r="A44" s="1765"/>
      <c r="B44" s="1308">
        <v>2009</v>
      </c>
      <c r="C44" s="1308"/>
      <c r="D44" s="1310"/>
      <c r="E44" s="1310"/>
      <c r="F44" s="1310"/>
      <c r="G44" s="1310"/>
      <c r="H44" s="1390"/>
      <c r="I44" s="1310"/>
      <c r="J44" s="1310"/>
      <c r="K44" s="1310"/>
      <c r="L44" s="1766"/>
      <c r="M44" s="990"/>
      <c r="N44" s="1229"/>
      <c r="O44" s="1229"/>
      <c r="P44" s="1229"/>
    </row>
    <row r="45" spans="1:16" s="1296" customFormat="1">
      <c r="A45" s="1765"/>
      <c r="B45" s="1304"/>
      <c r="C45" s="1304"/>
      <c r="D45" s="1310"/>
      <c r="E45" s="1310"/>
      <c r="F45" s="1310"/>
      <c r="G45" s="1310"/>
      <c r="H45" s="1390"/>
      <c r="I45" s="1310"/>
      <c r="J45" s="1310"/>
      <c r="K45" s="1310"/>
      <c r="L45" s="1766"/>
      <c r="M45" s="990"/>
      <c r="N45" s="1229"/>
      <c r="O45" s="1229"/>
      <c r="P45" s="1229"/>
    </row>
    <row r="46" spans="1:16" s="1296" customFormat="1">
      <c r="A46" s="1765"/>
      <c r="B46" s="1308" t="s">
        <v>3001</v>
      </c>
      <c r="C46" s="1308"/>
      <c r="D46" s="1310">
        <v>122119</v>
      </c>
      <c r="E46" s="1310"/>
      <c r="F46" s="1310">
        <v>94626</v>
      </c>
      <c r="G46" s="1310"/>
      <c r="H46" s="1390"/>
      <c r="I46" s="1310">
        <f>SUM(B46:D46)</f>
        <v>122119</v>
      </c>
      <c r="J46" s="1310"/>
      <c r="K46" s="1310"/>
      <c r="L46" s="1766"/>
      <c r="M46" s="990"/>
      <c r="N46" s="1229"/>
      <c r="O46" s="1229"/>
      <c r="P46" s="1229"/>
    </row>
    <row r="47" spans="1:16" s="1296" customFormat="1">
      <c r="A47" s="1765"/>
      <c r="B47" s="1308" t="s">
        <v>3704</v>
      </c>
      <c r="C47" s="1308"/>
      <c r="D47" s="1310"/>
      <c r="E47" s="1310"/>
      <c r="F47" s="1310"/>
      <c r="G47" s="1310"/>
      <c r="H47" s="1390"/>
      <c r="I47" s="1310">
        <f>SUM(B47:D47)</f>
        <v>0</v>
      </c>
      <c r="J47" s="1310"/>
      <c r="K47" s="1310"/>
      <c r="L47" s="1766"/>
      <c r="M47" s="990"/>
      <c r="N47" s="1229"/>
      <c r="O47" s="1229"/>
      <c r="P47" s="1229"/>
    </row>
    <row r="48" spans="1:16" s="1296" customFormat="1" ht="15.75" thickBot="1">
      <c r="A48" s="1765"/>
      <c r="B48" s="1308" t="s">
        <v>3002</v>
      </c>
      <c r="C48" s="1308"/>
      <c r="D48" s="1311">
        <f>D46-D47</f>
        <v>122119</v>
      </c>
      <c r="E48" s="1310"/>
      <c r="F48" s="1311">
        <f>F46-F47</f>
        <v>94626</v>
      </c>
      <c r="G48" s="1311">
        <f>G46-G47</f>
        <v>0</v>
      </c>
      <c r="H48" s="1390"/>
      <c r="I48" s="1311">
        <f>I46-I47</f>
        <v>122119</v>
      </c>
      <c r="J48" s="1310"/>
      <c r="K48" s="1311"/>
      <c r="L48" s="1766"/>
      <c r="M48" s="990"/>
      <c r="N48" s="1229"/>
      <c r="O48" s="1229"/>
      <c r="P48" s="1229"/>
    </row>
    <row r="49" spans="1:16" s="1296" customFormat="1" ht="15.75" thickTop="1">
      <c r="A49" s="1765"/>
      <c r="B49" s="1304"/>
      <c r="C49" s="1304"/>
      <c r="D49" s="1310"/>
      <c r="E49" s="1312"/>
      <c r="F49" s="1312"/>
      <c r="G49" s="1304"/>
      <c r="H49" s="1310"/>
      <c r="I49" s="1310"/>
      <c r="J49" s="1310"/>
      <c r="K49" s="1310"/>
      <c r="L49" s="1766"/>
      <c r="M49" s="990"/>
      <c r="N49" s="1229"/>
      <c r="O49" s="1229"/>
      <c r="P49" s="1229"/>
    </row>
    <row r="50" spans="1:16" s="1296" customFormat="1" ht="76.5">
      <c r="A50" s="1765"/>
      <c r="B50" s="1313" t="s">
        <v>3003</v>
      </c>
      <c r="C50" s="1313"/>
      <c r="D50" s="1314"/>
      <c r="E50" s="1315"/>
      <c r="F50" s="1315"/>
      <c r="G50" s="1304"/>
      <c r="H50" s="1304"/>
      <c r="I50" s="1304"/>
      <c r="J50" s="1304"/>
      <c r="K50" s="1309"/>
      <c r="L50" s="1766"/>
      <c r="M50" s="990"/>
      <c r="N50" s="1229"/>
      <c r="O50" s="1229"/>
      <c r="P50" s="1229"/>
    </row>
    <row r="51" spans="1:16">
      <c r="A51" s="1769"/>
      <c r="B51" s="1062"/>
      <c r="C51" s="1062"/>
      <c r="D51" s="1063"/>
      <c r="E51" s="1062"/>
      <c r="F51" s="1062"/>
      <c r="G51" s="1062"/>
      <c r="H51" s="1062"/>
      <c r="I51" s="1062"/>
      <c r="J51" s="1062"/>
      <c r="K51" s="1063"/>
      <c r="L51" s="1770"/>
    </row>
    <row r="52" spans="1:16">
      <c r="A52" s="1765">
        <v>42</v>
      </c>
      <c r="B52" s="987" t="s">
        <v>2623</v>
      </c>
      <c r="C52" s="990"/>
      <c r="D52" s="1019"/>
      <c r="E52" s="990"/>
      <c r="F52" s="990"/>
      <c r="L52" s="1766"/>
    </row>
    <row r="53" spans="1:16">
      <c r="A53" s="1765"/>
      <c r="B53" s="1245">
        <v>42.1</v>
      </c>
      <c r="C53" s="990"/>
      <c r="D53" s="1019"/>
      <c r="E53" s="990"/>
      <c r="F53" s="990"/>
      <c r="L53" s="1766"/>
    </row>
    <row r="54" spans="1:16">
      <c r="A54" s="1765"/>
      <c r="B54" s="990" t="s">
        <v>2632</v>
      </c>
      <c r="C54" s="990"/>
      <c r="D54" s="1019"/>
      <c r="E54" s="990"/>
      <c r="F54" s="990"/>
      <c r="L54" s="1766"/>
    </row>
    <row r="55" spans="1:16" ht="36.75" customHeight="1">
      <c r="A55" s="1765"/>
      <c r="B55" s="1892" t="s">
        <v>2625</v>
      </c>
      <c r="C55" s="1892"/>
      <c r="D55" s="1892"/>
      <c r="E55" s="1892"/>
      <c r="F55" s="1892"/>
      <c r="G55" s="1892"/>
      <c r="H55" s="1892"/>
      <c r="I55" s="1892"/>
      <c r="J55" s="1892"/>
      <c r="K55" s="1892"/>
      <c r="L55" s="1766"/>
    </row>
    <row r="56" spans="1:16" s="1318" customFormat="1" ht="36.75" customHeight="1">
      <c r="A56" s="1765"/>
      <c r="B56" s="1886" t="s">
        <v>3995</v>
      </c>
      <c r="C56" s="1886"/>
      <c r="D56" s="1886"/>
      <c r="E56" s="1886"/>
      <c r="F56" s="1886"/>
      <c r="G56" s="1886"/>
      <c r="H56" s="1886"/>
      <c r="I56" s="1886"/>
      <c r="J56" s="1342"/>
      <c r="K56" s="1342"/>
      <c r="L56" s="1766"/>
      <c r="M56" s="990"/>
      <c r="N56" s="1229"/>
      <c r="O56" s="1229"/>
      <c r="P56" s="1229"/>
    </row>
    <row r="57" spans="1:16" s="1318" customFormat="1" ht="36.75" customHeight="1">
      <c r="A57" s="1765"/>
      <c r="B57" s="1342"/>
      <c r="C57" s="1342"/>
      <c r="D57" s="1342"/>
      <c r="E57" s="1342"/>
      <c r="F57" s="1342"/>
      <c r="G57" s="1342"/>
      <c r="H57" s="1342"/>
      <c r="I57" s="1342"/>
      <c r="J57" s="1342"/>
      <c r="K57" s="1342"/>
      <c r="L57" s="1766"/>
      <c r="M57" s="990"/>
      <c r="N57" s="1229"/>
      <c r="O57" s="1229"/>
      <c r="P57" s="1229"/>
    </row>
    <row r="58" spans="1:16" ht="20.25" customHeight="1">
      <c r="A58" s="1765"/>
      <c r="B58" s="1892" t="s">
        <v>3939</v>
      </c>
      <c r="C58" s="1892"/>
      <c r="D58" s="1892"/>
      <c r="E58" s="1892"/>
      <c r="F58" s="1892"/>
      <c r="G58" s="1892"/>
      <c r="H58" s="1892"/>
      <c r="I58" s="1892"/>
      <c r="J58" s="1892"/>
      <c r="K58" s="1892"/>
      <c r="L58" s="1766"/>
    </row>
    <row r="59" spans="1:16" ht="15.75">
      <c r="A59" s="1765"/>
      <c r="B59" s="990" t="s">
        <v>2624</v>
      </c>
      <c r="C59" s="990"/>
      <c r="D59" s="1230" t="s">
        <v>3484</v>
      </c>
      <c r="E59" s="990"/>
      <c r="F59" s="990"/>
      <c r="G59" s="1230" t="s">
        <v>2651</v>
      </c>
      <c r="H59" s="1246"/>
      <c r="I59" s="1246"/>
      <c r="J59" s="1246"/>
      <c r="L59" s="1766"/>
    </row>
    <row r="60" spans="1:16">
      <c r="A60" s="1765"/>
      <c r="B60" s="990"/>
      <c r="C60" s="990"/>
      <c r="D60" s="1024" t="s">
        <v>2422</v>
      </c>
      <c r="E60" s="990"/>
      <c r="F60" s="990"/>
      <c r="G60" s="1024" t="s">
        <v>2422</v>
      </c>
      <c r="H60" s="1024"/>
      <c r="I60" s="1024"/>
      <c r="J60" s="1024"/>
      <c r="L60" s="1766"/>
    </row>
    <row r="61" spans="1:16">
      <c r="A61" s="1765"/>
      <c r="B61" s="990" t="s">
        <v>3811</v>
      </c>
      <c r="C61" s="990"/>
      <c r="D61" s="1031">
        <f>SUM(D63:D71)</f>
        <v>3031060.5800000005</v>
      </c>
      <c r="E61" s="990"/>
      <c r="F61" s="990"/>
      <c r="G61" s="1031">
        <v>2662831</v>
      </c>
      <c r="H61" s="1019"/>
      <c r="I61" s="1019"/>
      <c r="J61" s="1019"/>
      <c r="L61" s="1766"/>
    </row>
    <row r="62" spans="1:16">
      <c r="A62" s="1765"/>
      <c r="B62" s="990"/>
      <c r="C62" s="990"/>
      <c r="D62" s="1019"/>
      <c r="E62" s="990"/>
      <c r="F62" s="990"/>
      <c r="G62" s="1019"/>
      <c r="H62" s="1019"/>
      <c r="I62" s="1019"/>
      <c r="J62" s="1019"/>
      <c r="L62" s="1766"/>
    </row>
    <row r="63" spans="1:16">
      <c r="A63" s="1765"/>
      <c r="B63" s="990" t="s">
        <v>3812</v>
      </c>
      <c r="C63" s="990"/>
      <c r="D63" s="1247">
        <f>25000+17870.61+130000+25000+25000+25000+24561.4+274.06</f>
        <v>272706.07</v>
      </c>
      <c r="E63" s="990"/>
      <c r="F63" s="990"/>
      <c r="G63" s="1247"/>
      <c r="H63" s="1019"/>
      <c r="I63" s="1019"/>
      <c r="J63" s="1019"/>
      <c r="L63" s="1766"/>
    </row>
    <row r="64" spans="1:16">
      <c r="A64" s="1765"/>
      <c r="B64" s="990" t="s">
        <v>3813</v>
      </c>
      <c r="C64" s="990"/>
      <c r="D64" s="1248">
        <f>61403.51+61403.51+61403.51+61403.51+61403.51+61403.51+61403.51+30701.75+30701.75+8660+61403.51-61403.51+73280.91</f>
        <v>573168.98</v>
      </c>
      <c r="E64" s="990"/>
      <c r="F64" s="990"/>
      <c r="G64" s="1248"/>
      <c r="H64" s="1019"/>
      <c r="I64" s="1019"/>
      <c r="J64" s="1019"/>
      <c r="L64" s="1766"/>
    </row>
    <row r="65" spans="1:12">
      <c r="A65" s="1765"/>
      <c r="B65" s="990" t="s">
        <v>3814</v>
      </c>
      <c r="C65" s="990"/>
      <c r="D65" s="1248">
        <f>92864.75-92864.75</f>
        <v>0</v>
      </c>
      <c r="E65" s="990"/>
      <c r="F65" s="990"/>
      <c r="G65" s="1248"/>
      <c r="H65" s="1019"/>
      <c r="I65" s="1019"/>
      <c r="J65" s="1019"/>
      <c r="L65" s="1766"/>
    </row>
    <row r="66" spans="1:12">
      <c r="A66" s="1765"/>
      <c r="B66" s="990" t="s">
        <v>3796</v>
      </c>
      <c r="C66" s="990"/>
      <c r="D66" s="1248">
        <f>3703.81+1959+3600+3348+5964.91+2600+2225+3695.44+15256.65+1312.97+11575.5+2205+2407.5+3700.5+2522.5+3631+1250+450+500+2998.7+984.25+3611.98+3586.88-1108.73-1248.87-1149.12-105.26</f>
        <v>79477.610000000015</v>
      </c>
      <c r="E66" s="990"/>
      <c r="F66" s="990"/>
      <c r="G66" s="1248"/>
      <c r="H66" s="1019"/>
      <c r="I66" s="1019"/>
      <c r="J66" s="1019"/>
      <c r="L66" s="1766"/>
    </row>
    <row r="67" spans="1:12">
      <c r="A67" s="1765"/>
      <c r="B67" s="990" t="s">
        <v>3815</v>
      </c>
      <c r="C67" s="990"/>
      <c r="D67" s="1248">
        <f>1200000+250000+100000</f>
        <v>1550000</v>
      </c>
      <c r="E67" s="990"/>
      <c r="F67" s="990"/>
      <c r="G67" s="1248"/>
      <c r="H67" s="1019"/>
      <c r="I67" s="1019"/>
      <c r="J67" s="1019"/>
      <c r="L67" s="1766"/>
    </row>
    <row r="68" spans="1:12">
      <c r="A68" s="1765"/>
      <c r="B68" s="990" t="s">
        <v>3816</v>
      </c>
      <c r="C68" s="990"/>
      <c r="D68" s="1248">
        <f>39696.1+49573.26+40818.57+40194.5+21245.6+7200+6600+24251.66+21666.57+6516.17+4505.77+9600+45285.86+36681.75+10800+20394.07+23380.21+25660.05+2468+100+20506.59+6318.62+44034.52</f>
        <v>507497.87000000005</v>
      </c>
      <c r="E68" s="990"/>
      <c r="F68" s="990"/>
      <c r="G68" s="1248"/>
      <c r="H68" s="1019"/>
      <c r="I68" s="1019"/>
      <c r="J68" s="1019"/>
      <c r="L68" s="1766"/>
    </row>
    <row r="69" spans="1:12">
      <c r="A69" s="1765"/>
      <c r="B69" s="990" t="s">
        <v>3817</v>
      </c>
      <c r="C69" s="990"/>
      <c r="D69" s="1248">
        <f>5644.32+7452.85+6261.9+5352.55+1539.56</f>
        <v>26251.18</v>
      </c>
      <c r="E69" s="990"/>
      <c r="F69" s="990"/>
      <c r="G69" s="1248"/>
      <c r="H69" s="1019"/>
      <c r="I69" s="1019"/>
      <c r="J69" s="1019"/>
      <c r="L69" s="1766"/>
    </row>
    <row r="70" spans="1:12">
      <c r="A70" s="1765"/>
      <c r="B70" s="990" t="s">
        <v>3818</v>
      </c>
      <c r="C70" s="990"/>
      <c r="D70" s="1248">
        <f>17543.86+1635.01</f>
        <v>19178.87</v>
      </c>
      <c r="E70" s="990"/>
      <c r="F70" s="990"/>
      <c r="G70" s="1248"/>
      <c r="H70" s="1019"/>
      <c r="I70" s="1019"/>
      <c r="J70" s="1019"/>
      <c r="L70" s="1766"/>
    </row>
    <row r="71" spans="1:12">
      <c r="A71" s="1765"/>
      <c r="B71" s="990" t="s">
        <v>3819</v>
      </c>
      <c r="C71" s="990"/>
      <c r="D71" s="1249">
        <v>2780</v>
      </c>
      <c r="E71" s="990"/>
      <c r="F71" s="990"/>
      <c r="G71" s="1249"/>
      <c r="H71" s="1019"/>
      <c r="I71" s="1019"/>
      <c r="J71" s="1019"/>
      <c r="L71" s="1766"/>
    </row>
    <row r="72" spans="1:12">
      <c r="A72" s="1765"/>
      <c r="B72" s="990"/>
      <c r="C72" s="990"/>
      <c r="D72" s="1019"/>
      <c r="E72" s="990"/>
      <c r="F72" s="990"/>
      <c r="G72" s="1019"/>
      <c r="H72" s="1019"/>
      <c r="I72" s="1019"/>
      <c r="J72" s="1019"/>
      <c r="L72" s="1766"/>
    </row>
    <row r="73" spans="1:12">
      <c r="A73" s="1765"/>
      <c r="B73" s="1899" t="s">
        <v>3111</v>
      </c>
      <c r="C73" s="1899"/>
      <c r="D73" s="1899"/>
      <c r="E73" s="1899"/>
      <c r="F73" s="1899"/>
      <c r="G73" s="1899"/>
      <c r="H73" s="1899"/>
      <c r="I73" s="1899"/>
      <c r="J73" s="1899"/>
      <c r="K73" s="1899"/>
      <c r="L73" s="1766"/>
    </row>
    <row r="74" spans="1:12">
      <c r="A74" s="1765"/>
      <c r="B74" s="990"/>
      <c r="C74" s="990"/>
      <c r="D74" s="1019"/>
      <c r="E74" s="990"/>
      <c r="F74" s="990"/>
      <c r="L74" s="1766"/>
    </row>
    <row r="75" spans="1:12">
      <c r="A75" s="1765"/>
      <c r="B75" s="987" t="s">
        <v>3112</v>
      </c>
      <c r="C75" s="990"/>
      <c r="D75" s="1024" t="s">
        <v>3113</v>
      </c>
      <c r="E75" s="990"/>
      <c r="F75" s="990"/>
      <c r="G75" s="1024" t="s">
        <v>3113</v>
      </c>
      <c r="H75" s="1024"/>
      <c r="I75" s="1024"/>
      <c r="J75" s="1024"/>
      <c r="L75" s="1766"/>
    </row>
    <row r="76" spans="1:12">
      <c r="A76" s="1765"/>
      <c r="B76" s="987"/>
      <c r="C76" s="990"/>
      <c r="D76" s="1024" t="s">
        <v>2422</v>
      </c>
      <c r="E76" s="990"/>
      <c r="F76" s="990"/>
      <c r="G76" s="1024" t="s">
        <v>2422</v>
      </c>
      <c r="H76" s="1024"/>
      <c r="I76" s="1024"/>
      <c r="J76" s="1024"/>
      <c r="L76" s="1766"/>
    </row>
    <row r="77" spans="1:12">
      <c r="A77" s="1765"/>
      <c r="B77" s="990" t="s">
        <v>2626</v>
      </c>
      <c r="C77" s="990"/>
      <c r="D77" s="1019">
        <v>0</v>
      </c>
      <c r="E77" s="990"/>
      <c r="F77" s="990"/>
      <c r="G77" s="1019">
        <v>0</v>
      </c>
      <c r="H77" s="1019"/>
      <c r="I77" s="1019"/>
      <c r="J77" s="1019"/>
      <c r="L77" s="1766"/>
    </row>
    <row r="78" spans="1:12">
      <c r="A78" s="1765"/>
      <c r="B78" s="990" t="s">
        <v>2628</v>
      </c>
      <c r="C78" s="990"/>
      <c r="D78" s="1019">
        <v>0</v>
      </c>
      <c r="E78" s="990"/>
      <c r="F78" s="990"/>
      <c r="G78" s="1019">
        <v>0</v>
      </c>
      <c r="H78" s="1019"/>
      <c r="I78" s="1019"/>
      <c r="J78" s="1019"/>
      <c r="L78" s="1766"/>
    </row>
    <row r="79" spans="1:12">
      <c r="A79" s="1765"/>
      <c r="B79" s="990" t="s">
        <v>2627</v>
      </c>
      <c r="C79" s="990"/>
      <c r="D79" s="1019">
        <v>0</v>
      </c>
      <c r="E79" s="990"/>
      <c r="F79" s="990"/>
      <c r="G79" s="1019">
        <v>0</v>
      </c>
      <c r="H79" s="1019"/>
      <c r="I79" s="1019"/>
      <c r="J79" s="1019"/>
      <c r="L79" s="1766"/>
    </row>
    <row r="80" spans="1:12">
      <c r="A80" s="1765"/>
      <c r="B80" s="990"/>
      <c r="C80" s="990"/>
      <c r="D80" s="1019"/>
      <c r="E80" s="990"/>
      <c r="F80" s="990"/>
      <c r="G80" s="1019"/>
      <c r="H80" s="1019"/>
      <c r="I80" s="1019"/>
      <c r="J80" s="1019"/>
      <c r="L80" s="1766"/>
    </row>
    <row r="81" spans="1:16" ht="27.75" customHeight="1">
      <c r="A81" s="1765"/>
      <c r="B81" s="1892" t="s">
        <v>2629</v>
      </c>
      <c r="C81" s="1892"/>
      <c r="D81" s="1892"/>
      <c r="E81" s="1892"/>
      <c r="F81" s="1892"/>
      <c r="G81" s="1892"/>
      <c r="H81" s="1892"/>
      <c r="I81" s="1892"/>
      <c r="J81" s="1892"/>
      <c r="K81" s="1892"/>
      <c r="L81" s="1766"/>
    </row>
    <row r="82" spans="1:16" s="990" customFormat="1">
      <c r="A82" s="1765"/>
      <c r="D82" s="1019"/>
      <c r="K82" s="1019"/>
      <c r="L82" s="1766"/>
      <c r="N82" s="1019"/>
      <c r="O82" s="1019"/>
      <c r="P82" s="1019"/>
    </row>
    <row r="83" spans="1:16">
      <c r="A83" s="1765"/>
      <c r="B83" s="987" t="s">
        <v>2630</v>
      </c>
      <c r="C83" s="990"/>
      <c r="D83" s="1019"/>
      <c r="E83" s="990"/>
      <c r="F83" s="990"/>
      <c r="L83" s="1766"/>
    </row>
    <row r="84" spans="1:16">
      <c r="A84" s="1765"/>
      <c r="B84" s="990"/>
      <c r="C84" s="990"/>
      <c r="D84" s="1019"/>
      <c r="E84" s="990"/>
      <c r="F84" s="990"/>
      <c r="L84" s="1766"/>
    </row>
    <row r="85" spans="1:16">
      <c r="A85" s="1765"/>
      <c r="B85" s="990" t="s">
        <v>2631</v>
      </c>
      <c r="C85" s="990"/>
      <c r="D85" s="1019">
        <v>410400</v>
      </c>
      <c r="E85" s="990"/>
      <c r="F85" s="990"/>
      <c r="G85" s="1019">
        <v>360000</v>
      </c>
      <c r="H85" s="1019"/>
      <c r="I85" s="1019"/>
      <c r="J85" s="1019"/>
      <c r="L85" s="1766"/>
    </row>
    <row r="86" spans="1:16">
      <c r="A86" s="1765"/>
      <c r="B86" s="990" t="s">
        <v>3114</v>
      </c>
      <c r="C86" s="990"/>
      <c r="D86" s="1019">
        <v>282500</v>
      </c>
      <c r="E86" s="990"/>
      <c r="F86" s="990"/>
      <c r="G86" s="1019">
        <v>250000</v>
      </c>
      <c r="H86" s="1019"/>
      <c r="I86" s="1019"/>
      <c r="J86" s="1019"/>
      <c r="L86" s="1766"/>
    </row>
    <row r="87" spans="1:16">
      <c r="A87" s="1765"/>
      <c r="B87" s="990" t="s">
        <v>3115</v>
      </c>
      <c r="C87" s="990"/>
      <c r="D87" s="1019">
        <v>134369.01</v>
      </c>
      <c r="E87" s="990"/>
      <c r="F87" s="990"/>
      <c r="G87" s="1019">
        <v>250000</v>
      </c>
      <c r="H87" s="1019"/>
      <c r="I87" s="1019"/>
      <c r="J87" s="1019"/>
      <c r="L87" s="1766"/>
    </row>
    <row r="88" spans="1:16" ht="15.75" thickBot="1">
      <c r="A88" s="1765"/>
      <c r="B88" s="990"/>
      <c r="C88" s="990"/>
      <c r="D88" s="1237">
        <f>SUM(D85:D87)</f>
        <v>827269.01</v>
      </c>
      <c r="E88" s="990"/>
      <c r="F88" s="990"/>
      <c r="G88" s="1237">
        <f>SUM(G85:G87)</f>
        <v>860000</v>
      </c>
      <c r="H88" s="1019"/>
      <c r="I88" s="1019"/>
      <c r="J88" s="1019"/>
      <c r="L88" s="1766"/>
    </row>
    <row r="89" spans="1:16" ht="15.75" thickTop="1">
      <c r="A89" s="1765"/>
      <c r="B89" s="990"/>
      <c r="C89" s="990"/>
      <c r="D89" s="1019"/>
      <c r="E89" s="990"/>
      <c r="F89" s="990"/>
      <c r="L89" s="1766"/>
    </row>
    <row r="90" spans="1:16">
      <c r="A90" s="1765"/>
      <c r="B90" s="1245">
        <v>42.2</v>
      </c>
      <c r="C90" s="990"/>
      <c r="D90" s="1019"/>
      <c r="E90" s="990"/>
      <c r="F90" s="990"/>
      <c r="L90" s="1766"/>
    </row>
    <row r="91" spans="1:16">
      <c r="A91" s="1765"/>
      <c r="B91" s="990"/>
      <c r="C91" s="990"/>
      <c r="D91" s="1019"/>
      <c r="E91" s="990"/>
      <c r="F91" s="990"/>
      <c r="L91" s="1766"/>
    </row>
    <row r="92" spans="1:16">
      <c r="A92" s="1765"/>
      <c r="B92" s="987" t="s">
        <v>3029</v>
      </c>
      <c r="C92" s="990"/>
      <c r="D92" s="1019"/>
      <c r="E92" s="990"/>
      <c r="F92" s="990"/>
      <c r="L92" s="1766"/>
    </row>
    <row r="93" spans="1:16">
      <c r="A93" s="1765"/>
      <c r="B93" s="990"/>
      <c r="C93" s="990"/>
      <c r="D93" s="1019"/>
      <c r="E93" s="990"/>
      <c r="F93" s="990"/>
      <c r="L93" s="1766"/>
    </row>
    <row r="94" spans="1:16" ht="106.5" customHeight="1">
      <c r="A94" s="1765"/>
      <c r="B94" s="1892" t="s">
        <v>3927</v>
      </c>
      <c r="C94" s="1892"/>
      <c r="D94" s="1892"/>
      <c r="E94" s="1345"/>
      <c r="F94" s="1345"/>
      <c r="G94" s="1345"/>
      <c r="H94" s="1345"/>
      <c r="I94" s="1345"/>
      <c r="J94" s="1345"/>
      <c r="K94" s="742"/>
      <c r="L94" s="1766"/>
    </row>
    <row r="95" spans="1:16" ht="19.5" customHeight="1">
      <c r="A95" s="1765"/>
      <c r="B95" s="1342"/>
      <c r="C95" s="1342"/>
      <c r="D95" s="1230" t="s">
        <v>3484</v>
      </c>
      <c r="E95" s="990"/>
      <c r="F95" s="990"/>
      <c r="G95" s="1230" t="s">
        <v>2651</v>
      </c>
      <c r="H95" s="1246"/>
      <c r="I95" s="1246"/>
      <c r="J95" s="1246"/>
      <c r="K95" s="742"/>
      <c r="L95" s="1766"/>
    </row>
    <row r="96" spans="1:16" ht="19.5" customHeight="1">
      <c r="A96" s="1765"/>
      <c r="B96" s="1342"/>
      <c r="C96" s="1342"/>
      <c r="D96" s="1391"/>
      <c r="E96" s="1345"/>
      <c r="F96" s="1345"/>
      <c r="G96" s="1345"/>
      <c r="H96" s="1345"/>
      <c r="I96" s="1345"/>
      <c r="J96" s="1345"/>
      <c r="K96" s="742"/>
      <c r="L96" s="1766"/>
    </row>
    <row r="97" spans="1:12">
      <c r="A97" s="1776" t="s">
        <v>45</v>
      </c>
      <c r="B97" s="1245" t="s">
        <v>3134</v>
      </c>
      <c r="C97" s="990"/>
      <c r="D97" s="992"/>
      <c r="E97" s="990"/>
      <c r="F97" s="990"/>
      <c r="G97" s="1384"/>
      <c r="H97" s="1384"/>
      <c r="I97" s="1384"/>
      <c r="J97" s="156"/>
      <c r="K97" s="156"/>
      <c r="L97" s="1766"/>
    </row>
    <row r="98" spans="1:12">
      <c r="A98" s="1776"/>
      <c r="B98" s="990" t="s">
        <v>1117</v>
      </c>
      <c r="C98" s="990"/>
      <c r="D98" s="992">
        <f>7223686.64+24979.4</f>
        <v>7248666.04</v>
      </c>
      <c r="E98" s="990"/>
      <c r="F98" s="990"/>
      <c r="G98" s="1384">
        <v>6745911</v>
      </c>
      <c r="H98" s="1384"/>
      <c r="I98" s="1384"/>
      <c r="J98" s="156"/>
      <c r="K98" s="156"/>
      <c r="L98" s="1766"/>
    </row>
    <row r="99" spans="1:12">
      <c r="A99" s="1462"/>
      <c r="B99" s="990" t="s">
        <v>3135</v>
      </c>
      <c r="C99" s="990"/>
      <c r="D99" s="992">
        <f>281401.81+2212.2</f>
        <v>283614.01</v>
      </c>
      <c r="E99" s="990"/>
      <c r="F99" s="990"/>
      <c r="G99" s="1384">
        <v>239545.07</v>
      </c>
      <c r="H99" s="1384"/>
      <c r="I99" s="1384"/>
      <c r="J99" s="156"/>
      <c r="K99" s="156"/>
      <c r="L99" s="1766"/>
    </row>
    <row r="100" spans="1:12">
      <c r="A100" s="1462"/>
      <c r="B100" s="990" t="s">
        <v>1116</v>
      </c>
      <c r="C100" s="990"/>
      <c r="D100" s="992">
        <f>3341428.65+37125.65</f>
        <v>3378554.3</v>
      </c>
      <c r="E100" s="990"/>
      <c r="F100" s="990"/>
      <c r="G100" s="1384">
        <v>3325784.95</v>
      </c>
      <c r="H100" s="1384"/>
      <c r="I100" s="1384"/>
      <c r="J100" s="156"/>
      <c r="K100" s="156"/>
      <c r="L100" s="1766"/>
    </row>
    <row r="101" spans="1:12">
      <c r="A101" s="1462"/>
      <c r="B101" s="990" t="s">
        <v>3136</v>
      </c>
      <c r="C101" s="990"/>
      <c r="D101" s="992">
        <v>1340.47</v>
      </c>
      <c r="E101" s="990"/>
      <c r="F101" s="990"/>
      <c r="G101" s="1384">
        <v>623.77</v>
      </c>
      <c r="H101" s="1384"/>
      <c r="I101" s="1384"/>
      <c r="J101" s="156"/>
      <c r="K101" s="156"/>
      <c r="L101" s="1766"/>
    </row>
    <row r="102" spans="1:12">
      <c r="A102" s="1462"/>
      <c r="B102" s="990" t="s">
        <v>3137</v>
      </c>
      <c r="C102" s="990"/>
      <c r="D102" s="992">
        <v>11664.05</v>
      </c>
      <c r="E102" s="990"/>
      <c r="F102" s="990"/>
      <c r="G102" s="1384">
        <v>11295.36</v>
      </c>
      <c r="H102" s="1384"/>
      <c r="I102" s="1384"/>
      <c r="J102" s="156"/>
      <c r="K102" s="156"/>
      <c r="L102" s="1766"/>
    </row>
    <row r="103" spans="1:12" ht="29.25" thickBot="1">
      <c r="A103" s="1462" t="s">
        <v>45</v>
      </c>
      <c r="B103" s="1345" t="s">
        <v>3910</v>
      </c>
      <c r="C103" s="990"/>
      <c r="D103" s="1237">
        <f>SUM(D97:D102)</f>
        <v>10923838.870000001</v>
      </c>
      <c r="E103" s="990"/>
      <c r="F103" s="990"/>
      <c r="G103" s="1385">
        <f>SUM(G97:G102)</f>
        <v>10323160.149999999</v>
      </c>
      <c r="H103" s="1386"/>
      <c r="I103" s="1386"/>
      <c r="J103" s="544"/>
      <c r="K103" s="544"/>
      <c r="L103" s="1766"/>
    </row>
    <row r="104" spans="1:12" ht="15.75" thickTop="1">
      <c r="A104" s="1462"/>
      <c r="B104" s="990"/>
      <c r="C104" s="990"/>
      <c r="D104" s="1019"/>
      <c r="E104" s="990"/>
      <c r="F104" s="990"/>
      <c r="G104" s="1384"/>
      <c r="H104" s="1384"/>
      <c r="I104" s="1384"/>
      <c r="J104" s="156"/>
      <c r="K104" s="156"/>
      <c r="L104" s="1766"/>
    </row>
    <row r="105" spans="1:12">
      <c r="A105" s="1462" t="s">
        <v>45</v>
      </c>
      <c r="B105" s="987" t="s">
        <v>3138</v>
      </c>
      <c r="C105" s="990"/>
      <c r="D105" s="1019" t="s">
        <v>45</v>
      </c>
      <c r="E105" s="990"/>
      <c r="F105" s="990"/>
      <c r="G105" s="1384" t="s">
        <v>45</v>
      </c>
      <c r="H105" s="1384"/>
      <c r="I105" s="1384"/>
      <c r="J105" s="156"/>
      <c r="K105" s="156"/>
      <c r="L105" s="1766"/>
    </row>
    <row r="106" spans="1:12">
      <c r="A106" s="1462"/>
      <c r="B106" s="990" t="s">
        <v>1117</v>
      </c>
      <c r="C106" s="990"/>
      <c r="D106" s="992">
        <v>1655953.96</v>
      </c>
      <c r="E106" s="990"/>
      <c r="F106" s="990"/>
      <c r="G106" s="1384">
        <v>1324255.08</v>
      </c>
      <c r="H106" s="1384"/>
      <c r="I106" s="1384"/>
      <c r="J106" s="156"/>
      <c r="K106" s="156"/>
      <c r="L106" s="1766"/>
    </row>
    <row r="107" spans="1:12">
      <c r="A107" s="1462"/>
      <c r="B107" s="990" t="s">
        <v>1116</v>
      </c>
      <c r="C107" s="990"/>
      <c r="D107" s="992">
        <v>372727.32</v>
      </c>
      <c r="E107" s="990"/>
      <c r="F107" s="990"/>
      <c r="G107" s="1384">
        <v>331376.68</v>
      </c>
      <c r="H107" s="1384"/>
      <c r="I107" s="1384"/>
      <c r="J107" s="156"/>
      <c r="K107" s="156"/>
      <c r="L107" s="1766"/>
    </row>
    <row r="108" spans="1:12" ht="16.5" thickBot="1">
      <c r="A108" s="1462" t="s">
        <v>45</v>
      </c>
      <c r="B108" s="990" t="s">
        <v>3911</v>
      </c>
      <c r="C108" s="990"/>
      <c r="D108" s="1237">
        <f>SUM(D105:D107)</f>
        <v>2028681.28</v>
      </c>
      <c r="E108" s="990"/>
      <c r="F108" s="990"/>
      <c r="G108" s="1385">
        <f>SUM(G105:G107)</f>
        <v>1655631.76</v>
      </c>
      <c r="H108" s="1386"/>
      <c r="I108" s="1386"/>
      <c r="J108" s="544"/>
      <c r="K108" s="544"/>
      <c r="L108" s="1766"/>
    </row>
    <row r="109" spans="1:12" ht="15.75" thickTop="1">
      <c r="A109" s="1462"/>
      <c r="B109" s="990"/>
      <c r="C109" s="990"/>
      <c r="D109" s="1019"/>
      <c r="E109" s="990"/>
      <c r="F109" s="990"/>
      <c r="G109" s="1384"/>
      <c r="H109" s="1384"/>
      <c r="I109" s="1384"/>
      <c r="J109" s="156"/>
      <c r="K109" s="156"/>
      <c r="L109" s="1766"/>
    </row>
    <row r="110" spans="1:12" ht="30">
      <c r="A110" s="1462" t="s">
        <v>45</v>
      </c>
      <c r="B110" s="740" t="s">
        <v>3912</v>
      </c>
      <c r="C110" s="990"/>
      <c r="D110" s="1019"/>
      <c r="E110" s="990"/>
      <c r="F110" s="990"/>
      <c r="G110" s="1384"/>
      <c r="H110" s="1384"/>
      <c r="I110" s="1384"/>
      <c r="J110" s="156"/>
      <c r="K110" s="156"/>
      <c r="L110" s="1766"/>
    </row>
    <row r="111" spans="1:12">
      <c r="A111" s="1462"/>
      <c r="B111" s="990" t="s">
        <v>2515</v>
      </c>
      <c r="C111" s="990"/>
      <c r="D111" s="992">
        <v>13126512.01</v>
      </c>
      <c r="E111" s="990"/>
      <c r="F111" s="990"/>
      <c r="G111" s="1384">
        <v>12945123.939999999</v>
      </c>
      <c r="H111" s="1384"/>
      <c r="I111" s="1384"/>
      <c r="J111" s="156"/>
      <c r="K111" s="156"/>
      <c r="L111" s="1766"/>
    </row>
    <row r="112" spans="1:12">
      <c r="A112" s="1462"/>
      <c r="B112" s="990" t="s">
        <v>3135</v>
      </c>
      <c r="C112" s="990"/>
      <c r="D112" s="992">
        <v>232142.13</v>
      </c>
      <c r="E112" s="990"/>
      <c r="F112" s="990"/>
      <c r="G112" s="1384"/>
      <c r="H112" s="1384"/>
      <c r="I112" s="1384"/>
      <c r="J112" s="156"/>
      <c r="K112" s="156"/>
      <c r="L112" s="1766"/>
    </row>
    <row r="113" spans="1:13">
      <c r="A113" s="1462"/>
      <c r="B113" s="990" t="s">
        <v>1116</v>
      </c>
      <c r="C113" s="990"/>
      <c r="D113" s="992">
        <v>3947113.58</v>
      </c>
      <c r="E113" s="990"/>
      <c r="F113" s="990"/>
      <c r="G113" s="1384">
        <v>3119486.56</v>
      </c>
      <c r="H113" s="1384"/>
      <c r="I113" s="1384"/>
      <c r="J113" s="156"/>
      <c r="K113" s="156"/>
      <c r="L113" s="1766"/>
    </row>
    <row r="114" spans="1:13" ht="16.5" thickBot="1">
      <c r="A114" s="1462" t="s">
        <v>45</v>
      </c>
      <c r="B114" s="990" t="s">
        <v>3139</v>
      </c>
      <c r="C114" s="990"/>
      <c r="D114" s="1237">
        <f>SUM(D111:D113)</f>
        <v>17305767.719999999</v>
      </c>
      <c r="E114" s="990"/>
      <c r="F114" s="990"/>
      <c r="G114" s="1385">
        <f>SUM(G111:G113)</f>
        <v>16064610.5</v>
      </c>
      <c r="H114" s="1386"/>
      <c r="I114" s="1386"/>
      <c r="J114" s="544"/>
      <c r="K114" s="544"/>
      <c r="L114" s="1766"/>
    </row>
    <row r="115" spans="1:13" ht="15.75" thickTop="1">
      <c r="A115" s="1462"/>
      <c r="B115" s="990"/>
      <c r="C115" s="990"/>
      <c r="D115" s="1019"/>
      <c r="E115" s="990"/>
      <c r="F115" s="990"/>
      <c r="G115" s="1384"/>
      <c r="H115" s="1384"/>
      <c r="I115" s="1384"/>
      <c r="J115" s="156"/>
      <c r="K115" s="156"/>
      <c r="L115" s="1766"/>
    </row>
    <row r="116" spans="1:13">
      <c r="A116" s="1462" t="s">
        <v>45</v>
      </c>
      <c r="B116" s="990" t="s">
        <v>3140</v>
      </c>
      <c r="C116" s="990"/>
      <c r="D116" s="1019"/>
      <c r="E116" s="990"/>
      <c r="F116" s="990"/>
      <c r="G116" s="1384"/>
      <c r="H116" s="1384"/>
      <c r="I116" s="1384"/>
      <c r="J116" s="156"/>
      <c r="K116" s="156"/>
      <c r="L116" s="1766"/>
    </row>
    <row r="117" spans="1:13">
      <c r="A117" s="1462"/>
      <c r="B117" s="990" t="s">
        <v>3143</v>
      </c>
      <c r="C117" s="990"/>
      <c r="D117" s="992">
        <f>9171222.83+1693289.24</f>
        <v>10864512.07</v>
      </c>
      <c r="E117" s="990"/>
      <c r="F117" s="990"/>
      <c r="G117" s="1384">
        <v>8796832.5199999996</v>
      </c>
      <c r="H117" s="1384"/>
      <c r="I117" s="1384"/>
      <c r="J117" s="156"/>
      <c r="K117" s="156"/>
      <c r="L117" s="1766"/>
    </row>
    <row r="118" spans="1:13">
      <c r="A118" s="1462"/>
      <c r="B118" s="990" t="s">
        <v>3141</v>
      </c>
      <c r="C118" s="990"/>
      <c r="D118" s="992">
        <v>138449.78</v>
      </c>
      <c r="E118" s="990"/>
      <c r="F118" s="990"/>
      <c r="G118" s="1384">
        <v>89518.27</v>
      </c>
      <c r="H118" s="1384"/>
      <c r="I118" s="1384"/>
      <c r="J118" s="156"/>
      <c r="K118" s="156"/>
      <c r="L118" s="1766"/>
    </row>
    <row r="119" spans="1:13" ht="18">
      <c r="A119" s="1462"/>
      <c r="B119" s="990" t="s">
        <v>3142</v>
      </c>
      <c r="C119" s="990"/>
      <c r="D119" s="992">
        <v>745947.4</v>
      </c>
      <c r="E119" s="990"/>
      <c r="F119" s="990"/>
      <c r="G119" s="1384">
        <v>985350.26</v>
      </c>
      <c r="H119" s="1384"/>
      <c r="I119" s="1384"/>
      <c r="J119" s="156"/>
      <c r="K119" s="156"/>
      <c r="L119" s="1766"/>
      <c r="M119" s="552"/>
    </row>
    <row r="120" spans="1:13" ht="16.5" thickBot="1">
      <c r="A120" s="1462"/>
      <c r="B120" s="990"/>
      <c r="C120" s="990"/>
      <c r="D120" s="1237">
        <f>SUM(D116:D119)</f>
        <v>11748909.25</v>
      </c>
      <c r="E120" s="990"/>
      <c r="F120" s="990"/>
      <c r="G120" s="1387">
        <f>SUM(G116:G119)</f>
        <v>9871701.0499999989</v>
      </c>
      <c r="H120" s="1388"/>
      <c r="I120" s="1388"/>
      <c r="J120" s="1250"/>
      <c r="K120" s="1250"/>
      <c r="L120" s="1766"/>
    </row>
    <row r="121" spans="1:13" ht="15.75" thickTop="1">
      <c r="A121" s="1462"/>
      <c r="B121" s="990"/>
      <c r="C121" s="990"/>
      <c r="D121" s="1019"/>
      <c r="E121" s="990"/>
      <c r="F121" s="990"/>
      <c r="J121" s="155"/>
      <c r="K121" s="155"/>
      <c r="L121" s="1766"/>
    </row>
    <row r="122" spans="1:13" ht="15.75">
      <c r="A122" s="1462"/>
      <c r="B122" s="1345" t="s">
        <v>3913</v>
      </c>
      <c r="C122" s="990"/>
      <c r="D122" s="1019">
        <v>276570.46000000002</v>
      </c>
      <c r="E122" s="1019"/>
      <c r="F122" s="1019"/>
      <c r="G122" s="1019">
        <v>2979499.02</v>
      </c>
      <c r="H122" s="1019"/>
      <c r="I122" s="1019"/>
      <c r="J122" s="908"/>
      <c r="K122" s="1251"/>
      <c r="L122" s="1766"/>
    </row>
    <row r="123" spans="1:13">
      <c r="A123" s="1462"/>
      <c r="B123" s="990"/>
      <c r="C123" s="990"/>
      <c r="D123" s="1019"/>
      <c r="E123" s="1019"/>
      <c r="F123" s="1019"/>
      <c r="G123" s="1019"/>
      <c r="H123" s="1019"/>
      <c r="I123" s="1019"/>
      <c r="J123" s="908"/>
      <c r="K123" s="908"/>
      <c r="L123" s="1766"/>
    </row>
    <row r="124" spans="1:13" ht="42.75">
      <c r="A124" s="1462"/>
      <c r="B124" s="1345" t="s">
        <v>3317</v>
      </c>
      <c r="C124" s="990"/>
      <c r="D124" s="1019">
        <f>'Note 16, 17'!D15</f>
        <v>9205542.7000000104</v>
      </c>
      <c r="E124" s="1019"/>
      <c r="F124" s="1019"/>
      <c r="G124" s="1019">
        <v>5253981.1399999997</v>
      </c>
      <c r="H124" s="1019"/>
      <c r="I124" s="1019"/>
      <c r="J124" s="908"/>
      <c r="K124" s="908"/>
      <c r="L124" s="1766"/>
    </row>
    <row r="125" spans="1:13">
      <c r="A125" s="1462"/>
      <c r="B125" s="990"/>
      <c r="C125" s="990"/>
      <c r="D125" s="1019"/>
      <c r="E125" s="1019"/>
      <c r="F125" s="1019"/>
      <c r="G125" s="1019"/>
      <c r="H125" s="1019"/>
      <c r="I125" s="1019"/>
      <c r="J125" s="908"/>
      <c r="K125" s="908"/>
      <c r="L125" s="1766"/>
    </row>
    <row r="126" spans="1:13">
      <c r="A126" s="1462"/>
      <c r="B126" s="990" t="s">
        <v>3914</v>
      </c>
      <c r="C126" s="990"/>
      <c r="D126" s="1019">
        <v>152625</v>
      </c>
      <c r="E126" s="1019"/>
      <c r="F126" s="1019"/>
      <c r="G126" s="1019">
        <v>833934.38</v>
      </c>
      <c r="H126" s="1019"/>
      <c r="I126" s="1019"/>
      <c r="J126" s="908"/>
      <c r="K126" s="908"/>
      <c r="L126" s="1766"/>
    </row>
    <row r="127" spans="1:13">
      <c r="A127" s="1462"/>
      <c r="B127" s="990"/>
      <c r="C127" s="990"/>
      <c r="D127" s="1019"/>
      <c r="E127" s="1019"/>
      <c r="F127" s="1019"/>
      <c r="G127" s="1019"/>
      <c r="H127" s="1019"/>
      <c r="I127" s="1019"/>
      <c r="J127" s="908"/>
      <c r="K127" s="908"/>
      <c r="L127" s="1766"/>
    </row>
    <row r="128" spans="1:13" ht="42.75">
      <c r="A128" s="1462"/>
      <c r="B128" s="1345" t="s">
        <v>3915</v>
      </c>
      <c r="C128" s="990"/>
      <c r="D128" s="1019">
        <v>1624846</v>
      </c>
      <c r="E128" s="1019"/>
      <c r="F128" s="1019"/>
      <c r="G128" s="1019">
        <v>1620698.77</v>
      </c>
      <c r="H128" s="1019"/>
      <c r="I128" s="1019"/>
      <c r="J128" s="908"/>
      <c r="K128" s="1251"/>
      <c r="L128" s="1766"/>
    </row>
    <row r="129" spans="1:12">
      <c r="A129" s="1462"/>
      <c r="B129" s="990"/>
      <c r="C129" s="990"/>
      <c r="D129" s="1019"/>
      <c r="E129" s="1019"/>
      <c r="F129" s="1019"/>
      <c r="G129" s="1019"/>
      <c r="H129" s="1019"/>
      <c r="I129" s="1019"/>
      <c r="J129" s="908"/>
      <c r="K129" s="908"/>
      <c r="L129" s="1766"/>
    </row>
    <row r="130" spans="1:12" ht="15.75">
      <c r="A130" s="1462"/>
      <c r="B130" s="990" t="s">
        <v>3316</v>
      </c>
      <c r="C130" s="990"/>
      <c r="D130" s="1019">
        <v>533099.97</v>
      </c>
      <c r="E130" s="1019"/>
      <c r="F130" s="1019"/>
      <c r="G130" s="1019">
        <v>373144.24</v>
      </c>
      <c r="H130" s="1019"/>
      <c r="I130" s="1019"/>
      <c r="J130" s="908"/>
      <c r="K130" s="1251"/>
      <c r="L130" s="1766"/>
    </row>
    <row r="131" spans="1:12" ht="15.75">
      <c r="A131" s="1462"/>
      <c r="B131" s="990"/>
      <c r="C131" s="990"/>
      <c r="D131" s="1019"/>
      <c r="E131" s="1019"/>
      <c r="F131" s="1019"/>
      <c r="G131" s="1019"/>
      <c r="H131" s="1019"/>
      <c r="I131" s="1019"/>
      <c r="J131" s="908"/>
      <c r="K131" s="1251"/>
      <c r="L131" s="1766"/>
    </row>
    <row r="132" spans="1:12" ht="15.75">
      <c r="A132" s="1462"/>
      <c r="B132" s="1345" t="s">
        <v>3916</v>
      </c>
      <c r="C132" s="990"/>
      <c r="D132" s="1019">
        <v>4563897.12</v>
      </c>
      <c r="E132" s="1019"/>
      <c r="F132" s="1019"/>
      <c r="G132" s="1019">
        <v>4412329.9400000004</v>
      </c>
      <c r="H132" s="1019"/>
      <c r="I132" s="1019"/>
      <c r="J132" s="908"/>
      <c r="K132" s="1251"/>
      <c r="L132" s="1766"/>
    </row>
    <row r="133" spans="1:12" ht="15.75">
      <c r="A133" s="1462"/>
      <c r="B133" s="990"/>
      <c r="C133" s="990"/>
      <c r="D133" s="1019"/>
      <c r="E133" s="1019"/>
      <c r="F133" s="1019"/>
      <c r="G133" s="1019"/>
      <c r="H133" s="1019"/>
      <c r="I133" s="1019"/>
      <c r="J133" s="908"/>
      <c r="K133" s="1251"/>
      <c r="L133" s="1766"/>
    </row>
    <row r="134" spans="1:12" ht="15.75">
      <c r="A134" s="1462"/>
      <c r="B134" s="990" t="s">
        <v>3318</v>
      </c>
      <c r="C134" s="990"/>
      <c r="D134" s="1019">
        <v>884966.77</v>
      </c>
      <c r="E134" s="1019"/>
      <c r="F134" s="1019"/>
      <c r="G134" s="1019">
        <v>64893.06</v>
      </c>
      <c r="H134" s="1019"/>
      <c r="I134" s="1019"/>
      <c r="J134" s="908"/>
      <c r="K134" s="1251"/>
      <c r="L134" s="1766"/>
    </row>
    <row r="135" spans="1:12" ht="15.75">
      <c r="A135" s="1462"/>
      <c r="B135" s="990"/>
      <c r="C135" s="990"/>
      <c r="D135" s="1019"/>
      <c r="E135" s="1019"/>
      <c r="F135" s="1019"/>
      <c r="G135" s="1019"/>
      <c r="H135" s="1019"/>
      <c r="I135" s="1019"/>
      <c r="J135" s="908"/>
      <c r="K135" s="1251"/>
      <c r="L135" s="1766"/>
    </row>
    <row r="136" spans="1:12" ht="42.75">
      <c r="A136" s="1462"/>
      <c r="B136" s="1345" t="s">
        <v>3338</v>
      </c>
      <c r="C136" s="990"/>
      <c r="D136" s="1019">
        <v>0</v>
      </c>
      <c r="E136" s="1019"/>
      <c r="F136" s="1019"/>
      <c r="G136" s="1019">
        <v>0</v>
      </c>
      <c r="H136" s="1019"/>
      <c r="I136" s="1019"/>
      <c r="J136" s="908"/>
      <c r="K136" s="1251"/>
      <c r="L136" s="1766"/>
    </row>
    <row r="137" spans="1:12" ht="15.75">
      <c r="A137" s="1462"/>
      <c r="B137" s="990"/>
      <c r="C137" s="990"/>
      <c r="D137" s="1019"/>
      <c r="E137" s="1019"/>
      <c r="F137" s="1019"/>
      <c r="G137" s="1019"/>
      <c r="H137" s="1019"/>
      <c r="I137" s="1019"/>
      <c r="J137" s="908"/>
      <c r="K137" s="1251"/>
      <c r="L137" s="1766"/>
    </row>
    <row r="138" spans="1:12" ht="15.75">
      <c r="A138" s="1462"/>
      <c r="B138" s="990" t="s">
        <v>3346</v>
      </c>
      <c r="C138" s="990"/>
      <c r="D138" s="1019">
        <v>507428.26</v>
      </c>
      <c r="E138" s="1019"/>
      <c r="F138" s="1019"/>
      <c r="G138" s="1019">
        <v>42893.71</v>
      </c>
      <c r="H138" s="1019"/>
      <c r="I138" s="1019"/>
      <c r="J138" s="908"/>
      <c r="K138" s="1251"/>
      <c r="L138" s="1766"/>
    </row>
    <row r="139" spans="1:12" ht="15.75">
      <c r="A139" s="1462"/>
      <c r="B139" s="990"/>
      <c r="C139" s="990"/>
      <c r="D139" s="1019"/>
      <c r="E139" s="1019"/>
      <c r="F139" s="1019"/>
      <c r="G139" s="1019"/>
      <c r="H139" s="1019"/>
      <c r="I139" s="1019"/>
      <c r="J139" s="908"/>
      <c r="K139" s="1251"/>
      <c r="L139" s="1766"/>
    </row>
    <row r="140" spans="1:12" ht="15.75">
      <c r="A140" s="1765">
        <v>43</v>
      </c>
      <c r="B140" s="987" t="s">
        <v>3024</v>
      </c>
      <c r="C140" s="990"/>
      <c r="D140" s="1029" t="s">
        <v>3484</v>
      </c>
      <c r="E140" s="990"/>
      <c r="F140" s="990"/>
      <c r="G140" s="1029" t="s">
        <v>2651</v>
      </c>
      <c r="H140" s="1234"/>
      <c r="I140" s="1234"/>
      <c r="J140" s="1246"/>
      <c r="L140" s="1766"/>
    </row>
    <row r="141" spans="1:12">
      <c r="A141" s="1765"/>
      <c r="B141" s="990"/>
      <c r="C141" s="990"/>
      <c r="D141" s="1024" t="s">
        <v>2422</v>
      </c>
      <c r="E141" s="1019"/>
      <c r="F141" s="1019"/>
      <c r="G141" s="1024" t="s">
        <v>2422</v>
      </c>
      <c r="H141" s="1024"/>
      <c r="I141" s="1024"/>
      <c r="J141" s="1024"/>
      <c r="L141" s="1766"/>
    </row>
    <row r="142" spans="1:12">
      <c r="A142" s="1765"/>
      <c r="B142" s="990" t="s">
        <v>3025</v>
      </c>
      <c r="C142" s="990"/>
      <c r="D142" s="1019">
        <v>0</v>
      </c>
      <c r="E142" s="1019"/>
      <c r="F142" s="1019"/>
      <c r="G142" s="1019">
        <v>124032.47</v>
      </c>
      <c r="H142" s="1019"/>
      <c r="I142" s="1019"/>
      <c r="J142" s="1019"/>
      <c r="L142" s="1766"/>
    </row>
    <row r="143" spans="1:12">
      <c r="A143" s="1765"/>
      <c r="B143" s="990" t="s">
        <v>3340</v>
      </c>
      <c r="C143" s="990"/>
      <c r="D143" s="1019">
        <v>73145.98</v>
      </c>
      <c r="E143" s="1019"/>
      <c r="F143" s="1019"/>
      <c r="G143" s="1019">
        <v>26217.75</v>
      </c>
      <c r="H143" s="1019"/>
      <c r="I143" s="1019"/>
      <c r="J143" s="1019"/>
      <c r="L143" s="1766"/>
    </row>
    <row r="144" spans="1:12">
      <c r="A144" s="1765"/>
      <c r="B144" s="990"/>
      <c r="C144" s="990"/>
      <c r="D144" s="1239">
        <f>SUM(D142:D143)</f>
        <v>73145.98</v>
      </c>
      <c r="E144" s="1019"/>
      <c r="F144" s="1019"/>
      <c r="G144" s="1239">
        <f>SUM(G142:G143)</f>
        <v>150250.22</v>
      </c>
      <c r="H144" s="1019"/>
      <c r="I144" s="1019"/>
      <c r="J144" s="1019"/>
      <c r="L144" s="1766"/>
    </row>
    <row r="145" spans="1:16">
      <c r="A145" s="1765"/>
      <c r="B145" s="990"/>
      <c r="C145" s="990"/>
      <c r="D145" s="1019"/>
      <c r="E145" s="1019"/>
      <c r="F145" s="1019"/>
      <c r="G145" s="1019"/>
      <c r="H145" s="1019"/>
      <c r="I145" s="1019"/>
      <c r="J145" s="1019"/>
      <c r="L145" s="1766"/>
    </row>
    <row r="146" spans="1:16">
      <c r="A146" s="1765">
        <v>44</v>
      </c>
      <c r="B146" s="987" t="s">
        <v>3030</v>
      </c>
      <c r="C146" s="990"/>
      <c r="D146" s="1019"/>
      <c r="E146" s="1019"/>
      <c r="F146" s="1019"/>
      <c r="G146" s="1019"/>
      <c r="H146" s="1019"/>
      <c r="I146" s="1019"/>
      <c r="J146" s="1019"/>
      <c r="L146" s="1766"/>
    </row>
    <row r="147" spans="1:16">
      <c r="A147" s="1765"/>
      <c r="B147" s="990"/>
      <c r="C147" s="990"/>
      <c r="D147" s="1019"/>
      <c r="E147" s="1019"/>
      <c r="F147" s="1019"/>
      <c r="G147" s="1019"/>
      <c r="H147" s="1019"/>
      <c r="I147" s="1019"/>
      <c r="J147" s="1019"/>
      <c r="L147" s="1766"/>
    </row>
    <row r="148" spans="1:16">
      <c r="A148" s="1765"/>
      <c r="B148" s="990" t="s">
        <v>3917</v>
      </c>
      <c r="C148" s="990"/>
      <c r="D148" s="1019"/>
      <c r="E148" s="1019"/>
      <c r="F148" s="1019"/>
      <c r="G148" s="1019"/>
      <c r="H148" s="1019"/>
      <c r="I148" s="1019"/>
      <c r="J148" s="1019"/>
      <c r="L148" s="1766"/>
    </row>
    <row r="149" spans="1:16">
      <c r="A149" s="1765"/>
      <c r="B149" s="990"/>
      <c r="C149" s="990"/>
      <c r="D149" s="1019"/>
      <c r="E149" s="1019"/>
      <c r="F149" s="1019"/>
      <c r="G149" s="1019"/>
      <c r="H149" s="1019"/>
      <c r="I149" s="1019"/>
      <c r="J149" s="1019"/>
      <c r="L149" s="1766"/>
    </row>
    <row r="150" spans="1:16">
      <c r="A150" s="1765"/>
      <c r="B150" s="990" t="s">
        <v>3031</v>
      </c>
      <c r="C150" s="990"/>
      <c r="D150" s="1019">
        <v>5830</v>
      </c>
      <c r="E150" s="1019"/>
      <c r="F150" s="1019"/>
      <c r="G150" s="1019">
        <v>830</v>
      </c>
      <c r="H150" s="1019"/>
      <c r="I150" s="1019"/>
      <c r="J150" s="1019"/>
      <c r="L150" s="1766"/>
    </row>
    <row r="151" spans="1:16">
      <c r="A151" s="1765"/>
      <c r="B151" s="990" t="s">
        <v>3032</v>
      </c>
      <c r="C151" s="990"/>
      <c r="D151" s="1019">
        <v>0</v>
      </c>
      <c r="E151" s="1019"/>
      <c r="F151" s="1019"/>
      <c r="G151" s="1019">
        <v>960</v>
      </c>
      <c r="H151" s="1019"/>
      <c r="I151" s="1019"/>
      <c r="J151" s="1019"/>
      <c r="L151" s="1766"/>
    </row>
    <row r="152" spans="1:16">
      <c r="A152" s="1765"/>
      <c r="B152" s="990" t="s">
        <v>3033</v>
      </c>
      <c r="C152" s="990"/>
      <c r="D152" s="1019">
        <v>0</v>
      </c>
      <c r="E152" s="1019"/>
      <c r="F152" s="1019"/>
      <c r="G152" s="1019">
        <v>60</v>
      </c>
      <c r="H152" s="1019"/>
      <c r="I152" s="1019"/>
      <c r="J152" s="1019"/>
      <c r="L152" s="1766"/>
    </row>
    <row r="153" spans="1:16">
      <c r="A153" s="1765"/>
      <c r="B153" s="990" t="s">
        <v>3034</v>
      </c>
      <c r="C153" s="990"/>
      <c r="D153" s="1019">
        <v>180</v>
      </c>
      <c r="E153" s="1019"/>
      <c r="F153" s="1019"/>
      <c r="G153" s="1019">
        <v>1260</v>
      </c>
      <c r="H153" s="1019"/>
      <c r="I153" s="1019"/>
      <c r="J153" s="1019"/>
      <c r="L153" s="1766"/>
    </row>
    <row r="154" spans="1:16">
      <c r="A154" s="1765"/>
      <c r="B154" s="990" t="s">
        <v>3035</v>
      </c>
      <c r="C154" s="990"/>
      <c r="D154" s="1019">
        <v>15100</v>
      </c>
      <c r="E154" s="1019"/>
      <c r="F154" s="1019"/>
      <c r="G154" s="1019">
        <v>7930</v>
      </c>
      <c r="H154" s="1019"/>
      <c r="I154" s="1019"/>
      <c r="J154" s="1019"/>
      <c r="L154" s="1766"/>
    </row>
    <row r="155" spans="1:16">
      <c r="A155" s="1765"/>
      <c r="B155" s="990" t="s">
        <v>3036</v>
      </c>
      <c r="C155" s="990"/>
      <c r="D155" s="1019">
        <v>1530</v>
      </c>
      <c r="E155" s="1019"/>
      <c r="F155" s="1019"/>
      <c r="G155" s="1019">
        <v>14510</v>
      </c>
      <c r="H155" s="1019"/>
      <c r="I155" s="1019"/>
      <c r="J155" s="1019"/>
      <c r="L155" s="1766"/>
    </row>
    <row r="156" spans="1:16" ht="15.75" thickBot="1">
      <c r="A156" s="1765"/>
      <c r="B156" s="990"/>
      <c r="C156" s="990"/>
      <c r="D156" s="1235">
        <f>SUM(D150:D155)</f>
        <v>22640</v>
      </c>
      <c r="E156" s="1019"/>
      <c r="F156" s="1019"/>
      <c r="G156" s="1235">
        <f>SUM(G150:G155)</f>
        <v>25550</v>
      </c>
      <c r="H156" s="1019"/>
      <c r="I156" s="1019"/>
      <c r="J156" s="1019"/>
      <c r="L156" s="1766"/>
    </row>
    <row r="157" spans="1:16" ht="15.75" thickTop="1">
      <c r="A157" s="1765"/>
      <c r="B157" s="990"/>
      <c r="C157" s="990"/>
      <c r="D157" s="1019"/>
      <c r="E157" s="990"/>
      <c r="F157" s="990"/>
      <c r="L157" s="1766"/>
    </row>
    <row r="158" spans="1:16">
      <c r="A158" s="1765">
        <v>45</v>
      </c>
      <c r="B158" s="987" t="s">
        <v>3368</v>
      </c>
      <c r="C158" s="990"/>
      <c r="D158" s="1019"/>
      <c r="E158" s="990"/>
      <c r="F158" s="990"/>
      <c r="L158" s="1766"/>
    </row>
    <row r="159" spans="1:16" ht="15.75">
      <c r="A159" s="1765"/>
      <c r="B159" s="1245"/>
      <c r="C159" s="990"/>
      <c r="D159" s="1029" t="s">
        <v>3484</v>
      </c>
      <c r="E159" s="990"/>
      <c r="F159" s="990"/>
      <c r="G159" s="1029" t="s">
        <v>2651</v>
      </c>
      <c r="H159" s="1234"/>
      <c r="I159" s="1234"/>
      <c r="J159" s="1246"/>
      <c r="L159" s="1766"/>
    </row>
    <row r="160" spans="1:16" s="1318" customFormat="1" ht="15.75">
      <c r="A160" s="1765"/>
      <c r="B160" s="1245"/>
      <c r="C160" s="990"/>
      <c r="D160" s="1234"/>
      <c r="E160" s="990"/>
      <c r="F160" s="990"/>
      <c r="G160" s="1234"/>
      <c r="H160" s="1234"/>
      <c r="I160" s="1234"/>
      <c r="J160" s="1246"/>
      <c r="K160" s="1019"/>
      <c r="L160" s="1766"/>
      <c r="M160" s="990"/>
      <c r="N160" s="1229"/>
      <c r="O160" s="1229"/>
      <c r="P160" s="1229"/>
    </row>
    <row r="161" spans="1:16" ht="15.75">
      <c r="A161" s="1765"/>
      <c r="B161" s="1344" t="s">
        <v>498</v>
      </c>
      <c r="C161" s="990"/>
      <c r="D161" s="1234">
        <f>G162</f>
        <v>4955625.2200000007</v>
      </c>
      <c r="E161" s="990"/>
      <c r="F161" s="990"/>
      <c r="G161" s="1234"/>
      <c r="H161" s="1234"/>
      <c r="I161" s="1234"/>
      <c r="J161" s="1246"/>
      <c r="L161" s="1766"/>
    </row>
    <row r="162" spans="1:16">
      <c r="A162" s="1765"/>
      <c r="B162" s="1231" t="s">
        <v>3990</v>
      </c>
      <c r="C162" s="990"/>
      <c r="D162" s="1247">
        <v>3448928</v>
      </c>
      <c r="E162" s="990"/>
      <c r="F162" s="990"/>
      <c r="G162" s="1247">
        <f>'Notes 2 - 9'!H162</f>
        <v>4955625.2200000007</v>
      </c>
      <c r="H162" s="1019"/>
      <c r="I162" s="1019"/>
      <c r="J162" s="1019"/>
      <c r="L162" s="1766"/>
    </row>
    <row r="163" spans="1:16" s="1318" customFormat="1">
      <c r="A163" s="1765"/>
      <c r="B163" s="1345" t="s">
        <v>798</v>
      </c>
      <c r="C163" s="990"/>
      <c r="D163" s="1248">
        <v>600000</v>
      </c>
      <c r="E163" s="990"/>
      <c r="F163" s="990"/>
      <c r="G163" s="1248"/>
      <c r="H163" s="1019"/>
      <c r="I163" s="1019"/>
      <c r="J163" s="1019"/>
      <c r="K163" s="1019"/>
      <c r="L163" s="1766"/>
      <c r="M163" s="990"/>
      <c r="N163" s="1229"/>
      <c r="O163" s="1229"/>
      <c r="P163" s="1229"/>
    </row>
    <row r="164" spans="1:16" s="1318" customFormat="1">
      <c r="A164" s="1765"/>
      <c r="B164" s="1345"/>
      <c r="C164" s="990"/>
      <c r="D164" s="1249"/>
      <c r="E164" s="990"/>
      <c r="F164" s="990"/>
      <c r="G164" s="1249"/>
      <c r="H164" s="1019"/>
      <c r="I164" s="1019"/>
      <c r="J164" s="1019"/>
      <c r="K164" s="1019"/>
      <c r="L164" s="1766"/>
      <c r="M164" s="990"/>
      <c r="N164" s="1229"/>
      <c r="O164" s="1229"/>
      <c r="P164" s="1229"/>
    </row>
    <row r="165" spans="1:16" s="1318" customFormat="1">
      <c r="A165" s="1765"/>
      <c r="B165" s="1345"/>
      <c r="C165" s="990"/>
      <c r="D165" s="1019"/>
      <c r="E165" s="990"/>
      <c r="F165" s="990"/>
      <c r="G165" s="1019"/>
      <c r="H165" s="1019"/>
      <c r="I165" s="1019"/>
      <c r="J165" s="1019"/>
      <c r="K165" s="1019"/>
      <c r="L165" s="1766"/>
      <c r="M165" s="990"/>
      <c r="N165" s="1229"/>
      <c r="O165" s="1229"/>
      <c r="P165" s="1229"/>
    </row>
    <row r="166" spans="1:16" s="1318" customFormat="1" ht="15.75" thickBot="1">
      <c r="A166" s="1765"/>
      <c r="B166" s="1259" t="s">
        <v>3989</v>
      </c>
      <c r="C166" s="990"/>
      <c r="D166" s="1237">
        <f>SUM(D161:D163)</f>
        <v>9004553.2200000007</v>
      </c>
      <c r="E166" s="990"/>
      <c r="F166" s="990"/>
      <c r="G166" s="1237">
        <f>SUM(G162:G165)</f>
        <v>4955625.2200000007</v>
      </c>
      <c r="H166" s="1019"/>
      <c r="I166" s="1019"/>
      <c r="J166" s="1019"/>
      <c r="K166" s="1019"/>
      <c r="L166" s="1766"/>
      <c r="M166" s="990"/>
      <c r="N166" s="1229"/>
      <c r="O166" s="1229"/>
      <c r="P166" s="1229"/>
    </row>
    <row r="167" spans="1:16" s="1318" customFormat="1" ht="72" thickTop="1">
      <c r="A167" s="1765"/>
      <c r="B167" s="1231" t="s">
        <v>3964</v>
      </c>
      <c r="C167" s="990"/>
      <c r="D167" s="1031"/>
      <c r="E167" s="990"/>
      <c r="F167" s="990"/>
      <c r="G167" s="1019"/>
      <c r="H167" s="1019"/>
      <c r="I167" s="1019"/>
      <c r="J167" s="1019"/>
      <c r="K167" s="1019"/>
      <c r="L167" s="1766"/>
      <c r="M167" s="990"/>
      <c r="N167" s="1229"/>
      <c r="O167" s="1229"/>
      <c r="P167" s="1229"/>
    </row>
    <row r="168" spans="1:16" s="1318" customFormat="1">
      <c r="A168" s="1765"/>
      <c r="B168" s="1231"/>
      <c r="C168" s="990"/>
      <c r="D168" s="1031"/>
      <c r="E168" s="990"/>
      <c r="F168" s="990"/>
      <c r="G168" s="1019"/>
      <c r="H168" s="1019"/>
      <c r="I168" s="1019"/>
      <c r="J168" s="1019"/>
      <c r="K168" s="1019"/>
      <c r="L168" s="1766"/>
      <c r="M168" s="990"/>
      <c r="N168" s="1229"/>
      <c r="O168" s="1229"/>
      <c r="P168" s="1229"/>
    </row>
    <row r="169" spans="1:16" s="1318" customFormat="1">
      <c r="A169" s="1765"/>
      <c r="B169" s="1344" t="s">
        <v>498</v>
      </c>
      <c r="C169" s="990"/>
      <c r="D169" s="1031">
        <v>0</v>
      </c>
      <c r="E169" s="990"/>
      <c r="F169" s="990"/>
      <c r="G169" s="1019"/>
      <c r="H169" s="1019"/>
      <c r="I169" s="1019"/>
      <c r="J169" s="1019"/>
      <c r="K169" s="1019"/>
      <c r="L169" s="1766"/>
      <c r="M169" s="990"/>
      <c r="N169" s="1229"/>
      <c r="O169" s="1229"/>
      <c r="P169" s="1229"/>
    </row>
    <row r="170" spans="1:16" s="1318" customFormat="1">
      <c r="A170" s="1765"/>
      <c r="B170" s="1344" t="s">
        <v>3993</v>
      </c>
      <c r="C170" s="990"/>
      <c r="D170" s="1247">
        <v>249660</v>
      </c>
      <c r="E170" s="990"/>
      <c r="F170" s="990"/>
      <c r="G170" s="1247"/>
      <c r="H170" s="1019"/>
      <c r="I170" s="1019"/>
      <c r="J170" s="1019"/>
      <c r="K170" s="1019"/>
      <c r="L170" s="1766"/>
      <c r="M170" s="990"/>
      <c r="N170" s="1229"/>
      <c r="O170" s="1229"/>
      <c r="P170" s="1229"/>
    </row>
    <row r="171" spans="1:16" s="1318" customFormat="1">
      <c r="A171" s="1765"/>
      <c r="B171" s="1344" t="s">
        <v>3994</v>
      </c>
      <c r="C171" s="990"/>
      <c r="D171" s="1248">
        <v>350000</v>
      </c>
      <c r="E171" s="990"/>
      <c r="F171" s="990"/>
      <c r="G171" s="1248"/>
      <c r="H171" s="1019"/>
      <c r="I171" s="1019"/>
      <c r="J171" s="1019"/>
      <c r="K171" s="1019"/>
      <c r="L171" s="1766"/>
      <c r="M171" s="990"/>
      <c r="N171" s="1229"/>
      <c r="O171" s="1229"/>
      <c r="P171" s="1229"/>
    </row>
    <row r="172" spans="1:16">
      <c r="A172" s="1765"/>
      <c r="B172" s="1372" t="s">
        <v>3979</v>
      </c>
      <c r="C172" s="1389"/>
      <c r="D172" s="1248">
        <v>144248.54</v>
      </c>
      <c r="E172" s="990"/>
      <c r="F172" s="990"/>
      <c r="G172" s="1248"/>
      <c r="H172" s="1019"/>
      <c r="I172" s="1019"/>
      <c r="J172" s="1019"/>
      <c r="L172" s="1766"/>
    </row>
    <row r="173" spans="1:16" s="1318" customFormat="1">
      <c r="A173" s="1765"/>
      <c r="B173" s="1372" t="s">
        <v>3635</v>
      </c>
      <c r="C173" s="1389"/>
      <c r="D173" s="1248">
        <v>34731.279999999999</v>
      </c>
      <c r="E173" s="990"/>
      <c r="F173" s="990"/>
      <c r="G173" s="1248"/>
      <c r="H173" s="1019"/>
      <c r="I173" s="1019"/>
      <c r="J173" s="1019"/>
      <c r="K173" s="1019"/>
      <c r="L173" s="1766"/>
      <c r="M173" s="990"/>
      <c r="N173" s="1229"/>
      <c r="O173" s="1229"/>
      <c r="P173" s="1229"/>
    </row>
    <row r="174" spans="1:16" s="1318" customFormat="1">
      <c r="A174" s="1765"/>
      <c r="B174" s="1372" t="s">
        <v>3982</v>
      </c>
      <c r="C174" s="1389"/>
      <c r="D174" s="1248">
        <v>29636.58</v>
      </c>
      <c r="E174" s="990"/>
      <c r="F174" s="990"/>
      <c r="G174" s="1248"/>
      <c r="H174" s="1019"/>
      <c r="I174" s="1019"/>
      <c r="J174" s="1019"/>
      <c r="K174" s="1019"/>
      <c r="L174" s="1766"/>
      <c r="M174" s="990"/>
      <c r="N174" s="1229"/>
      <c r="O174" s="1229"/>
      <c r="P174" s="1229"/>
    </row>
    <row r="175" spans="1:16" s="1318" customFormat="1">
      <c r="A175" s="1765"/>
      <c r="B175" s="1372" t="s">
        <v>3972</v>
      </c>
      <c r="C175" s="1389"/>
      <c r="D175" s="1248">
        <v>192202</v>
      </c>
      <c r="E175" s="990"/>
      <c r="F175" s="990"/>
      <c r="G175" s="1248"/>
      <c r="H175" s="1019"/>
      <c r="I175" s="1019"/>
      <c r="J175" s="1019"/>
      <c r="K175" s="1019"/>
      <c r="L175" s="1766"/>
      <c r="M175" s="990"/>
      <c r="N175" s="1229"/>
      <c r="O175" s="1229"/>
      <c r="P175" s="1229"/>
    </row>
    <row r="176" spans="1:16" s="1318" customFormat="1">
      <c r="A176" s="1765"/>
      <c r="B176" s="1372" t="s">
        <v>3973</v>
      </c>
      <c r="C176" s="1389"/>
      <c r="D176" s="1248">
        <v>140000</v>
      </c>
      <c r="E176" s="990"/>
      <c r="F176" s="990"/>
      <c r="G176" s="1248"/>
      <c r="H176" s="1019"/>
      <c r="I176" s="1019"/>
      <c r="J176" s="1019"/>
      <c r="K176" s="1019"/>
      <c r="L176" s="1766"/>
      <c r="M176" s="990"/>
      <c r="N176" s="1229"/>
      <c r="O176" s="1229"/>
      <c r="P176" s="1229"/>
    </row>
    <row r="177" spans="1:16" s="1318" customFormat="1">
      <c r="A177" s="1765"/>
      <c r="B177" s="1231"/>
      <c r="C177" s="990"/>
      <c r="D177" s="1249">
        <v>0</v>
      </c>
      <c r="E177" s="990"/>
      <c r="F177" s="990"/>
      <c r="G177" s="1249"/>
      <c r="H177" s="1019"/>
      <c r="I177" s="1019"/>
      <c r="J177" s="1019"/>
      <c r="K177" s="1019"/>
      <c r="L177" s="1766"/>
      <c r="M177" s="990"/>
      <c r="N177" s="1229"/>
      <c r="O177" s="1229"/>
      <c r="P177" s="1229"/>
    </row>
    <row r="178" spans="1:16" s="1318" customFormat="1">
      <c r="A178" s="1765"/>
      <c r="B178" s="1231"/>
      <c r="C178" s="990"/>
      <c r="D178" s="1019"/>
      <c r="E178" s="990"/>
      <c r="F178" s="990"/>
      <c r="G178" s="1019"/>
      <c r="H178" s="1019"/>
      <c r="I178" s="1019"/>
      <c r="J178" s="1019"/>
      <c r="K178" s="1019"/>
      <c r="L178" s="1766"/>
      <c r="M178" s="990"/>
      <c r="N178" s="1229"/>
      <c r="O178" s="1229"/>
      <c r="P178" s="1229"/>
    </row>
    <row r="179" spans="1:16" s="1318" customFormat="1" ht="15.75" thickBot="1">
      <c r="A179" s="1765"/>
      <c r="B179" s="1259" t="s">
        <v>3989</v>
      </c>
      <c r="C179" s="990"/>
      <c r="D179" s="1237">
        <f>SUM(D169:D178)</f>
        <v>1140478.3999999999</v>
      </c>
      <c r="E179" s="990"/>
      <c r="F179" s="990"/>
      <c r="G179" s="1235"/>
      <c r="H179" s="1019"/>
      <c r="I179" s="1019"/>
      <c r="J179" s="1019"/>
      <c r="K179" s="1019"/>
      <c r="L179" s="1766"/>
      <c r="M179" s="990"/>
      <c r="N179" s="1229"/>
      <c r="O179" s="1229"/>
      <c r="P179" s="1229"/>
    </row>
    <row r="180" spans="1:16" s="1318" customFormat="1" ht="100.5" thickTop="1">
      <c r="A180" s="1765"/>
      <c r="B180" s="1231" t="s">
        <v>3966</v>
      </c>
      <c r="C180" s="990"/>
      <c r="D180" s="1019"/>
      <c r="E180" s="990"/>
      <c r="F180" s="990"/>
      <c r="G180" s="1019"/>
      <c r="H180" s="1019"/>
      <c r="I180" s="1019"/>
      <c r="J180" s="1019"/>
      <c r="K180" s="1019"/>
      <c r="L180" s="1766"/>
      <c r="M180" s="990"/>
      <c r="N180" s="1229"/>
      <c r="O180" s="1229"/>
      <c r="P180" s="1229"/>
    </row>
    <row r="181" spans="1:16" s="1318" customFormat="1">
      <c r="A181" s="1765"/>
      <c r="B181" s="1231"/>
      <c r="C181" s="990"/>
      <c r="D181" s="1019"/>
      <c r="E181" s="990"/>
      <c r="F181" s="990"/>
      <c r="G181" s="1019"/>
      <c r="H181" s="1019"/>
      <c r="I181" s="1019"/>
      <c r="J181" s="1019"/>
      <c r="K181" s="1019"/>
      <c r="L181" s="1766"/>
      <c r="M181" s="990"/>
      <c r="N181" s="1229"/>
      <c r="O181" s="1229"/>
      <c r="P181" s="1229"/>
    </row>
    <row r="182" spans="1:16" s="1318" customFormat="1">
      <c r="A182" s="1765"/>
      <c r="B182" s="1344" t="s">
        <v>498</v>
      </c>
      <c r="C182" s="990"/>
      <c r="D182" s="1019">
        <v>0</v>
      </c>
      <c r="E182" s="990"/>
      <c r="F182" s="990"/>
      <c r="G182" s="1019"/>
      <c r="H182" s="1019"/>
      <c r="I182" s="1019"/>
      <c r="J182" s="1019"/>
      <c r="K182" s="1019"/>
      <c r="L182" s="1766"/>
      <c r="M182" s="990"/>
      <c r="N182" s="1229"/>
      <c r="O182" s="1229"/>
      <c r="P182" s="1229"/>
    </row>
    <row r="183" spans="1:16" s="1318" customFormat="1">
      <c r="A183" s="1765"/>
      <c r="B183" s="1372" t="s">
        <v>3974</v>
      </c>
      <c r="C183" s="1389"/>
      <c r="D183" s="1247">
        <v>452880</v>
      </c>
      <c r="E183" s="990"/>
      <c r="F183" s="990"/>
      <c r="G183" s="1247"/>
      <c r="H183" s="1019"/>
      <c r="I183" s="1019"/>
      <c r="J183" s="1019"/>
      <c r="K183" s="1019"/>
      <c r="L183" s="1766"/>
      <c r="M183" s="990"/>
      <c r="N183" s="1229"/>
      <c r="O183" s="1229"/>
      <c r="P183" s="1229"/>
    </row>
    <row r="184" spans="1:16" s="1318" customFormat="1">
      <c r="A184" s="1765"/>
      <c r="B184" s="1372" t="s">
        <v>3975</v>
      </c>
      <c r="C184" s="1389"/>
      <c r="D184" s="1248">
        <v>602055.07999999996</v>
      </c>
      <c r="E184" s="990"/>
      <c r="F184" s="990"/>
      <c r="G184" s="1248"/>
      <c r="H184" s="1019"/>
      <c r="I184" s="1019"/>
      <c r="J184" s="1019"/>
      <c r="K184" s="1019"/>
      <c r="L184" s="1766"/>
      <c r="M184" s="990"/>
      <c r="N184" s="1229"/>
      <c r="O184" s="1229"/>
      <c r="P184" s="1229"/>
    </row>
    <row r="185" spans="1:16" s="1318" customFormat="1">
      <c r="A185" s="1765"/>
      <c r="B185" s="1372" t="s">
        <v>3976</v>
      </c>
      <c r="C185" s="1389"/>
      <c r="D185" s="1248">
        <v>1647091.83</v>
      </c>
      <c r="E185" s="990"/>
      <c r="F185" s="990"/>
      <c r="G185" s="1248"/>
      <c r="H185" s="1019"/>
      <c r="I185" s="1019"/>
      <c r="J185" s="1019"/>
      <c r="K185" s="1019"/>
      <c r="L185" s="1766"/>
      <c r="M185" s="990"/>
      <c r="N185" s="1229"/>
      <c r="O185" s="1229"/>
      <c r="P185" s="1229"/>
    </row>
    <row r="186" spans="1:16" s="1318" customFormat="1">
      <c r="A186" s="1765"/>
      <c r="B186" s="1372" t="s">
        <v>3978</v>
      </c>
      <c r="C186" s="1389"/>
      <c r="D186" s="1248">
        <v>2006016.97</v>
      </c>
      <c r="E186" s="990"/>
      <c r="F186" s="990"/>
      <c r="G186" s="1248"/>
      <c r="H186" s="1019"/>
      <c r="I186" s="1019"/>
      <c r="J186" s="1019"/>
      <c r="K186" s="1019"/>
      <c r="L186" s="1766"/>
      <c r="M186" s="990"/>
      <c r="N186" s="1229"/>
      <c r="O186" s="1229"/>
      <c r="P186" s="1229"/>
    </row>
    <row r="187" spans="1:16">
      <c r="A187" s="1765"/>
      <c r="B187" s="1231"/>
      <c r="C187" s="990"/>
      <c r="D187" s="1249"/>
      <c r="E187" s="990"/>
      <c r="F187" s="990"/>
      <c r="G187" s="1249"/>
      <c r="H187" s="1019"/>
      <c r="I187" s="1019"/>
      <c r="J187" s="1019"/>
      <c r="L187" s="1766"/>
    </row>
    <row r="188" spans="1:16" s="1318" customFormat="1">
      <c r="A188" s="1765"/>
      <c r="B188" s="1231"/>
      <c r="C188" s="990"/>
      <c r="D188" s="1019"/>
      <c r="E188" s="990"/>
      <c r="F188" s="990"/>
      <c r="G188" s="1019"/>
      <c r="H188" s="1019"/>
      <c r="I188" s="1019"/>
      <c r="J188" s="1019"/>
      <c r="K188" s="1019"/>
      <c r="L188" s="1766"/>
      <c r="M188" s="990"/>
      <c r="N188" s="1229"/>
      <c r="O188" s="1229"/>
      <c r="P188" s="1229"/>
    </row>
    <row r="189" spans="1:16" s="1318" customFormat="1" ht="15.75" thickBot="1">
      <c r="A189" s="1765"/>
      <c r="B189" s="1231"/>
      <c r="C189" s="990"/>
      <c r="D189" s="1235">
        <f>SUM(D182:D187)</f>
        <v>4708043.88</v>
      </c>
      <c r="E189" s="990"/>
      <c r="F189" s="990"/>
      <c r="G189" s="1235">
        <f>SUM(G183:G188)</f>
        <v>0</v>
      </c>
      <c r="H189" s="1019"/>
      <c r="I189" s="1019"/>
      <c r="J189" s="1019"/>
      <c r="K189" s="1019"/>
      <c r="L189" s="1766"/>
      <c r="M189" s="990"/>
      <c r="N189" s="1229"/>
      <c r="O189" s="1229"/>
      <c r="P189" s="1229"/>
    </row>
    <row r="190" spans="1:16" s="1318" customFormat="1" ht="43.5" thickTop="1">
      <c r="A190" s="1765"/>
      <c r="B190" s="1231" t="s">
        <v>3965</v>
      </c>
      <c r="C190" s="990"/>
      <c r="D190" s="1019"/>
      <c r="E190" s="990"/>
      <c r="F190" s="990"/>
      <c r="G190" s="1019"/>
      <c r="H190" s="1019"/>
      <c r="I190" s="1019"/>
      <c r="J190" s="1019"/>
      <c r="K190" s="1019"/>
      <c r="L190" s="1766"/>
      <c r="M190" s="990"/>
      <c r="N190" s="1229"/>
      <c r="O190" s="1229"/>
      <c r="P190" s="1229"/>
    </row>
    <row r="191" spans="1:16" s="1318" customFormat="1">
      <c r="A191" s="1765"/>
      <c r="B191" s="1231"/>
      <c r="C191" s="990"/>
      <c r="D191" s="1019"/>
      <c r="E191" s="990"/>
      <c r="F191" s="990"/>
      <c r="G191" s="1019"/>
      <c r="H191" s="1019"/>
      <c r="I191" s="1019"/>
      <c r="J191" s="1019"/>
      <c r="K191" s="1019"/>
      <c r="L191" s="1766"/>
      <c r="M191" s="990"/>
      <c r="N191" s="1229"/>
      <c r="O191" s="1229"/>
      <c r="P191" s="1229"/>
    </row>
    <row r="192" spans="1:16">
      <c r="A192" s="1765"/>
      <c r="B192" s="1231" t="s">
        <v>3985</v>
      </c>
      <c r="C192" s="990"/>
      <c r="D192" s="1019">
        <v>3031061</v>
      </c>
      <c r="E192" s="990"/>
      <c r="F192" s="990"/>
      <c r="G192" s="1019"/>
      <c r="H192" s="1019"/>
      <c r="I192" s="1019"/>
      <c r="J192" s="1019"/>
      <c r="L192" s="1766"/>
    </row>
    <row r="193" spans="1:16" s="1287" customFormat="1">
      <c r="A193" s="1765"/>
      <c r="B193" s="1231"/>
      <c r="C193" s="990"/>
      <c r="D193" s="1019"/>
      <c r="E193" s="990"/>
      <c r="F193" s="990"/>
      <c r="G193" s="1019"/>
      <c r="H193" s="1019"/>
      <c r="I193" s="1019"/>
      <c r="J193" s="1019"/>
      <c r="K193" s="1019"/>
      <c r="L193" s="1766"/>
      <c r="M193" s="990"/>
      <c r="N193" s="1229"/>
      <c r="O193" s="1229"/>
      <c r="P193" s="1229"/>
    </row>
    <row r="194" spans="1:16" ht="15.75" thickBot="1">
      <c r="A194" s="1765"/>
      <c r="B194" s="1259" t="s">
        <v>3970</v>
      </c>
      <c r="C194" s="990"/>
      <c r="D194" s="1237">
        <f>D192+D189+D179+D166</f>
        <v>17884136.5</v>
      </c>
      <c r="E194" s="990"/>
      <c r="F194" s="990"/>
      <c r="G194" s="1019"/>
      <c r="H194" s="1019"/>
      <c r="I194" s="1019"/>
      <c r="J194" s="1019"/>
      <c r="L194" s="1766"/>
    </row>
    <row r="195" spans="1:16" ht="15.75" thickTop="1">
      <c r="A195" s="1765"/>
      <c r="B195" s="1231"/>
      <c r="C195" s="990"/>
      <c r="D195" s="1019"/>
      <c r="E195" s="990"/>
      <c r="F195" s="990"/>
      <c r="G195" s="1019"/>
      <c r="H195" s="1019"/>
      <c r="I195" s="1019"/>
      <c r="J195" s="1019"/>
      <c r="L195" s="1766"/>
    </row>
    <row r="196" spans="1:16">
      <c r="A196" s="1765"/>
      <c r="B196" s="1259">
        <v>45.1</v>
      </c>
      <c r="C196" s="990"/>
      <c r="D196" s="1019"/>
      <c r="E196" s="990"/>
      <c r="F196" s="990"/>
      <c r="G196" s="1019"/>
      <c r="H196" s="1019"/>
      <c r="I196" s="1019"/>
      <c r="J196" s="1019"/>
      <c r="L196" s="1766"/>
    </row>
    <row r="197" spans="1:16">
      <c r="A197" s="1765"/>
      <c r="B197" s="1392" t="s">
        <v>3968</v>
      </c>
      <c r="C197" s="990"/>
      <c r="D197" s="1019"/>
      <c r="E197" s="990"/>
      <c r="F197" s="990"/>
      <c r="G197" s="1019"/>
      <c r="H197" s="1019"/>
      <c r="I197" s="1019"/>
      <c r="J197" s="1019"/>
      <c r="L197" s="1766"/>
    </row>
    <row r="198" spans="1:16">
      <c r="A198" s="1765"/>
      <c r="B198" s="1231"/>
      <c r="C198" s="990"/>
      <c r="D198" s="1019"/>
      <c r="E198" s="990"/>
      <c r="F198" s="990"/>
      <c r="G198" s="1019"/>
      <c r="H198" s="1019"/>
      <c r="I198" s="1019"/>
      <c r="J198" s="1019"/>
      <c r="L198" s="1766"/>
    </row>
    <row r="199" spans="1:16" s="1318" customFormat="1">
      <c r="A199" s="1765"/>
      <c r="B199" s="1344" t="s">
        <v>498</v>
      </c>
      <c r="C199" s="990"/>
      <c r="D199" s="1019">
        <v>0</v>
      </c>
      <c r="E199" s="990"/>
      <c r="F199" s="990"/>
      <c r="G199" s="1019"/>
      <c r="H199" s="1019"/>
      <c r="I199" s="1019"/>
      <c r="J199" s="1019"/>
      <c r="K199" s="1019"/>
      <c r="L199" s="1766"/>
      <c r="M199" s="990"/>
      <c r="N199" s="1229"/>
      <c r="O199" s="1229"/>
      <c r="P199" s="1229"/>
    </row>
    <row r="200" spans="1:16" s="1318" customFormat="1">
      <c r="A200" s="1765"/>
      <c r="B200" s="1344"/>
      <c r="C200" s="990"/>
      <c r="D200" s="1019"/>
      <c r="E200" s="990"/>
      <c r="F200" s="990"/>
      <c r="G200" s="1019"/>
      <c r="H200" s="1019"/>
      <c r="I200" s="1019"/>
      <c r="J200" s="1019"/>
      <c r="K200" s="1019"/>
      <c r="L200" s="1766"/>
      <c r="M200" s="990"/>
      <c r="N200" s="1229"/>
      <c r="O200" s="1229"/>
      <c r="P200" s="1229"/>
    </row>
    <row r="201" spans="1:16" ht="28.5">
      <c r="A201" s="1765"/>
      <c r="B201" s="1231" t="s">
        <v>3969</v>
      </c>
      <c r="C201" s="990"/>
      <c r="D201" s="1371">
        <v>28533.96</v>
      </c>
      <c r="E201" s="990"/>
      <c r="F201" s="990"/>
      <c r="G201" s="1019"/>
      <c r="H201" s="1019"/>
      <c r="I201" s="1019"/>
      <c r="J201" s="1019"/>
      <c r="L201" s="1766"/>
    </row>
    <row r="202" spans="1:16">
      <c r="A202" s="1765"/>
      <c r="B202" s="1231"/>
      <c r="C202" s="990"/>
      <c r="D202" s="1019"/>
      <c r="E202" s="990"/>
      <c r="F202" s="990"/>
      <c r="G202" s="1019"/>
      <c r="H202" s="1019"/>
      <c r="I202" s="1019"/>
      <c r="J202" s="1019"/>
      <c r="L202" s="1766"/>
    </row>
    <row r="203" spans="1:16" ht="30.75" thickBot="1">
      <c r="A203" s="1765"/>
      <c r="B203" s="1392" t="s">
        <v>3987</v>
      </c>
      <c r="C203" s="990"/>
      <c r="D203" s="1237">
        <f>SUM(D201:D202)</f>
        <v>28533.96</v>
      </c>
      <c r="E203" s="990"/>
      <c r="F203" s="990"/>
      <c r="G203" s="1019"/>
      <c r="H203" s="1019"/>
      <c r="I203" s="1019"/>
      <c r="J203" s="1019"/>
      <c r="L203" s="1766"/>
    </row>
    <row r="204" spans="1:16" ht="15.75" thickTop="1">
      <c r="A204" s="1765"/>
      <c r="B204" s="1231"/>
      <c r="C204" s="990"/>
      <c r="D204" s="1019"/>
      <c r="E204" s="990"/>
      <c r="F204" s="990"/>
      <c r="G204" s="1019"/>
      <c r="H204" s="1019"/>
      <c r="I204" s="1019"/>
      <c r="J204" s="1019"/>
      <c r="L204" s="1766"/>
    </row>
    <row r="205" spans="1:16">
      <c r="A205" s="1765"/>
      <c r="B205" s="1231"/>
      <c r="C205" s="990"/>
      <c r="D205" s="1019"/>
      <c r="E205" s="990"/>
      <c r="F205" s="990"/>
      <c r="L205" s="1766"/>
    </row>
    <row r="206" spans="1:16">
      <c r="A206" s="1765"/>
      <c r="B206" s="1231"/>
      <c r="C206" s="990"/>
      <c r="D206" s="1019"/>
      <c r="E206" s="990"/>
      <c r="F206" s="990"/>
      <c r="L206" s="1766"/>
    </row>
    <row r="207" spans="1:16">
      <c r="A207" s="1765"/>
      <c r="B207" s="1231"/>
      <c r="C207" s="990"/>
      <c r="D207" s="1019"/>
      <c r="E207" s="990"/>
      <c r="F207" s="990"/>
      <c r="L207" s="1766"/>
    </row>
    <row r="208" spans="1:16">
      <c r="A208" s="1765"/>
      <c r="B208" s="990"/>
      <c r="C208" s="990"/>
      <c r="D208" s="1019"/>
      <c r="E208" s="990"/>
      <c r="F208" s="990"/>
      <c r="L208" s="1766"/>
    </row>
    <row r="209" spans="1:14">
      <c r="A209" s="1765">
        <v>46</v>
      </c>
      <c r="B209" s="987" t="s">
        <v>3037</v>
      </c>
      <c r="C209" s="990"/>
      <c r="D209" s="1029" t="s">
        <v>3484</v>
      </c>
      <c r="E209" s="990"/>
      <c r="F209" s="990"/>
      <c r="G209" s="1029" t="s">
        <v>2651</v>
      </c>
      <c r="H209" s="1252"/>
      <c r="I209" s="1252"/>
      <c r="J209" s="1252"/>
      <c r="K209" s="1253"/>
      <c r="L209" s="1766"/>
    </row>
    <row r="210" spans="1:14">
      <c r="A210" s="1765"/>
      <c r="B210" s="990"/>
      <c r="C210" s="990"/>
      <c r="D210" s="1019"/>
      <c r="E210" s="990"/>
      <c r="F210" s="1253"/>
      <c r="G210" s="1252"/>
      <c r="H210" s="1252"/>
      <c r="I210" s="1252"/>
      <c r="J210" s="1252"/>
      <c r="K210" s="1253"/>
      <c r="L210" s="1766"/>
    </row>
    <row r="211" spans="1:14" ht="28.5">
      <c r="A211" s="1765"/>
      <c r="B211" s="1231" t="s">
        <v>3038</v>
      </c>
      <c r="C211" s="990"/>
      <c r="D211" s="1019"/>
      <c r="E211" s="990"/>
      <c r="F211" s="1253"/>
      <c r="G211" s="1252"/>
      <c r="H211" s="1252"/>
      <c r="I211" s="1252"/>
      <c r="J211" s="1252"/>
      <c r="K211" s="1253"/>
      <c r="L211" s="1766"/>
    </row>
    <row r="212" spans="1:14">
      <c r="A212" s="1765"/>
      <c r="B212" s="990"/>
      <c r="C212" s="990"/>
      <c r="D212" s="1019"/>
      <c r="E212" s="990"/>
      <c r="F212" s="1253"/>
      <c r="G212" s="1252"/>
      <c r="H212" s="1252"/>
      <c r="I212" s="1252"/>
      <c r="J212" s="1252"/>
      <c r="K212" s="1253"/>
      <c r="L212" s="1766"/>
      <c r="N212" s="1229" t="s">
        <v>45</v>
      </c>
    </row>
    <row r="213" spans="1:14" ht="142.5">
      <c r="A213" s="1765"/>
      <c r="B213" s="1231" t="s">
        <v>3996</v>
      </c>
      <c r="C213" s="990"/>
      <c r="D213" s="1019"/>
      <c r="E213" s="990"/>
      <c r="F213" s="1253"/>
      <c r="G213" s="1252"/>
      <c r="H213" s="1252"/>
      <c r="I213" s="1252"/>
      <c r="J213" s="1252"/>
      <c r="K213" s="1253"/>
      <c r="L213" s="1766"/>
    </row>
    <row r="214" spans="1:14">
      <c r="A214" s="1769"/>
      <c r="B214" s="1393"/>
      <c r="C214" s="1062"/>
      <c r="D214" s="1063"/>
      <c r="E214" s="1062"/>
      <c r="F214" s="1394"/>
      <c r="G214" s="1395"/>
      <c r="H214" s="1395"/>
      <c r="I214" s="1395"/>
      <c r="J214" s="1395"/>
      <c r="K214" s="1394"/>
      <c r="L214" s="1770"/>
    </row>
    <row r="215" spans="1:14" ht="114" hidden="1">
      <c r="A215" s="1765"/>
      <c r="B215" s="1231" t="s">
        <v>3160</v>
      </c>
      <c r="C215" s="990"/>
      <c r="D215" s="1019"/>
      <c r="E215" s="990"/>
      <c r="F215" s="1253"/>
      <c r="G215" s="1253"/>
      <c r="H215" s="1253"/>
      <c r="I215" s="1253"/>
      <c r="J215" s="1253"/>
      <c r="K215" s="1253"/>
      <c r="L215" s="1766"/>
    </row>
    <row r="216" spans="1:14" hidden="1">
      <c r="A216" s="1765"/>
      <c r="B216" s="1231"/>
      <c r="C216" s="990"/>
      <c r="D216" s="1019"/>
      <c r="E216" s="990"/>
      <c r="F216" s="1253"/>
      <c r="G216" s="1253"/>
      <c r="H216" s="1253"/>
      <c r="I216" s="1253"/>
      <c r="J216" s="1253"/>
      <c r="K216" s="1253"/>
      <c r="L216" s="1766"/>
    </row>
    <row r="217" spans="1:14" hidden="1">
      <c r="A217" s="1765"/>
      <c r="B217" s="1254" t="s">
        <v>3039</v>
      </c>
      <c r="C217" s="990"/>
      <c r="D217" s="1019"/>
      <c r="E217" s="990"/>
      <c r="F217" s="1253"/>
      <c r="G217" s="1253"/>
      <c r="H217" s="1253"/>
      <c r="I217" s="1253"/>
      <c r="J217" s="1253"/>
      <c r="K217" s="1253"/>
      <c r="L217" s="1766"/>
    </row>
    <row r="218" spans="1:14" hidden="1">
      <c r="A218" s="1765"/>
      <c r="B218" s="1231"/>
      <c r="C218" s="990"/>
      <c r="D218" s="1018" t="s">
        <v>3321</v>
      </c>
      <c r="E218" s="1017"/>
      <c r="F218" s="1255"/>
      <c r="G218" s="1255" t="s">
        <v>3321</v>
      </c>
      <c r="H218" s="1255"/>
      <c r="I218" s="1255"/>
      <c r="J218" s="1255"/>
      <c r="L218" s="1766"/>
    </row>
    <row r="219" spans="1:14" hidden="1">
      <c r="A219" s="1765"/>
      <c r="B219" s="1231" t="s">
        <v>3040</v>
      </c>
      <c r="C219" s="1231"/>
      <c r="D219" s="1265">
        <f>105.54+64.72+114.16+31.98+9.66+23.13</f>
        <v>349.19</v>
      </c>
      <c r="E219" s="1256"/>
      <c r="F219" s="1256"/>
      <c r="G219" s="1256">
        <f>105.54+64.72+114.16+31.98+9.66+23.13</f>
        <v>349.19</v>
      </c>
      <c r="H219" s="1256"/>
      <c r="I219" s="1256"/>
      <c r="J219" s="1256"/>
      <c r="L219" s="1766"/>
    </row>
    <row r="220" spans="1:14" hidden="1">
      <c r="A220" s="1765"/>
      <c r="B220" s="1231" t="s">
        <v>3041</v>
      </c>
      <c r="C220" s="1231"/>
      <c r="D220" s="1265">
        <v>17.18</v>
      </c>
      <c r="E220" s="1256"/>
      <c r="F220" s="1256"/>
      <c r="G220" s="1256">
        <v>17.18</v>
      </c>
      <c r="H220" s="1256"/>
      <c r="I220" s="1256"/>
      <c r="J220" s="1256"/>
      <c r="L220" s="1766"/>
    </row>
    <row r="221" spans="1:14" hidden="1">
      <c r="A221" s="1765"/>
      <c r="B221" s="1231" t="s">
        <v>3042</v>
      </c>
      <c r="C221" s="1231"/>
      <c r="D221" s="1265">
        <v>-980.91</v>
      </c>
      <c r="E221" s="1256"/>
      <c r="F221" s="1256"/>
      <c r="G221" s="1256">
        <v>-980.91</v>
      </c>
      <c r="H221" s="1256"/>
      <c r="I221" s="1256"/>
      <c r="J221" s="1256"/>
      <c r="L221" s="1766"/>
    </row>
    <row r="222" spans="1:14" hidden="1">
      <c r="A222" s="1765"/>
      <c r="B222" s="1231" t="s">
        <v>3043</v>
      </c>
      <c r="C222" s="1231"/>
      <c r="D222" s="1265">
        <v>-505.36</v>
      </c>
      <c r="E222" s="1256"/>
      <c r="F222" s="1256"/>
      <c r="G222" s="1256">
        <v>-505.36</v>
      </c>
      <c r="H222" s="1256"/>
      <c r="I222" s="1256"/>
      <c r="J222" s="1256"/>
      <c r="L222" s="1766"/>
    </row>
    <row r="223" spans="1:14" hidden="1">
      <c r="A223" s="1765"/>
      <c r="B223" s="1231" t="s">
        <v>3044</v>
      </c>
      <c r="C223" s="1231"/>
      <c r="D223" s="1265">
        <v>0</v>
      </c>
      <c r="E223" s="1256"/>
      <c r="F223" s="1256"/>
      <c r="G223" s="1256">
        <v>0</v>
      </c>
      <c r="H223" s="1256"/>
      <c r="I223" s="1256"/>
      <c r="J223" s="1256"/>
      <c r="L223" s="1766"/>
    </row>
    <row r="224" spans="1:14" hidden="1">
      <c r="A224" s="1765"/>
      <c r="B224" s="1231" t="s">
        <v>3045</v>
      </c>
      <c r="C224" s="1231"/>
      <c r="D224" s="1265">
        <v>0</v>
      </c>
      <c r="E224" s="1256"/>
      <c r="F224" s="1256"/>
      <c r="G224" s="1256">
        <v>0</v>
      </c>
      <c r="H224" s="1256"/>
      <c r="I224" s="1256"/>
      <c r="J224" s="1256"/>
      <c r="L224" s="1766"/>
    </row>
    <row r="225" spans="1:15" ht="28.5" hidden="1">
      <c r="A225" s="1765"/>
      <c r="B225" s="1231" t="s">
        <v>3046</v>
      </c>
      <c r="C225" s="1231"/>
      <c r="D225" s="1265">
        <v>0</v>
      </c>
      <c r="E225" s="1256"/>
      <c r="F225" s="1256"/>
      <c r="G225" s="1256">
        <v>0</v>
      </c>
      <c r="H225" s="1256"/>
      <c r="I225" s="1256"/>
      <c r="J225" s="1256"/>
      <c r="L225" s="1766"/>
    </row>
    <row r="226" spans="1:15" hidden="1">
      <c r="A226" s="1765"/>
      <c r="B226" s="1231" t="s">
        <v>3047</v>
      </c>
      <c r="C226" s="1231"/>
      <c r="D226" s="1257">
        <v>155.55000000000001</v>
      </c>
      <c r="E226" s="1256"/>
      <c r="F226" s="1256"/>
      <c r="G226" s="1258">
        <v>155.55000000000001</v>
      </c>
      <c r="H226" s="1256"/>
      <c r="I226" s="1256"/>
      <c r="J226" s="1256"/>
      <c r="L226" s="1766"/>
      <c r="N226" s="1229" t="s">
        <v>45</v>
      </c>
      <c r="O226" s="1229" t="s">
        <v>45</v>
      </c>
    </row>
    <row r="227" spans="1:15" ht="15.75" hidden="1" thickBot="1">
      <c r="A227" s="1765"/>
      <c r="B227" s="1259" t="s">
        <v>3048</v>
      </c>
      <c r="C227" s="1299"/>
      <c r="D227" s="1235">
        <f>SUM(D219:D226)</f>
        <v>-964.35000000000014</v>
      </c>
      <c r="E227" s="1260"/>
      <c r="F227" s="1253"/>
      <c r="G227" s="1261">
        <f>SUM(G219:G226)</f>
        <v>-964.35000000000014</v>
      </c>
      <c r="H227" s="1253"/>
      <c r="I227" s="1253"/>
      <c r="J227" s="1253"/>
      <c r="L227" s="1766"/>
      <c r="N227" s="1229" t="s">
        <v>45</v>
      </c>
      <c r="O227" s="1229" t="s">
        <v>45</v>
      </c>
    </row>
    <row r="228" spans="1:15" hidden="1">
      <c r="A228" s="1765"/>
      <c r="B228" s="1259"/>
      <c r="C228" s="1299"/>
      <c r="D228" s="1019"/>
      <c r="E228" s="1260"/>
      <c r="F228" s="1253"/>
      <c r="G228" s="1253"/>
      <c r="H228" s="1253"/>
      <c r="I228" s="1253"/>
      <c r="J228" s="1253"/>
      <c r="L228" s="1766"/>
      <c r="O228" s="1229" t="s">
        <v>45</v>
      </c>
    </row>
    <row r="229" spans="1:15" ht="57" hidden="1">
      <c r="A229" s="1765"/>
      <c r="B229" s="1231" t="s">
        <v>3323</v>
      </c>
      <c r="C229" s="1299"/>
      <c r="D229" s="1019"/>
      <c r="E229" s="1260"/>
      <c r="F229" s="1253"/>
      <c r="G229" s="1253"/>
      <c r="H229" s="1253"/>
      <c r="I229" s="1253"/>
      <c r="J229" s="1253"/>
      <c r="L229" s="1766"/>
    </row>
    <row r="230" spans="1:15" hidden="1">
      <c r="A230" s="1765"/>
      <c r="B230" s="1259"/>
      <c r="C230" s="1299"/>
      <c r="D230" s="1019"/>
      <c r="E230" s="1260"/>
      <c r="F230" s="1253"/>
      <c r="G230" s="1253"/>
      <c r="H230" s="1253"/>
      <c r="I230" s="1253"/>
      <c r="J230" s="1253"/>
      <c r="L230" s="1766"/>
    </row>
    <row r="231" spans="1:15" ht="28.5" hidden="1">
      <c r="A231" s="1765"/>
      <c r="B231" s="1231" t="s">
        <v>3322</v>
      </c>
      <c r="C231" s="1299"/>
      <c r="D231" s="1019"/>
      <c r="E231" s="1260"/>
      <c r="F231" s="1253"/>
      <c r="G231" s="1253"/>
      <c r="H231" s="1253"/>
      <c r="I231" s="1253"/>
      <c r="J231" s="1253"/>
      <c r="L231" s="1766"/>
      <c r="O231" s="1229" t="s">
        <v>45</v>
      </c>
    </row>
    <row r="232" spans="1:15" hidden="1">
      <c r="A232" s="1765"/>
      <c r="B232" s="1259"/>
      <c r="C232" s="1299"/>
      <c r="D232" s="1019"/>
      <c r="E232" s="1260"/>
      <c r="F232" s="1253"/>
      <c r="G232" s="1253"/>
      <c r="H232" s="1253"/>
      <c r="I232" s="1253"/>
      <c r="J232" s="1253"/>
      <c r="L232" s="1766"/>
    </row>
    <row r="233" spans="1:15" hidden="1">
      <c r="A233" s="1765"/>
      <c r="B233" s="1254" t="s">
        <v>3049</v>
      </c>
      <c r="C233" s="1299"/>
      <c r="D233" s="1019"/>
      <c r="E233" s="1260"/>
      <c r="F233" s="1253"/>
      <c r="G233" s="1253"/>
      <c r="H233" s="1253"/>
      <c r="I233" s="1253"/>
      <c r="J233" s="1253"/>
      <c r="L233" s="1766"/>
    </row>
    <row r="234" spans="1:15" hidden="1">
      <c r="A234" s="1765"/>
      <c r="B234" s="1259"/>
      <c r="C234" s="1299"/>
      <c r="D234" s="1303" t="s">
        <v>2303</v>
      </c>
      <c r="E234" s="1262"/>
      <c r="F234" s="1262"/>
      <c r="G234" s="1262" t="s">
        <v>2303</v>
      </c>
      <c r="H234" s="1262"/>
      <c r="I234" s="1262"/>
      <c r="J234" s="1262"/>
      <c r="L234" s="1766"/>
    </row>
    <row r="235" spans="1:15" ht="28.5" hidden="1">
      <c r="A235" s="1765"/>
      <c r="B235" s="1231" t="s">
        <v>3050</v>
      </c>
      <c r="C235" s="1231"/>
      <c r="D235" s="1019"/>
      <c r="E235" s="1263"/>
      <c r="F235" s="1264"/>
      <c r="G235" s="1264"/>
      <c r="H235" s="1264"/>
      <c r="I235" s="1264"/>
      <c r="J235" s="1264"/>
      <c r="L235" s="1766"/>
    </row>
    <row r="236" spans="1:15" hidden="1">
      <c r="A236" s="1765"/>
      <c r="B236" s="1231" t="s">
        <v>3051</v>
      </c>
      <c r="C236" s="1231"/>
      <c r="D236" s="1265"/>
      <c r="E236" s="1263"/>
      <c r="F236" s="1263"/>
      <c r="G236" s="1263"/>
      <c r="H236" s="1263"/>
      <c r="I236" s="1263"/>
      <c r="J236" s="1263"/>
      <c r="L236" s="1766"/>
    </row>
    <row r="237" spans="1:15" hidden="1">
      <c r="A237" s="1765"/>
      <c r="B237" s="1231" t="s">
        <v>3042</v>
      </c>
      <c r="C237" s="1231"/>
      <c r="D237" s="1265"/>
      <c r="E237" s="1263"/>
      <c r="F237" s="1263"/>
      <c r="G237" s="1263"/>
      <c r="H237" s="1263"/>
      <c r="I237" s="1263"/>
      <c r="J237" s="1263"/>
      <c r="L237" s="1766"/>
    </row>
    <row r="238" spans="1:15" hidden="1">
      <c r="A238" s="1765"/>
      <c r="B238" s="1231" t="s">
        <v>3043</v>
      </c>
      <c r="C238" s="1231"/>
      <c r="D238" s="1265"/>
      <c r="E238" s="1263"/>
      <c r="F238" s="1263"/>
      <c r="G238" s="1263"/>
      <c r="H238" s="1263"/>
      <c r="I238" s="1263"/>
      <c r="J238" s="1263"/>
      <c r="L238" s="1766"/>
    </row>
    <row r="239" spans="1:15" hidden="1">
      <c r="A239" s="1765"/>
      <c r="B239" s="1231" t="s">
        <v>3052</v>
      </c>
      <c r="C239" s="1231"/>
      <c r="D239" s="1265"/>
      <c r="E239" s="1263"/>
      <c r="F239" s="1263"/>
      <c r="G239" s="1263"/>
      <c r="H239" s="1263"/>
      <c r="I239" s="1263"/>
      <c r="J239" s="1263"/>
      <c r="L239" s="1766"/>
    </row>
    <row r="240" spans="1:15" hidden="1">
      <c r="A240" s="1765"/>
      <c r="B240" s="1231" t="s">
        <v>3053</v>
      </c>
      <c r="C240" s="1231"/>
      <c r="D240" s="1265"/>
      <c r="E240" s="1263"/>
      <c r="F240" s="1263"/>
      <c r="G240" s="1263"/>
      <c r="H240" s="1263"/>
      <c r="I240" s="1263"/>
      <c r="J240" s="1263"/>
      <c r="L240" s="1766"/>
    </row>
    <row r="241" spans="1:12" hidden="1">
      <c r="A241" s="1765"/>
      <c r="B241" s="1231" t="s">
        <v>3054</v>
      </c>
      <c r="C241" s="1231"/>
      <c r="D241" s="1265"/>
      <c r="E241" s="1263"/>
      <c r="F241" s="1263"/>
      <c r="G241" s="1263"/>
      <c r="H241" s="1263"/>
      <c r="I241" s="1263"/>
      <c r="J241" s="1263"/>
      <c r="L241" s="1766"/>
    </row>
    <row r="242" spans="1:12" hidden="1">
      <c r="A242" s="1765"/>
      <c r="B242" s="1259"/>
      <c r="C242" s="1299"/>
      <c r="D242" s="1019"/>
      <c r="E242" s="1263"/>
      <c r="F242" s="1264"/>
      <c r="G242" s="1264"/>
      <c r="H242" s="1264"/>
      <c r="I242" s="1264"/>
      <c r="J242" s="1264"/>
      <c r="L242" s="1766"/>
    </row>
    <row r="243" spans="1:12" hidden="1">
      <c r="A243" s="1765"/>
      <c r="B243" s="1254" t="s">
        <v>3055</v>
      </c>
      <c r="C243" s="1299"/>
      <c r="D243" s="1019"/>
      <c r="E243" s="1260"/>
      <c r="F243" s="1253"/>
      <c r="G243" s="1253"/>
      <c r="H243" s="1253"/>
      <c r="I243" s="1253"/>
      <c r="J243" s="1253"/>
      <c r="L243" s="1766"/>
    </row>
    <row r="244" spans="1:12" hidden="1">
      <c r="A244" s="1765"/>
      <c r="B244" s="1259"/>
      <c r="C244" s="1299"/>
      <c r="D244" s="1019"/>
      <c r="E244" s="1260"/>
      <c r="F244" s="1253"/>
      <c r="G244" s="1253"/>
      <c r="H244" s="1253"/>
      <c r="I244" s="1253"/>
      <c r="J244" s="1253"/>
      <c r="L244" s="1766"/>
    </row>
    <row r="245" spans="1:12" ht="28.5" hidden="1">
      <c r="A245" s="1765"/>
      <c r="B245" s="1231" t="s">
        <v>3056</v>
      </c>
      <c r="C245" s="1231"/>
      <c r="D245" s="1265"/>
      <c r="E245" s="1256"/>
      <c r="F245" s="1256"/>
      <c r="G245" s="1256"/>
      <c r="H245" s="1256"/>
      <c r="I245" s="1256"/>
      <c r="J245" s="1256"/>
      <c r="L245" s="1766"/>
    </row>
    <row r="246" spans="1:12" hidden="1">
      <c r="A246" s="1765"/>
      <c r="B246" s="1231" t="s">
        <v>3057</v>
      </c>
      <c r="C246" s="1231"/>
      <c r="D246" s="1257"/>
      <c r="E246" s="1256"/>
      <c r="F246" s="1256"/>
      <c r="G246" s="1258"/>
      <c r="H246" s="1256"/>
      <c r="I246" s="1256"/>
      <c r="J246" s="1256"/>
      <c r="L246" s="1766"/>
    </row>
    <row r="247" spans="1:12" hidden="1">
      <c r="A247" s="1765"/>
      <c r="B247" s="1240"/>
      <c r="C247" s="1299"/>
      <c r="D247" s="1265"/>
      <c r="E247" s="1256"/>
      <c r="F247" s="1256"/>
      <c r="G247" s="1256"/>
      <c r="H247" s="1256"/>
      <c r="I247" s="1256"/>
      <c r="J247" s="1256"/>
      <c r="L247" s="1766"/>
    </row>
    <row r="248" spans="1:12" ht="28.5" hidden="1">
      <c r="A248" s="1765"/>
      <c r="B248" s="1231" t="s">
        <v>3058</v>
      </c>
      <c r="C248" s="1231"/>
      <c r="D248" s="1257"/>
      <c r="E248" s="1256"/>
      <c r="F248" s="1256"/>
      <c r="G248" s="1258"/>
      <c r="H248" s="1256"/>
      <c r="I248" s="1256"/>
      <c r="J248" s="1256"/>
      <c r="L248" s="1766"/>
    </row>
    <row r="249" spans="1:12" hidden="1">
      <c r="A249" s="1765"/>
      <c r="B249" s="1231" t="s">
        <v>3059</v>
      </c>
      <c r="C249" s="1231"/>
      <c r="D249" s="1265"/>
      <c r="E249" s="1256"/>
      <c r="F249" s="1256"/>
      <c r="G249" s="1256"/>
      <c r="H249" s="1256"/>
      <c r="I249" s="1256"/>
      <c r="J249" s="1256"/>
      <c r="L249" s="1766"/>
    </row>
    <row r="250" spans="1:12" hidden="1">
      <c r="A250" s="1765"/>
      <c r="B250" s="1231" t="s">
        <v>3060</v>
      </c>
      <c r="C250" s="1231"/>
      <c r="D250" s="1265"/>
      <c r="E250" s="1256"/>
      <c r="F250" s="1256"/>
      <c r="G250" s="1256"/>
      <c r="H250" s="1256"/>
      <c r="I250" s="1256"/>
      <c r="J250" s="1256"/>
      <c r="L250" s="1766"/>
    </row>
    <row r="251" spans="1:12" hidden="1">
      <c r="A251" s="1765"/>
      <c r="B251" s="1231" t="s">
        <v>3061</v>
      </c>
      <c r="C251" s="1231"/>
      <c r="D251" s="1265"/>
      <c r="E251" s="1256"/>
      <c r="F251" s="1256"/>
      <c r="G251" s="1256"/>
      <c r="H251" s="1256"/>
      <c r="I251" s="1256"/>
      <c r="J251" s="1256"/>
      <c r="L251" s="1766"/>
    </row>
    <row r="252" spans="1:12" hidden="1">
      <c r="A252" s="1765"/>
      <c r="B252" s="1231" t="s">
        <v>3062</v>
      </c>
      <c r="C252" s="1231"/>
      <c r="D252" s="1265"/>
      <c r="E252" s="1256"/>
      <c r="F252" s="1256"/>
      <c r="G252" s="1256"/>
      <c r="H252" s="1256"/>
      <c r="I252" s="1256"/>
      <c r="J252" s="1256"/>
      <c r="L252" s="1766"/>
    </row>
    <row r="253" spans="1:12" ht="28.5" hidden="1">
      <c r="A253" s="1765"/>
      <c r="B253" s="1231" t="s">
        <v>3063</v>
      </c>
      <c r="C253" s="1231"/>
      <c r="D253" s="1265"/>
      <c r="E253" s="1256"/>
      <c r="F253" s="1256"/>
      <c r="G253" s="1256"/>
      <c r="H253" s="1256"/>
      <c r="I253" s="1256"/>
      <c r="J253" s="1256"/>
      <c r="L253" s="1766"/>
    </row>
    <row r="254" spans="1:12" hidden="1">
      <c r="A254" s="1765"/>
      <c r="B254" s="1231" t="s">
        <v>3064</v>
      </c>
      <c r="C254" s="1231"/>
      <c r="D254" s="1265"/>
      <c r="E254" s="1256"/>
      <c r="F254" s="1256"/>
      <c r="G254" s="1256"/>
      <c r="H254" s="1256"/>
      <c r="I254" s="1256"/>
      <c r="J254" s="1256"/>
      <c r="L254" s="1766"/>
    </row>
    <row r="255" spans="1:12" ht="15.75" hidden="1" thickBot="1">
      <c r="A255" s="1765"/>
      <c r="B255" s="1259" t="s">
        <v>3065</v>
      </c>
      <c r="C255" s="1231"/>
      <c r="D255" s="1266"/>
      <c r="E255" s="1262"/>
      <c r="F255" s="1262"/>
      <c r="G255" s="1267"/>
      <c r="H255" s="1262"/>
      <c r="I255" s="1262"/>
      <c r="J255" s="1262"/>
      <c r="L255" s="1766"/>
    </row>
    <row r="256" spans="1:12" hidden="1">
      <c r="A256" s="1765"/>
      <c r="B256" s="1299"/>
      <c r="C256" s="1299"/>
      <c r="D256" s="1019"/>
      <c r="E256" s="1265"/>
      <c r="F256" s="1019"/>
      <c r="G256" s="1253"/>
      <c r="H256" s="1253"/>
      <c r="I256" s="1253"/>
      <c r="J256" s="1253"/>
      <c r="L256" s="1766"/>
    </row>
    <row r="257" spans="1:12" ht="30" hidden="1">
      <c r="A257" s="1765"/>
      <c r="B257" s="1268" t="s">
        <v>3066</v>
      </c>
      <c r="C257" s="1254"/>
      <c r="D257" s="1019"/>
      <c r="E257" s="1265"/>
      <c r="F257" s="1019"/>
      <c r="G257" s="1253"/>
      <c r="H257" s="1253"/>
      <c r="I257" s="1253"/>
      <c r="J257" s="1253"/>
      <c r="L257" s="1766"/>
    </row>
    <row r="258" spans="1:12" hidden="1">
      <c r="A258" s="1765"/>
      <c r="B258" s="1240"/>
      <c r="C258" s="1299"/>
      <c r="D258" s="1019"/>
      <c r="E258" s="1265"/>
      <c r="F258" s="1019"/>
      <c r="G258" s="1253"/>
      <c r="H258" s="1253"/>
      <c r="I258" s="1253"/>
      <c r="J258" s="1253"/>
      <c r="L258" s="1766"/>
    </row>
    <row r="259" spans="1:12" ht="28.5" hidden="1">
      <c r="A259" s="1765"/>
      <c r="B259" s="1231" t="s">
        <v>3067</v>
      </c>
      <c r="C259" s="1231"/>
      <c r="D259" s="1019"/>
      <c r="E259" s="1265"/>
      <c r="F259" s="1019"/>
      <c r="G259" s="1253"/>
      <c r="H259" s="1253"/>
      <c r="I259" s="1253"/>
      <c r="J259" s="1253"/>
      <c r="L259" s="1766"/>
    </row>
    <row r="260" spans="1:12" hidden="1">
      <c r="A260" s="1765"/>
      <c r="B260" s="1231" t="s">
        <v>498</v>
      </c>
      <c r="C260" s="1231"/>
      <c r="D260" s="1265"/>
      <c r="E260" s="1256"/>
      <c r="F260" s="1256"/>
      <c r="G260" s="1256"/>
      <c r="H260" s="1256"/>
      <c r="I260" s="1256"/>
      <c r="J260" s="1256"/>
      <c r="L260" s="1766"/>
    </row>
    <row r="261" spans="1:12" hidden="1">
      <c r="A261" s="1765"/>
      <c r="B261" s="1231" t="s">
        <v>3040</v>
      </c>
      <c r="C261" s="1231"/>
      <c r="D261" s="1265"/>
      <c r="E261" s="1256"/>
      <c r="F261" s="1256"/>
      <c r="G261" s="1256"/>
      <c r="H261" s="1256"/>
      <c r="I261" s="1256"/>
      <c r="J261" s="1256"/>
      <c r="L261" s="1766"/>
    </row>
    <row r="262" spans="1:12" hidden="1">
      <c r="A262" s="1765"/>
      <c r="B262" s="1231" t="s">
        <v>3068</v>
      </c>
      <c r="C262" s="1231"/>
      <c r="D262" s="1265"/>
      <c r="E262" s="1256"/>
      <c r="F262" s="1256"/>
      <c r="G262" s="1256"/>
      <c r="H262" s="1256"/>
      <c r="I262" s="1256"/>
      <c r="J262" s="1256"/>
      <c r="L262" s="1766"/>
    </row>
    <row r="263" spans="1:12" hidden="1">
      <c r="A263" s="1765"/>
      <c r="B263" s="1231" t="s">
        <v>3069</v>
      </c>
      <c r="C263" s="1231"/>
      <c r="D263" s="1265"/>
      <c r="E263" s="1256"/>
      <c r="F263" s="1256"/>
      <c r="G263" s="1256"/>
      <c r="H263" s="1256"/>
      <c r="I263" s="1256"/>
      <c r="J263" s="1256"/>
      <c r="L263" s="1766"/>
    </row>
    <row r="264" spans="1:12" hidden="1">
      <c r="A264" s="1765"/>
      <c r="B264" s="1231" t="s">
        <v>3070</v>
      </c>
      <c r="C264" s="1231"/>
      <c r="D264" s="1265"/>
      <c r="E264" s="1256"/>
      <c r="F264" s="1256"/>
      <c r="G264" s="1256"/>
      <c r="H264" s="1256"/>
      <c r="I264" s="1256"/>
      <c r="J264" s="1256"/>
      <c r="L264" s="1766"/>
    </row>
    <row r="265" spans="1:12" hidden="1">
      <c r="A265" s="1765"/>
      <c r="B265" s="1231" t="s">
        <v>3071</v>
      </c>
      <c r="C265" s="1231"/>
      <c r="D265" s="1265"/>
      <c r="E265" s="1256"/>
      <c r="F265" s="1256"/>
      <c r="G265" s="1256"/>
      <c r="H265" s="1256"/>
      <c r="I265" s="1256"/>
      <c r="J265" s="1256"/>
      <c r="L265" s="1766"/>
    </row>
    <row r="266" spans="1:12" hidden="1">
      <c r="A266" s="1765"/>
      <c r="B266" s="1231" t="s">
        <v>3072</v>
      </c>
      <c r="C266" s="1231"/>
      <c r="D266" s="1265"/>
      <c r="E266" s="1256"/>
      <c r="F266" s="1256"/>
      <c r="G266" s="1256"/>
      <c r="H266" s="1256"/>
      <c r="I266" s="1256"/>
      <c r="J266" s="1256"/>
      <c r="L266" s="1766"/>
    </row>
    <row r="267" spans="1:12" hidden="1">
      <c r="A267" s="1765"/>
      <c r="B267" s="1231" t="s">
        <v>3073</v>
      </c>
      <c r="C267" s="1231"/>
      <c r="D267" s="1265"/>
      <c r="E267" s="1256"/>
      <c r="F267" s="1256"/>
      <c r="G267" s="1256"/>
      <c r="H267" s="1256"/>
      <c r="I267" s="1256"/>
      <c r="J267" s="1256"/>
      <c r="L267" s="1766"/>
    </row>
    <row r="268" spans="1:12" hidden="1">
      <c r="A268" s="1765"/>
      <c r="B268" s="1231" t="s">
        <v>3054</v>
      </c>
      <c r="C268" s="1231"/>
      <c r="D268" s="1265"/>
      <c r="E268" s="1256"/>
      <c r="F268" s="1256"/>
      <c r="G268" s="1256"/>
      <c r="H268" s="1256"/>
      <c r="I268" s="1256"/>
      <c r="J268" s="1256"/>
      <c r="L268" s="1766"/>
    </row>
    <row r="269" spans="1:12" ht="15.75" hidden="1" thickBot="1">
      <c r="A269" s="1765"/>
      <c r="B269" s="1300" t="s">
        <v>3074</v>
      </c>
      <c r="C269" s="1299"/>
      <c r="D269" s="1266"/>
      <c r="E269" s="1262"/>
      <c r="F269" s="1262"/>
      <c r="G269" s="1267"/>
      <c r="H269" s="1262"/>
      <c r="I269" s="1262"/>
      <c r="J269" s="1262"/>
      <c r="L269" s="1766"/>
    </row>
    <row r="270" spans="1:12" hidden="1">
      <c r="A270" s="1765"/>
      <c r="B270" s="1240"/>
      <c r="C270" s="1299"/>
      <c r="D270" s="1019"/>
      <c r="E270" s="1260"/>
      <c r="F270" s="1253"/>
      <c r="G270" s="1253"/>
      <c r="H270" s="1253"/>
      <c r="I270" s="1253"/>
      <c r="J270" s="1253"/>
      <c r="L270" s="1766"/>
    </row>
    <row r="271" spans="1:12" hidden="1">
      <c r="A271" s="1765"/>
      <c r="B271" s="1889" t="s">
        <v>3075</v>
      </c>
      <c r="C271" s="1889"/>
      <c r="D271" s="1019"/>
      <c r="E271" s="1260"/>
      <c r="F271" s="1253"/>
      <c r="G271" s="1253"/>
      <c r="H271" s="1253"/>
      <c r="I271" s="1253"/>
      <c r="J271" s="1253"/>
      <c r="L271" s="1766"/>
    </row>
    <row r="272" spans="1:12" hidden="1">
      <c r="A272" s="1765"/>
      <c r="B272" s="1890"/>
      <c r="C272" s="1890"/>
      <c r="D272" s="1019"/>
      <c r="E272" s="1260"/>
      <c r="F272" s="1253"/>
      <c r="G272" s="1253"/>
      <c r="H272" s="1253"/>
      <c r="I272" s="1253"/>
      <c r="J272" s="1253"/>
      <c r="L272" s="1766"/>
    </row>
    <row r="273" spans="1:12" ht="28.5" hidden="1">
      <c r="A273" s="1765"/>
      <c r="B273" s="1231" t="s">
        <v>3076</v>
      </c>
      <c r="C273" s="1231"/>
      <c r="D273" s="1019"/>
      <c r="E273" s="1260"/>
      <c r="F273" s="1253"/>
      <c r="G273" s="1253"/>
      <c r="H273" s="1253"/>
      <c r="I273" s="1253"/>
      <c r="J273" s="1253"/>
      <c r="L273" s="1766"/>
    </row>
    <row r="274" spans="1:12" hidden="1">
      <c r="A274" s="1765"/>
      <c r="B274" s="1231" t="s">
        <v>833</v>
      </c>
      <c r="C274" s="1231"/>
      <c r="D274" s="1265"/>
      <c r="E274" s="1256"/>
      <c r="F274" s="1256"/>
      <c r="G274" s="1256"/>
      <c r="H274" s="1256"/>
      <c r="I274" s="1256"/>
      <c r="J274" s="1256"/>
      <c r="L274" s="1766"/>
    </row>
    <row r="275" spans="1:12" hidden="1">
      <c r="A275" s="1765"/>
      <c r="B275" s="1231" t="s">
        <v>3042</v>
      </c>
      <c r="C275" s="1231"/>
      <c r="D275" s="1265"/>
      <c r="E275" s="1256"/>
      <c r="F275" s="1256"/>
      <c r="G275" s="1256"/>
      <c r="H275" s="1256"/>
      <c r="I275" s="1256"/>
      <c r="J275" s="1256"/>
      <c r="L275" s="1766"/>
    </row>
    <row r="276" spans="1:12" hidden="1">
      <c r="A276" s="1765"/>
      <c r="B276" s="1231" t="s">
        <v>3077</v>
      </c>
      <c r="C276" s="1231"/>
      <c r="D276" s="1265"/>
      <c r="E276" s="1256"/>
      <c r="F276" s="1256"/>
      <c r="G276" s="1256"/>
      <c r="H276" s="1256"/>
      <c r="I276" s="1256"/>
      <c r="J276" s="1256"/>
      <c r="L276" s="1766"/>
    </row>
    <row r="277" spans="1:12" hidden="1">
      <c r="A277" s="1765"/>
      <c r="B277" s="1231" t="s">
        <v>3078</v>
      </c>
      <c r="C277" s="1231"/>
      <c r="D277" s="1265"/>
      <c r="E277" s="1256"/>
      <c r="F277" s="1256"/>
      <c r="G277" s="1256"/>
      <c r="H277" s="1256"/>
      <c r="I277" s="1256"/>
      <c r="J277" s="1256"/>
      <c r="L277" s="1766"/>
    </row>
    <row r="278" spans="1:12" hidden="1">
      <c r="A278" s="1765"/>
      <c r="B278" s="1231" t="s">
        <v>3069</v>
      </c>
      <c r="C278" s="1231"/>
      <c r="D278" s="1265"/>
      <c r="E278" s="1256"/>
      <c r="F278" s="1256"/>
      <c r="G278" s="1256"/>
      <c r="H278" s="1256"/>
      <c r="I278" s="1256"/>
      <c r="J278" s="1256"/>
      <c r="L278" s="1766"/>
    </row>
    <row r="279" spans="1:12" hidden="1">
      <c r="A279" s="1765"/>
      <c r="B279" s="1231" t="s">
        <v>3079</v>
      </c>
      <c r="C279" s="1231"/>
      <c r="D279" s="1265"/>
      <c r="E279" s="1256"/>
      <c r="F279" s="1256"/>
      <c r="G279" s="1256"/>
      <c r="H279" s="1256"/>
      <c r="I279" s="1256"/>
      <c r="J279" s="1256"/>
      <c r="L279" s="1766"/>
    </row>
    <row r="280" spans="1:12" hidden="1">
      <c r="A280" s="1765"/>
      <c r="B280" s="1231" t="s">
        <v>3080</v>
      </c>
      <c r="C280" s="1299"/>
      <c r="D280" s="1265"/>
      <c r="E280" s="1256"/>
      <c r="F280" s="1256"/>
      <c r="G280" s="1256"/>
      <c r="H280" s="1256"/>
      <c r="I280" s="1256"/>
      <c r="J280" s="1256"/>
      <c r="L280" s="1766"/>
    </row>
    <row r="281" spans="1:12" ht="15.75" hidden="1" thickBot="1">
      <c r="A281" s="1765"/>
      <c r="B281" s="1231" t="s">
        <v>3054</v>
      </c>
      <c r="C281" s="1299"/>
      <c r="D281" s="1269"/>
      <c r="E281" s="1256"/>
      <c r="F281" s="1256"/>
      <c r="G281" s="1270"/>
      <c r="H281" s="1256"/>
      <c r="I281" s="1256"/>
      <c r="J281" s="1256"/>
      <c r="L281" s="1766"/>
    </row>
    <row r="282" spans="1:12" ht="15.75" hidden="1" thickBot="1">
      <c r="A282" s="1765"/>
      <c r="B282" s="1300" t="s">
        <v>3074</v>
      </c>
      <c r="C282" s="1299"/>
      <c r="D282" s="1271"/>
      <c r="E282" s="1262"/>
      <c r="F282" s="1262"/>
      <c r="G282" s="1272"/>
      <c r="H282" s="1262"/>
      <c r="I282" s="1262"/>
      <c r="J282" s="1262"/>
      <c r="L282" s="1766"/>
    </row>
    <row r="283" spans="1:12" hidden="1">
      <c r="A283" s="1765"/>
      <c r="B283" s="1240"/>
      <c r="C283" s="1299"/>
      <c r="D283" s="1265"/>
      <c r="E283" s="1256"/>
      <c r="F283" s="1256"/>
      <c r="G283" s="1256"/>
      <c r="H283" s="1256"/>
      <c r="I283" s="1256"/>
      <c r="J283" s="1256"/>
      <c r="L283" s="1766"/>
    </row>
    <row r="284" spans="1:12" hidden="1">
      <c r="A284" s="1765"/>
      <c r="B284" s="1777" t="s">
        <v>3081</v>
      </c>
      <c r="C284" s="1299"/>
      <c r="D284" s="1303" t="s">
        <v>2303</v>
      </c>
      <c r="E284" s="1262"/>
      <c r="F284" s="1262"/>
      <c r="G284" s="1262" t="s">
        <v>2303</v>
      </c>
      <c r="H284" s="1262"/>
      <c r="I284" s="1262"/>
      <c r="J284" s="1262"/>
      <c r="L284" s="1766"/>
    </row>
    <row r="285" spans="1:12" hidden="1">
      <c r="A285" s="1765"/>
      <c r="B285" s="990"/>
      <c r="C285" s="1299"/>
      <c r="D285" s="1019"/>
      <c r="E285" s="1256"/>
      <c r="F285" s="990"/>
      <c r="L285" s="1766"/>
    </row>
    <row r="286" spans="1:12" hidden="1">
      <c r="A286" s="1765"/>
      <c r="B286" s="1231" t="s">
        <v>3082</v>
      </c>
      <c r="C286" s="1231"/>
      <c r="D286" s="1265"/>
      <c r="E286" s="1256"/>
      <c r="F286" s="1256"/>
      <c r="G286" s="1256"/>
      <c r="H286" s="1256"/>
      <c r="I286" s="1256"/>
      <c r="J286" s="1256"/>
      <c r="L286" s="1766"/>
    </row>
    <row r="287" spans="1:12" hidden="1">
      <c r="A287" s="1765"/>
      <c r="B287" s="1231" t="s">
        <v>3083</v>
      </c>
      <c r="C287" s="1231"/>
      <c r="D287" s="1265"/>
      <c r="E287" s="1256"/>
      <c r="F287" s="1256"/>
      <c r="G287" s="1256"/>
      <c r="H287" s="1256"/>
      <c r="I287" s="1256"/>
      <c r="J287" s="1256"/>
      <c r="L287" s="1766"/>
    </row>
    <row r="288" spans="1:12" hidden="1">
      <c r="A288" s="1765"/>
      <c r="B288" s="1231" t="s">
        <v>3084</v>
      </c>
      <c r="C288" s="1231"/>
      <c r="D288" s="1265"/>
      <c r="E288" s="1256"/>
      <c r="F288" s="1256"/>
      <c r="G288" s="1256"/>
      <c r="H288" s="1256"/>
      <c r="I288" s="1256"/>
      <c r="J288" s="1256"/>
      <c r="L288" s="1766"/>
    </row>
    <row r="289" spans="1:12" hidden="1">
      <c r="A289" s="1765"/>
      <c r="B289" s="1231" t="s">
        <v>3054</v>
      </c>
      <c r="C289" s="1231"/>
      <c r="D289" s="1265"/>
      <c r="E289" s="1256"/>
      <c r="F289" s="1256"/>
      <c r="G289" s="1256"/>
      <c r="H289" s="1256"/>
      <c r="I289" s="1256"/>
      <c r="J289" s="1256"/>
      <c r="L289" s="1766"/>
    </row>
    <row r="290" spans="1:12" hidden="1">
      <c r="A290" s="1765"/>
      <c r="B290" s="1231"/>
      <c r="C290" s="1231"/>
      <c r="D290" s="1019"/>
      <c r="E290" s="1260"/>
      <c r="F290" s="1253"/>
      <c r="G290" s="1253"/>
      <c r="H290" s="1253"/>
      <c r="I290" s="1253"/>
      <c r="J290" s="1253"/>
      <c r="L290" s="1766"/>
    </row>
    <row r="291" spans="1:12" ht="57" hidden="1">
      <c r="A291" s="1765"/>
      <c r="B291" s="1231" t="s">
        <v>3085</v>
      </c>
      <c r="C291" s="1231"/>
      <c r="D291" s="1019"/>
      <c r="E291" s="1260"/>
      <c r="F291" s="1253"/>
      <c r="G291" s="1253"/>
      <c r="H291" s="1253"/>
      <c r="I291" s="1253"/>
      <c r="J291" s="1253"/>
      <c r="L291" s="1766"/>
    </row>
    <row r="292" spans="1:12" hidden="1">
      <c r="A292" s="1765"/>
      <c r="B292" s="1240"/>
      <c r="C292" s="1299"/>
      <c r="D292" s="1019"/>
      <c r="E292" s="1260"/>
      <c r="F292" s="1253"/>
      <c r="G292" s="1253"/>
      <c r="H292" s="1253"/>
      <c r="I292" s="1253"/>
      <c r="J292" s="1253"/>
      <c r="L292" s="1766"/>
    </row>
    <row r="293" spans="1:12" ht="28.5" hidden="1">
      <c r="A293" s="1765"/>
      <c r="B293" s="1231" t="s">
        <v>3086</v>
      </c>
      <c r="C293" s="1299"/>
      <c r="D293" s="1019"/>
      <c r="E293" s="1260"/>
      <c r="F293" s="1253"/>
      <c r="G293" s="1253"/>
      <c r="H293" s="1253"/>
      <c r="I293" s="1253"/>
      <c r="J293" s="1253"/>
      <c r="L293" s="1766"/>
    </row>
    <row r="294" spans="1:12" hidden="1">
      <c r="A294" s="1765"/>
      <c r="B294" s="1240"/>
      <c r="C294" s="1299"/>
      <c r="D294" s="1019"/>
      <c r="E294" s="1260"/>
      <c r="F294" s="1253"/>
      <c r="G294" s="1253"/>
      <c r="H294" s="1253"/>
      <c r="I294" s="1253"/>
      <c r="J294" s="1253"/>
      <c r="L294" s="1766"/>
    </row>
    <row r="295" spans="1:12" hidden="1">
      <c r="A295" s="1765"/>
      <c r="B295" s="1777" t="s">
        <v>3087</v>
      </c>
      <c r="C295" s="1299"/>
      <c r="D295" s="1019"/>
      <c r="E295" s="1260"/>
      <c r="F295" s="1253"/>
      <c r="G295" s="1253"/>
      <c r="H295" s="1253"/>
      <c r="I295" s="1253"/>
      <c r="J295" s="1253"/>
      <c r="L295" s="1766"/>
    </row>
    <row r="296" spans="1:12" hidden="1">
      <c r="A296" s="1765"/>
      <c r="B296" s="1240"/>
      <c r="C296" s="1299"/>
      <c r="D296" s="1019"/>
      <c r="E296" s="1260"/>
      <c r="F296" s="1253"/>
      <c r="G296" s="1253"/>
      <c r="H296" s="1253"/>
      <c r="I296" s="1253"/>
      <c r="J296" s="1253"/>
      <c r="L296" s="1766"/>
    </row>
    <row r="297" spans="1:12" hidden="1">
      <c r="A297" s="1765"/>
      <c r="B297" s="1231" t="s">
        <v>3088</v>
      </c>
      <c r="C297" s="1231"/>
      <c r="D297" s="1265"/>
      <c r="E297" s="1256"/>
      <c r="F297" s="1256"/>
      <c r="G297" s="1256"/>
      <c r="H297" s="1256"/>
      <c r="I297" s="1256"/>
      <c r="J297" s="1256"/>
      <c r="L297" s="1766"/>
    </row>
    <row r="298" spans="1:12" hidden="1">
      <c r="A298" s="1765"/>
      <c r="B298" s="1231" t="s">
        <v>3089</v>
      </c>
      <c r="C298" s="1231"/>
      <c r="D298" s="1265"/>
      <c r="E298" s="1256"/>
      <c r="F298" s="1256"/>
      <c r="G298" s="1256"/>
      <c r="H298" s="1256"/>
      <c r="I298" s="1256"/>
      <c r="J298" s="1256"/>
      <c r="L298" s="1766"/>
    </row>
    <row r="299" spans="1:12" ht="15.75" hidden="1" thickBot="1">
      <c r="A299" s="1765"/>
      <c r="B299" s="1231" t="s">
        <v>3059</v>
      </c>
      <c r="C299" s="1231"/>
      <c r="D299" s="1273"/>
      <c r="E299" s="1256"/>
      <c r="F299" s="1256"/>
      <c r="G299" s="1274"/>
      <c r="H299" s="1256"/>
      <c r="I299" s="1256"/>
      <c r="J299" s="1256"/>
      <c r="L299" s="1766"/>
    </row>
    <row r="300" spans="1:12" hidden="1">
      <c r="A300" s="1765"/>
      <c r="B300" s="1231"/>
      <c r="C300" s="1231"/>
      <c r="D300" s="1019"/>
      <c r="E300" s="1256"/>
      <c r="F300" s="990"/>
      <c r="L300" s="1766"/>
    </row>
    <row r="301" spans="1:12" hidden="1">
      <c r="A301" s="1765"/>
      <c r="B301" s="1231" t="s">
        <v>3090</v>
      </c>
      <c r="C301" s="1231"/>
      <c r="D301" s="1265"/>
      <c r="E301" s="1256"/>
      <c r="F301" s="1256"/>
      <c r="G301" s="1256"/>
      <c r="H301" s="1256"/>
      <c r="I301" s="1256"/>
      <c r="J301" s="1256"/>
      <c r="L301" s="1766"/>
    </row>
    <row r="302" spans="1:12" hidden="1">
      <c r="A302" s="1765"/>
      <c r="B302" s="1231"/>
      <c r="C302" s="1231"/>
      <c r="D302" s="1265"/>
      <c r="E302" s="1256"/>
      <c r="F302" s="1256"/>
      <c r="G302" s="1256"/>
      <c r="H302" s="1256"/>
      <c r="I302" s="1256"/>
      <c r="J302" s="1256"/>
      <c r="L302" s="1766"/>
    </row>
    <row r="303" spans="1:12" hidden="1">
      <c r="A303" s="1765"/>
      <c r="B303" s="1231" t="s">
        <v>3091</v>
      </c>
      <c r="C303" s="1231"/>
      <c r="D303" s="1265"/>
      <c r="E303" s="1256"/>
      <c r="F303" s="1256"/>
      <c r="G303" s="1256"/>
      <c r="H303" s="1256"/>
      <c r="I303" s="1256"/>
      <c r="J303" s="1256"/>
      <c r="L303" s="1766"/>
    </row>
    <row r="304" spans="1:12" hidden="1">
      <c r="A304" s="1765"/>
      <c r="B304" s="1231"/>
      <c r="C304" s="1231"/>
      <c r="D304" s="1019"/>
      <c r="E304" s="1256"/>
      <c r="F304" s="990"/>
      <c r="L304" s="1766"/>
    </row>
    <row r="305" spans="1:12" ht="57" hidden="1">
      <c r="A305" s="1765"/>
      <c r="B305" s="1231" t="s">
        <v>3092</v>
      </c>
      <c r="C305" s="1231"/>
      <c r="D305" s="1019"/>
      <c r="E305" s="1260"/>
      <c r="F305" s="1253"/>
      <c r="G305" s="1253"/>
      <c r="H305" s="1253"/>
      <c r="I305" s="1253"/>
      <c r="J305" s="1253"/>
      <c r="L305" s="1766"/>
    </row>
    <row r="306" spans="1:12" hidden="1">
      <c r="A306" s="1765"/>
      <c r="B306" s="1240"/>
      <c r="C306" s="1299"/>
      <c r="D306" s="1019"/>
      <c r="E306" s="1260"/>
      <c r="F306" s="1253"/>
      <c r="G306" s="1253"/>
      <c r="H306" s="1253"/>
      <c r="I306" s="1253"/>
      <c r="J306" s="1253"/>
      <c r="L306" s="1766"/>
    </row>
    <row r="307" spans="1:12" hidden="1">
      <c r="A307" s="1765"/>
      <c r="B307" s="1889" t="s">
        <v>3093</v>
      </c>
      <c r="C307" s="1889"/>
      <c r="D307" s="1019"/>
      <c r="E307" s="1260"/>
      <c r="F307" s="1253"/>
      <c r="G307" s="1253"/>
      <c r="H307" s="1253"/>
      <c r="I307" s="1253"/>
      <c r="J307" s="1253"/>
      <c r="L307" s="1766"/>
    </row>
    <row r="308" spans="1:12" hidden="1">
      <c r="A308" s="1765"/>
      <c r="B308" s="1240"/>
      <c r="C308" s="1299"/>
      <c r="D308" s="1019"/>
      <c r="E308" s="1260"/>
      <c r="F308" s="1253"/>
      <c r="G308" s="1253"/>
      <c r="H308" s="1253"/>
      <c r="I308" s="1253"/>
      <c r="J308" s="1253"/>
      <c r="L308" s="1766"/>
    </row>
    <row r="309" spans="1:12" ht="28.5" hidden="1">
      <c r="A309" s="1765"/>
      <c r="B309" s="1231" t="s">
        <v>3094</v>
      </c>
      <c r="C309" s="1231"/>
      <c r="D309" s="1019"/>
      <c r="E309" s="1260"/>
      <c r="F309" s="1253"/>
      <c r="G309" s="1253"/>
      <c r="H309" s="1253"/>
      <c r="I309" s="1253"/>
      <c r="J309" s="1253"/>
      <c r="L309" s="1766"/>
    </row>
    <row r="310" spans="1:12" hidden="1">
      <c r="A310" s="1765"/>
      <c r="B310" s="1240"/>
      <c r="C310" s="1299"/>
      <c r="D310" s="1019"/>
      <c r="E310" s="1260"/>
      <c r="F310" s="1253"/>
      <c r="G310" s="1253"/>
      <c r="H310" s="1253"/>
      <c r="I310" s="1253"/>
      <c r="J310" s="1253"/>
      <c r="L310" s="1766"/>
    </row>
    <row r="311" spans="1:12" ht="90" hidden="1">
      <c r="A311" s="1765"/>
      <c r="B311" s="1259" t="s">
        <v>3095</v>
      </c>
      <c r="C311" s="1299"/>
      <c r="D311" s="1019"/>
      <c r="E311" s="1260"/>
      <c r="F311" s="1253"/>
      <c r="G311" s="1253"/>
      <c r="H311" s="1253"/>
      <c r="I311" s="1253"/>
      <c r="J311" s="1253"/>
      <c r="L311" s="1766"/>
    </row>
    <row r="312" spans="1:12" hidden="1">
      <c r="A312" s="1765"/>
      <c r="B312" s="1240"/>
      <c r="C312" s="1299"/>
      <c r="D312" s="1019"/>
      <c r="E312" s="1260"/>
      <c r="F312" s="1253"/>
      <c r="G312" s="1253"/>
      <c r="H312" s="1253"/>
      <c r="I312" s="1253"/>
      <c r="J312" s="1253"/>
      <c r="L312" s="1766"/>
    </row>
    <row r="313" spans="1:12" ht="45" hidden="1">
      <c r="A313" s="1765"/>
      <c r="B313" s="1259" t="s">
        <v>3096</v>
      </c>
      <c r="C313" s="1259"/>
      <c r="D313" s="1019"/>
      <c r="E313" s="1260"/>
      <c r="F313" s="1253"/>
      <c r="G313" s="1253"/>
      <c r="H313" s="1253"/>
      <c r="I313" s="1253"/>
      <c r="J313" s="1253"/>
      <c r="L313" s="1766"/>
    </row>
    <row r="314" spans="1:12" hidden="1">
      <c r="A314" s="1765"/>
      <c r="B314" s="1240"/>
      <c r="C314" s="990"/>
      <c r="D314" s="1019"/>
      <c r="E314" s="1260"/>
      <c r="F314" s="1253"/>
      <c r="G314" s="1253"/>
      <c r="H314" s="1253"/>
      <c r="I314" s="1253"/>
      <c r="J314" s="1253"/>
      <c r="L314" s="1766"/>
    </row>
    <row r="315" spans="1:12" ht="42.75" hidden="1">
      <c r="A315" s="1765"/>
      <c r="B315" s="1231" t="s">
        <v>3097</v>
      </c>
      <c r="C315" s="1231"/>
      <c r="D315" s="1019"/>
      <c r="E315" s="1260"/>
      <c r="F315" s="1253"/>
      <c r="G315" s="1253"/>
      <c r="H315" s="1253"/>
      <c r="I315" s="1253"/>
      <c r="J315" s="1253"/>
      <c r="L315" s="1766"/>
    </row>
    <row r="316" spans="1:12" hidden="1">
      <c r="A316" s="1765"/>
      <c r="B316" s="1240"/>
      <c r="C316" s="1299"/>
      <c r="D316" s="1265"/>
      <c r="E316" s="1260"/>
      <c r="F316" s="1253"/>
      <c r="G316" s="1253"/>
      <c r="H316" s="1253"/>
      <c r="I316" s="1253"/>
      <c r="J316" s="1253"/>
      <c r="L316" s="1766"/>
    </row>
    <row r="317" spans="1:12" ht="15.75" hidden="1">
      <c r="A317" s="1765"/>
      <c r="B317" s="987"/>
      <c r="C317" s="1299"/>
      <c r="D317" s="1246"/>
      <c r="E317" s="990"/>
      <c r="F317" s="990"/>
      <c r="G317" s="1246"/>
      <c r="H317" s="1253"/>
      <c r="I317" s="1253"/>
      <c r="J317" s="1253"/>
      <c r="L317" s="1766"/>
    </row>
    <row r="318" spans="1:12" hidden="1">
      <c r="A318" s="1765"/>
      <c r="B318" s="1240"/>
      <c r="C318" s="1299"/>
      <c r="D318" s="1019"/>
      <c r="E318" s="990"/>
      <c r="F318" s="1253"/>
      <c r="G318" s="1253"/>
      <c r="H318" s="1253"/>
      <c r="I318" s="1253"/>
      <c r="J318" s="1253"/>
      <c r="L318" s="1766"/>
    </row>
    <row r="319" spans="1:12" hidden="1">
      <c r="A319" s="1765"/>
      <c r="B319" s="1231"/>
      <c r="C319" s="1231"/>
      <c r="D319" s="1019"/>
      <c r="E319" s="990"/>
      <c r="F319" s="1253"/>
      <c r="G319" s="1253"/>
      <c r="H319" s="1253"/>
      <c r="I319" s="1253"/>
      <c r="J319" s="1253"/>
      <c r="L319" s="1766"/>
    </row>
    <row r="320" spans="1:12" hidden="1">
      <c r="A320" s="1765"/>
      <c r="B320" s="1300"/>
      <c r="C320" s="1299"/>
      <c r="D320" s="1019"/>
      <c r="E320" s="990"/>
      <c r="F320" s="1253"/>
      <c r="G320" s="1253"/>
      <c r="H320" s="1253"/>
      <c r="I320" s="1253"/>
      <c r="J320" s="1253"/>
      <c r="L320" s="1766"/>
    </row>
    <row r="321" spans="1:12" hidden="1">
      <c r="A321" s="1765"/>
      <c r="B321" s="1301"/>
      <c r="C321" s="1299"/>
      <c r="D321" s="1019"/>
      <c r="E321" s="990"/>
      <c r="F321" s="1253"/>
      <c r="G321" s="1253"/>
      <c r="H321" s="1253"/>
      <c r="I321" s="1253"/>
      <c r="J321" s="1253"/>
      <c r="L321" s="1766"/>
    </row>
    <row r="322" spans="1:12" hidden="1">
      <c r="A322" s="1765"/>
      <c r="B322" s="1302"/>
      <c r="C322" s="1299"/>
      <c r="D322" s="1019"/>
      <c r="E322" s="990"/>
      <c r="F322" s="1253"/>
      <c r="G322" s="1253"/>
      <c r="H322" s="1253"/>
      <c r="I322" s="1253"/>
      <c r="J322" s="1253"/>
      <c r="L322" s="1766"/>
    </row>
    <row r="323" spans="1:12" hidden="1">
      <c r="A323" s="1765"/>
      <c r="B323" s="1302"/>
      <c r="C323" s="1299"/>
      <c r="D323" s="1019"/>
      <c r="E323" s="990"/>
      <c r="F323" s="1253"/>
      <c r="G323" s="1253"/>
      <c r="H323" s="1253"/>
      <c r="I323" s="1253"/>
      <c r="J323" s="1253"/>
      <c r="L323" s="1766"/>
    </row>
    <row r="324" spans="1:12" hidden="1">
      <c r="A324" s="1765"/>
      <c r="B324" s="1231"/>
      <c r="C324" s="1299"/>
      <c r="D324" s="1265"/>
      <c r="E324" s="990"/>
      <c r="F324" s="1256"/>
      <c r="G324" s="1256"/>
      <c r="H324" s="1256"/>
      <c r="I324" s="1256"/>
      <c r="J324" s="1256"/>
      <c r="L324" s="1766"/>
    </row>
    <row r="325" spans="1:12" hidden="1">
      <c r="A325" s="1765"/>
      <c r="B325" s="1231"/>
      <c r="C325" s="1299"/>
      <c r="D325" s="1265"/>
      <c r="E325" s="990"/>
      <c r="F325" s="1256"/>
      <c r="G325" s="1256"/>
      <c r="H325" s="1256"/>
      <c r="I325" s="1256"/>
      <c r="J325" s="1256"/>
      <c r="L325" s="1766"/>
    </row>
    <row r="326" spans="1:12" hidden="1">
      <c r="A326" s="1765"/>
      <c r="B326" s="1231"/>
      <c r="C326" s="1299"/>
      <c r="D326" s="1265"/>
      <c r="E326" s="990"/>
      <c r="F326" s="1256"/>
      <c r="G326" s="1256"/>
      <c r="H326" s="1256"/>
      <c r="I326" s="1256"/>
      <c r="J326" s="1256"/>
      <c r="L326" s="1766"/>
    </row>
    <row r="327" spans="1:12" hidden="1">
      <c r="A327" s="1765"/>
      <c r="B327" s="1231"/>
      <c r="C327" s="1299"/>
      <c r="D327" s="1265"/>
      <c r="E327" s="990"/>
      <c r="F327" s="1256"/>
      <c r="G327" s="1256"/>
      <c r="H327" s="1256"/>
      <c r="I327" s="1256"/>
      <c r="J327" s="1256"/>
      <c r="L327" s="1766"/>
    </row>
    <row r="328" spans="1:12" hidden="1">
      <c r="A328" s="1765"/>
      <c r="B328" s="1231"/>
      <c r="C328" s="1299"/>
      <c r="D328" s="1265"/>
      <c r="E328" s="990"/>
      <c r="F328" s="1256"/>
      <c r="G328" s="1256"/>
      <c r="H328" s="1256"/>
      <c r="I328" s="1256"/>
      <c r="J328" s="1256"/>
      <c r="L328" s="1766"/>
    </row>
    <row r="329" spans="1:12" hidden="1">
      <c r="A329" s="1765"/>
      <c r="B329" s="1231"/>
      <c r="C329" s="1299"/>
      <c r="D329" s="1265"/>
      <c r="E329" s="990"/>
      <c r="F329" s="1256"/>
      <c r="G329" s="1256"/>
      <c r="H329" s="1256"/>
      <c r="I329" s="1256"/>
      <c r="J329" s="1256"/>
      <c r="L329" s="1766"/>
    </row>
    <row r="330" spans="1:12" hidden="1">
      <c r="A330" s="1765"/>
      <c r="B330" s="1231"/>
      <c r="C330" s="1299"/>
      <c r="D330" s="1265"/>
      <c r="E330" s="990"/>
      <c r="F330" s="1256"/>
      <c r="G330" s="1256"/>
      <c r="H330" s="1256"/>
      <c r="I330" s="1256"/>
      <c r="J330" s="1256"/>
      <c r="L330" s="1766"/>
    </row>
    <row r="331" spans="1:12" hidden="1">
      <c r="A331" s="1765"/>
      <c r="B331" s="1300"/>
      <c r="C331" s="1299"/>
      <c r="D331" s="1303"/>
      <c r="E331" s="990"/>
      <c r="F331" s="1262"/>
      <c r="G331" s="1262"/>
      <c r="H331" s="1262"/>
      <c r="I331" s="1262"/>
      <c r="J331" s="1262"/>
      <c r="L331" s="1766"/>
    </row>
    <row r="332" spans="1:12" hidden="1">
      <c r="A332" s="1765"/>
      <c r="B332" s="1300"/>
      <c r="C332" s="1299"/>
      <c r="D332" s="1303"/>
      <c r="E332" s="990"/>
      <c r="F332" s="1262"/>
      <c r="G332" s="1262"/>
      <c r="H332" s="1262"/>
      <c r="I332" s="1262"/>
      <c r="J332" s="1262"/>
      <c r="L332" s="1766"/>
    </row>
    <row r="333" spans="1:12" hidden="1">
      <c r="A333" s="1765"/>
      <c r="B333" s="1240"/>
      <c r="C333" s="1299"/>
      <c r="D333" s="1019"/>
      <c r="E333" s="990"/>
      <c r="F333" s="990"/>
      <c r="L333" s="1766"/>
    </row>
    <row r="334" spans="1:12" hidden="1">
      <c r="A334" s="1765"/>
      <c r="B334" s="1231"/>
      <c r="C334" s="1299"/>
      <c r="D334" s="1019"/>
      <c r="E334" s="990"/>
      <c r="F334" s="990"/>
      <c r="L334" s="1766"/>
    </row>
    <row r="335" spans="1:12" hidden="1">
      <c r="A335" s="1765"/>
      <c r="B335" s="1231"/>
      <c r="C335" s="1299"/>
      <c r="D335" s="1019"/>
      <c r="E335" s="990"/>
      <c r="F335" s="990"/>
      <c r="L335" s="1766"/>
    </row>
    <row r="336" spans="1:12" hidden="1">
      <c r="A336" s="1765"/>
      <c r="B336" s="1301"/>
      <c r="C336" s="1299"/>
      <c r="D336" s="1303"/>
      <c r="E336" s="990"/>
      <c r="F336" s="1262"/>
      <c r="G336" s="1262"/>
      <c r="H336" s="1262"/>
      <c r="I336" s="1262"/>
      <c r="J336" s="1262"/>
      <c r="L336" s="1766"/>
    </row>
    <row r="337" spans="1:12" hidden="1">
      <c r="A337" s="1765"/>
      <c r="B337" s="1231"/>
      <c r="C337" s="1231"/>
      <c r="D337" s="1303"/>
      <c r="E337" s="990"/>
      <c r="F337" s="1262"/>
      <c r="G337" s="1262"/>
      <c r="H337" s="1262"/>
      <c r="I337" s="1262"/>
      <c r="J337" s="1262"/>
      <c r="L337" s="1766"/>
    </row>
    <row r="338" spans="1:12" hidden="1">
      <c r="A338" s="1765"/>
      <c r="B338" s="1231"/>
      <c r="C338" s="1231"/>
      <c r="D338" s="1019"/>
      <c r="E338" s="990"/>
      <c r="F338" s="990"/>
      <c r="L338" s="1766"/>
    </row>
    <row r="339" spans="1:12" hidden="1">
      <c r="A339" s="1765"/>
      <c r="B339" s="1231"/>
      <c r="C339" s="1231"/>
      <c r="D339" s="1019"/>
      <c r="E339" s="990"/>
      <c r="F339" s="990"/>
      <c r="L339" s="1766"/>
    </row>
    <row r="340" spans="1:12" hidden="1">
      <c r="A340" s="1765"/>
      <c r="B340" s="1231"/>
      <c r="C340" s="1231"/>
      <c r="D340" s="1265"/>
      <c r="E340" s="990"/>
      <c r="F340" s="1256"/>
      <c r="G340" s="1256"/>
      <c r="H340" s="1256"/>
      <c r="I340" s="1256"/>
      <c r="J340" s="1256"/>
      <c r="L340" s="1766"/>
    </row>
    <row r="341" spans="1:12" hidden="1">
      <c r="A341" s="1765"/>
      <c r="B341" s="1231"/>
      <c r="C341" s="1231"/>
      <c r="D341" s="1265"/>
      <c r="E341" s="990"/>
      <c r="F341" s="1256"/>
      <c r="G341" s="1256"/>
      <c r="H341" s="1256"/>
      <c r="I341" s="1256"/>
      <c r="J341" s="1256"/>
      <c r="L341" s="1766"/>
    </row>
    <row r="342" spans="1:12" hidden="1">
      <c r="A342" s="1765"/>
      <c r="B342" s="1231"/>
      <c r="C342" s="1231"/>
      <c r="D342" s="1019"/>
      <c r="E342" s="990"/>
      <c r="F342" s="990"/>
      <c r="L342" s="1766"/>
    </row>
    <row r="343" spans="1:12" hidden="1">
      <c r="A343" s="1765"/>
      <c r="B343" s="1231"/>
      <c r="C343" s="1231"/>
      <c r="D343" s="1019"/>
      <c r="E343" s="990"/>
      <c r="F343" s="990"/>
      <c r="L343" s="1766"/>
    </row>
    <row r="344" spans="1:12" hidden="1">
      <c r="A344" s="1765"/>
      <c r="B344" s="1240"/>
      <c r="C344" s="1299"/>
      <c r="D344" s="1019"/>
      <c r="E344" s="990"/>
      <c r="F344" s="990"/>
      <c r="L344" s="1766"/>
    </row>
    <row r="345" spans="1:12" hidden="1">
      <c r="A345" s="1765"/>
      <c r="B345" s="1300"/>
      <c r="C345" s="1299"/>
      <c r="D345" s="1019"/>
      <c r="E345" s="990"/>
      <c r="F345" s="990"/>
      <c r="L345" s="1766"/>
    </row>
    <row r="346" spans="1:12" hidden="1">
      <c r="A346" s="1765"/>
      <c r="B346" s="1231"/>
      <c r="C346" s="1231"/>
      <c r="D346" s="1265"/>
      <c r="E346" s="990"/>
      <c r="F346" s="1256"/>
      <c r="G346" s="1256"/>
      <c r="H346" s="1256"/>
      <c r="I346" s="1256"/>
      <c r="J346" s="1256"/>
      <c r="L346" s="1766"/>
    </row>
    <row r="347" spans="1:12" hidden="1">
      <c r="A347" s="1765"/>
      <c r="B347" s="1240"/>
      <c r="C347" s="1299"/>
      <c r="D347" s="1265"/>
      <c r="E347" s="990"/>
      <c r="F347" s="1256"/>
      <c r="G347" s="1256"/>
      <c r="H347" s="1256"/>
      <c r="I347" s="1256"/>
      <c r="J347" s="1256"/>
      <c r="L347" s="1766"/>
    </row>
    <row r="348" spans="1:12" hidden="1">
      <c r="A348" s="1765"/>
      <c r="B348" s="1240"/>
      <c r="C348" s="1299"/>
      <c r="D348" s="1265"/>
      <c r="E348" s="990"/>
      <c r="F348" s="1256"/>
      <c r="G348" s="1256"/>
      <c r="H348" s="1256"/>
      <c r="I348" s="1256"/>
      <c r="J348" s="1256"/>
      <c r="L348" s="1766"/>
    </row>
    <row r="349" spans="1:12" hidden="1">
      <c r="A349" s="1765"/>
      <c r="B349" s="1300"/>
      <c r="C349" s="1299"/>
      <c r="D349" s="1019"/>
      <c r="E349" s="990"/>
      <c r="F349" s="990"/>
      <c r="L349" s="1766"/>
    </row>
    <row r="350" spans="1:12" hidden="1">
      <c r="A350" s="1765"/>
      <c r="B350" s="1891"/>
      <c r="C350" s="1891"/>
      <c r="D350" s="1265"/>
      <c r="E350" s="990"/>
      <c r="F350" s="1256"/>
      <c r="G350" s="1256"/>
      <c r="H350" s="1256"/>
      <c r="I350" s="1256"/>
      <c r="J350" s="1256"/>
      <c r="L350" s="1766"/>
    </row>
    <row r="351" spans="1:12" hidden="1">
      <c r="A351" s="1765"/>
      <c r="B351" s="1240"/>
      <c r="C351" s="1299"/>
      <c r="D351" s="1265"/>
      <c r="E351" s="990"/>
      <c r="F351" s="1256"/>
      <c r="G351" s="1256"/>
      <c r="H351" s="1256"/>
      <c r="I351" s="1256"/>
      <c r="J351" s="1256"/>
      <c r="L351" s="1766"/>
    </row>
    <row r="352" spans="1:12" hidden="1">
      <c r="A352" s="1765"/>
      <c r="B352" s="1240"/>
      <c r="C352" s="1299"/>
      <c r="D352" s="1019"/>
      <c r="E352" s="990"/>
      <c r="F352" s="990"/>
      <c r="L352" s="1766"/>
    </row>
    <row r="353" spans="1:12" hidden="1">
      <c r="A353" s="1765"/>
      <c r="B353" s="1301"/>
      <c r="C353" s="1299"/>
      <c r="D353" s="1019"/>
      <c r="E353" s="990"/>
      <c r="F353" s="990"/>
      <c r="L353" s="1766"/>
    </row>
    <row r="354" spans="1:12" hidden="1">
      <c r="A354" s="1765"/>
      <c r="B354" s="1240"/>
      <c r="C354" s="1299"/>
      <c r="D354" s="1019"/>
      <c r="E354" s="990"/>
      <c r="F354" s="990"/>
      <c r="L354" s="1766"/>
    </row>
    <row r="355" spans="1:12" hidden="1">
      <c r="A355" s="1765"/>
      <c r="B355" s="1891"/>
      <c r="C355" s="1891"/>
      <c r="D355" s="1265"/>
      <c r="E355" s="990"/>
      <c r="F355" s="1256"/>
      <c r="G355" s="1256"/>
      <c r="H355" s="1256"/>
      <c r="I355" s="1256"/>
      <c r="J355" s="1256"/>
      <c r="L355" s="1766"/>
    </row>
    <row r="356" spans="1:12" hidden="1">
      <c r="A356" s="1765"/>
      <c r="B356" s="1300"/>
      <c r="C356" s="1299"/>
      <c r="D356" s="1265"/>
      <c r="E356" s="990"/>
      <c r="F356" s="1256"/>
      <c r="G356" s="1256"/>
      <c r="H356" s="1256"/>
      <c r="I356" s="1256"/>
      <c r="J356" s="1256"/>
      <c r="L356" s="1766"/>
    </row>
    <row r="357" spans="1:12" hidden="1">
      <c r="A357" s="1765"/>
      <c r="B357" s="1240"/>
      <c r="C357" s="1299"/>
      <c r="D357" s="1019"/>
      <c r="E357" s="990"/>
      <c r="F357" s="990"/>
      <c r="L357" s="1766"/>
    </row>
    <row r="358" spans="1:12" ht="15.75" hidden="1">
      <c r="A358" s="1765"/>
      <c r="B358" s="987"/>
      <c r="C358" s="990"/>
      <c r="D358" s="1246"/>
      <c r="E358" s="990"/>
      <c r="F358" s="990"/>
      <c r="G358" s="1246"/>
      <c r="L358" s="1766"/>
    </row>
    <row r="359" spans="1:12" ht="15.75" hidden="1">
      <c r="A359" s="1765"/>
      <c r="B359" s="987"/>
      <c r="C359" s="990"/>
      <c r="D359" s="1246"/>
      <c r="E359" s="990"/>
      <c r="F359" s="990"/>
      <c r="G359" s="1246"/>
      <c r="L359" s="1766"/>
    </row>
    <row r="360" spans="1:12" hidden="1">
      <c r="A360" s="1765"/>
      <c r="B360" s="990"/>
      <c r="C360" s="990"/>
      <c r="D360" s="1019"/>
      <c r="E360" s="990"/>
      <c r="F360" s="990"/>
      <c r="L360" s="1766"/>
    </row>
    <row r="361" spans="1:12" hidden="1">
      <c r="A361" s="1765"/>
      <c r="B361" s="990"/>
      <c r="C361" s="990"/>
      <c r="D361" s="1019"/>
      <c r="E361" s="990"/>
      <c r="F361" s="990"/>
      <c r="L361" s="1766"/>
    </row>
    <row r="362" spans="1:12" hidden="1">
      <c r="A362" s="1765"/>
      <c r="B362" s="990"/>
      <c r="C362" s="990"/>
      <c r="D362" s="1019"/>
      <c r="E362" s="990"/>
      <c r="F362" s="990"/>
      <c r="L362" s="1766"/>
    </row>
    <row r="363" spans="1:12" hidden="1">
      <c r="A363" s="1765"/>
      <c r="B363" s="990"/>
      <c r="C363" s="990"/>
      <c r="D363" s="1019"/>
      <c r="E363" s="990"/>
      <c r="F363" s="990"/>
      <c r="L363" s="1766"/>
    </row>
    <row r="364" spans="1:12" hidden="1">
      <c r="A364" s="1765"/>
      <c r="B364" s="990"/>
      <c r="C364" s="990"/>
      <c r="D364" s="1019"/>
      <c r="E364" s="990"/>
      <c r="F364" s="990"/>
      <c r="L364" s="1766"/>
    </row>
    <row r="365" spans="1:12" hidden="1">
      <c r="A365" s="1765"/>
      <c r="B365" s="990"/>
      <c r="C365" s="990"/>
      <c r="D365" s="1019"/>
      <c r="E365" s="990"/>
      <c r="F365" s="990"/>
      <c r="L365" s="1766"/>
    </row>
    <row r="366" spans="1:12" hidden="1">
      <c r="A366" s="1765"/>
      <c r="B366" s="990"/>
      <c r="C366" s="990"/>
      <c r="D366" s="1019"/>
      <c r="E366" s="990"/>
      <c r="F366" s="990"/>
      <c r="L366" s="1766"/>
    </row>
    <row r="367" spans="1:12" hidden="1">
      <c r="A367" s="1765"/>
      <c r="B367" s="990"/>
      <c r="C367" s="990"/>
      <c r="D367" s="1019"/>
      <c r="E367" s="990"/>
      <c r="F367" s="990"/>
      <c r="L367" s="1766"/>
    </row>
    <row r="368" spans="1:12" hidden="1">
      <c r="A368" s="1765"/>
      <c r="B368" s="990"/>
      <c r="C368" s="990"/>
      <c r="D368" s="1019"/>
      <c r="E368" s="990"/>
      <c r="F368" s="990"/>
      <c r="L368" s="1766"/>
    </row>
    <row r="369" spans="1:12" hidden="1">
      <c r="A369" s="1765"/>
      <c r="B369" s="990"/>
      <c r="C369" s="990"/>
      <c r="D369" s="1019"/>
      <c r="E369" s="990"/>
      <c r="F369" s="990"/>
      <c r="L369" s="1766"/>
    </row>
    <row r="370" spans="1:12" hidden="1">
      <c r="A370" s="1765"/>
      <c r="B370" s="990"/>
      <c r="C370" s="990"/>
      <c r="D370" s="1019"/>
      <c r="E370" s="990"/>
      <c r="F370" s="990"/>
      <c r="L370" s="1766"/>
    </row>
    <row r="371" spans="1:12" hidden="1">
      <c r="A371" s="1765"/>
      <c r="B371" s="990"/>
      <c r="C371" s="990"/>
      <c r="D371" s="1019"/>
      <c r="E371" s="990"/>
      <c r="F371" s="990"/>
      <c r="L371" s="1766"/>
    </row>
    <row r="372" spans="1:12" hidden="1">
      <c r="A372" s="1765"/>
      <c r="B372" s="990"/>
      <c r="C372" s="990"/>
      <c r="D372" s="1019"/>
      <c r="E372" s="990"/>
      <c r="F372" s="990"/>
      <c r="L372" s="1766"/>
    </row>
    <row r="373" spans="1:12" hidden="1">
      <c r="A373" s="1765"/>
      <c r="B373" s="990"/>
      <c r="C373" s="990"/>
      <c r="D373" s="1019"/>
      <c r="E373" s="990"/>
      <c r="F373" s="990"/>
      <c r="L373" s="1766"/>
    </row>
    <row r="374" spans="1:12" hidden="1">
      <c r="A374" s="1765"/>
      <c r="B374" s="990"/>
      <c r="C374" s="990"/>
      <c r="D374" s="1019"/>
      <c r="E374" s="990"/>
      <c r="F374" s="990"/>
      <c r="L374" s="1766"/>
    </row>
    <row r="375" spans="1:12" hidden="1">
      <c r="A375" s="1765"/>
      <c r="B375" s="990"/>
      <c r="C375" s="990"/>
      <c r="D375" s="1019"/>
      <c r="E375" s="990"/>
      <c r="F375" s="990"/>
      <c r="L375" s="1766"/>
    </row>
    <row r="376" spans="1:12" hidden="1">
      <c r="A376" s="1765"/>
      <c r="B376" s="990"/>
      <c r="C376" s="990"/>
      <c r="D376" s="1019"/>
      <c r="E376" s="990"/>
      <c r="F376" s="990"/>
      <c r="L376" s="1766"/>
    </row>
    <row r="377" spans="1:12" hidden="1">
      <c r="A377" s="1765"/>
      <c r="B377" s="990"/>
      <c r="C377" s="990"/>
      <c r="D377" s="1019"/>
      <c r="E377" s="990"/>
      <c r="F377" s="990"/>
      <c r="L377" s="1766"/>
    </row>
    <row r="378" spans="1:12" hidden="1">
      <c r="A378" s="1765"/>
      <c r="B378" s="990"/>
      <c r="C378" s="990"/>
      <c r="D378" s="1019"/>
      <c r="E378" s="990"/>
      <c r="F378" s="990"/>
      <c r="L378" s="1766"/>
    </row>
    <row r="379" spans="1:12" hidden="1">
      <c r="A379" s="1765"/>
      <c r="B379" s="990"/>
      <c r="C379" s="990"/>
      <c r="D379" s="1019"/>
      <c r="E379" s="990"/>
      <c r="F379" s="990"/>
      <c r="L379" s="1766"/>
    </row>
    <row r="380" spans="1:12" hidden="1">
      <c r="A380" s="1765"/>
      <c r="B380" s="990"/>
      <c r="C380" s="990"/>
      <c r="D380" s="1019"/>
      <c r="E380" s="990"/>
      <c r="F380" s="990"/>
      <c r="L380" s="1766"/>
    </row>
    <row r="381" spans="1:12" hidden="1">
      <c r="A381" s="1765"/>
      <c r="B381" s="990"/>
      <c r="C381" s="990"/>
      <c r="D381" s="1019"/>
      <c r="E381" s="990"/>
      <c r="F381" s="990"/>
      <c r="L381" s="1766"/>
    </row>
    <row r="382" spans="1:12" hidden="1">
      <c r="A382" s="1765"/>
      <c r="B382" s="990"/>
      <c r="C382" s="990"/>
      <c r="D382" s="1019"/>
      <c r="E382" s="990"/>
      <c r="F382" s="990"/>
      <c r="L382" s="1766"/>
    </row>
    <row r="383" spans="1:12" hidden="1">
      <c r="A383" s="1765"/>
      <c r="B383" s="990"/>
      <c r="C383" s="990"/>
      <c r="D383" s="1019"/>
      <c r="E383" s="990"/>
      <c r="F383" s="990"/>
      <c r="L383" s="1766"/>
    </row>
    <row r="384" spans="1:12" hidden="1">
      <c r="A384" s="1765"/>
      <c r="B384" s="990"/>
      <c r="C384" s="990"/>
      <c r="D384" s="1019"/>
      <c r="E384" s="990"/>
      <c r="F384" s="990"/>
      <c r="L384" s="1766"/>
    </row>
    <row r="385" spans="1:12" hidden="1">
      <c r="A385" s="1765"/>
      <c r="B385" s="990"/>
      <c r="C385" s="990"/>
      <c r="D385" s="1019"/>
      <c r="E385" s="990"/>
      <c r="F385" s="990"/>
      <c r="L385" s="1766"/>
    </row>
    <row r="386" spans="1:12" ht="15.75" thickBot="1">
      <c r="A386" s="1778"/>
      <c r="B386" s="1491"/>
      <c r="C386" s="1491"/>
      <c r="D386" s="1779"/>
      <c r="E386" s="1491"/>
      <c r="F386" s="1491"/>
      <c r="G386" s="1491"/>
      <c r="H386" s="1491"/>
      <c r="I386" s="1491"/>
      <c r="J386" s="1491"/>
      <c r="K386" s="1779"/>
      <c r="L386" s="1780"/>
    </row>
    <row r="387" spans="1:12" ht="15.75" thickTop="1"/>
  </sheetData>
  <mergeCells count="13">
    <mergeCell ref="B94:D94"/>
    <mergeCell ref="B81:K81"/>
    <mergeCell ref="A1:L1"/>
    <mergeCell ref="A2:L2"/>
    <mergeCell ref="B55:K55"/>
    <mergeCell ref="B58:K58"/>
    <mergeCell ref="B73:K73"/>
    <mergeCell ref="B56:I56"/>
    <mergeCell ref="B271:C271"/>
    <mergeCell ref="B272:C272"/>
    <mergeCell ref="B307:C307"/>
    <mergeCell ref="B350:C350"/>
    <mergeCell ref="B355:C355"/>
  </mergeCells>
  <phoneticPr fontId="0" type="noConversion"/>
  <hyperlinks>
    <hyperlink ref="B252" location="_ftn2" display="_ftn2"/>
    <hyperlink ref="B248" location="_ftn1" display="_ftn1"/>
  </hyperlinks>
  <printOptions horizontalCentered="1"/>
  <pageMargins left="0.6692913385826772" right="0.39370078740157483" top="0.98425196850393704" bottom="0.98425196850393704" header="0.51181102362204722" footer="0.51181102362204722"/>
  <pageSetup scale="66" orientation="portrait" r:id="rId1"/>
  <headerFooter>
    <oddHeader>&amp;C FINANCIAL STATEMENTS: MUSINA LOCAL MUNICIPALITY</oddHeader>
    <oddFooter>&amp;RPage &amp;P</oddFooter>
  </headerFooter>
  <rowBreaks count="4" manualBreakCount="4">
    <brk id="51" max="11" man="1"/>
    <brk id="89" max="11" man="1"/>
    <brk id="139" max="11" man="1"/>
    <brk id="194" max="11" man="1"/>
  </rowBreaks>
</worksheet>
</file>

<file path=xl/worksheets/sheet22.xml><?xml version="1.0" encoding="utf-8"?>
<worksheet xmlns="http://schemas.openxmlformats.org/spreadsheetml/2006/main" xmlns:r="http://schemas.openxmlformats.org/officeDocument/2006/relationships">
  <sheetPr>
    <pageSetUpPr fitToPage="1"/>
  </sheetPr>
  <dimension ref="A1:O52"/>
  <sheetViews>
    <sheetView tabSelected="1" view="pageBreakPreview" topLeftCell="A9" zoomScaleSheetLayoutView="100" workbookViewId="0">
      <selection activeCell="B43" sqref="B43"/>
    </sheetView>
  </sheetViews>
  <sheetFormatPr defaultRowHeight="12.75"/>
  <cols>
    <col min="1" max="1" width="44.85546875" style="837" bestFit="1" customWidth="1"/>
    <col min="2" max="2" width="2.85546875" style="837" hidden="1" customWidth="1"/>
    <col min="3" max="3" width="7.42578125" style="837" hidden="1" customWidth="1"/>
    <col min="4" max="4" width="7.42578125" style="837" customWidth="1"/>
    <col min="5" max="5" width="15.28515625" style="1118" customWidth="1"/>
    <col min="6" max="6" width="14.7109375" style="837" customWidth="1"/>
    <col min="7" max="7" width="14.85546875" style="978" bestFit="1" customWidth="1"/>
    <col min="8" max="8" width="13.7109375" style="978" bestFit="1" customWidth="1"/>
    <col min="9" max="9" width="11.28515625" style="978" bestFit="1" customWidth="1"/>
    <col min="10" max="10" width="14.7109375" style="978" bestFit="1" customWidth="1"/>
    <col min="11" max="11" width="15.140625" style="978" bestFit="1" customWidth="1"/>
    <col min="12" max="12" width="2.140625" style="837" customWidth="1"/>
    <col min="13" max="13" width="14.85546875" style="838" bestFit="1" customWidth="1"/>
    <col min="14" max="14" width="13.5703125" style="837" bestFit="1" customWidth="1"/>
    <col min="15" max="15" width="12.85546875" style="838" bestFit="1" customWidth="1"/>
    <col min="16" max="16384" width="9.140625" style="837"/>
  </cols>
  <sheetData>
    <row r="1" spans="1:15">
      <c r="A1" s="1907" t="s">
        <v>743</v>
      </c>
      <c r="B1" s="1908"/>
      <c r="C1" s="1908"/>
      <c r="D1" s="1908"/>
      <c r="E1" s="1908"/>
      <c r="F1" s="1908"/>
      <c r="G1" s="1908"/>
      <c r="H1" s="1908"/>
      <c r="I1" s="1908"/>
      <c r="J1" s="1908"/>
      <c r="K1" s="1908"/>
      <c r="L1" s="1909"/>
    </row>
    <row r="2" spans="1:15">
      <c r="A2" s="1910" t="s">
        <v>744</v>
      </c>
      <c r="B2" s="1807"/>
      <c r="C2" s="1807"/>
      <c r="D2" s="1807"/>
      <c r="E2" s="1807"/>
      <c r="F2" s="1807"/>
      <c r="G2" s="1807"/>
      <c r="H2" s="1807"/>
      <c r="I2" s="1807"/>
      <c r="J2" s="1807"/>
      <c r="K2" s="1807"/>
      <c r="L2" s="1911"/>
    </row>
    <row r="3" spans="1:15">
      <c r="A3" s="1910" t="s">
        <v>3525</v>
      </c>
      <c r="B3" s="1807"/>
      <c r="C3" s="1807"/>
      <c r="D3" s="1807"/>
      <c r="E3" s="1807"/>
      <c r="F3" s="1807"/>
      <c r="G3" s="1807"/>
      <c r="H3" s="1807"/>
      <c r="I3" s="1807"/>
      <c r="J3" s="1807"/>
      <c r="K3" s="1807"/>
      <c r="L3" s="1911"/>
    </row>
    <row r="4" spans="1:15">
      <c r="A4" s="979"/>
      <c r="B4" s="749"/>
      <c r="C4" s="749"/>
      <c r="D4" s="749"/>
      <c r="E4" s="1069"/>
      <c r="F4" s="749"/>
      <c r="G4" s="579"/>
      <c r="H4" s="579"/>
      <c r="I4" s="579"/>
      <c r="J4" s="579"/>
      <c r="K4" s="579"/>
      <c r="L4" s="840"/>
    </row>
    <row r="5" spans="1:15" ht="51">
      <c r="A5" s="1912" t="s">
        <v>748</v>
      </c>
      <c r="B5" s="1912"/>
      <c r="C5" s="1912"/>
      <c r="D5" s="1070"/>
      <c r="E5" s="1071" t="s">
        <v>749</v>
      </c>
      <c r="F5" s="1070" t="s">
        <v>750</v>
      </c>
      <c r="G5" s="1072" t="s">
        <v>3526</v>
      </c>
      <c r="H5" s="1072" t="s">
        <v>751</v>
      </c>
      <c r="I5" s="1072" t="s">
        <v>752</v>
      </c>
      <c r="J5" s="1072" t="s">
        <v>745</v>
      </c>
      <c r="K5" s="1072" t="s">
        <v>3527</v>
      </c>
      <c r="L5" s="1073"/>
    </row>
    <row r="6" spans="1:15" s="784" customFormat="1" ht="12.75" customHeight="1">
      <c r="A6" s="1074"/>
      <c r="B6" s="1075"/>
      <c r="C6" s="1075"/>
      <c r="D6" s="1076" t="s">
        <v>2303</v>
      </c>
      <c r="E6" s="1077"/>
      <c r="F6" s="1075"/>
      <c r="G6" s="1078" t="s">
        <v>2422</v>
      </c>
      <c r="H6" s="1078" t="s">
        <v>2422</v>
      </c>
      <c r="I6" s="1078" t="s">
        <v>2422</v>
      </c>
      <c r="J6" s="1078" t="s">
        <v>2422</v>
      </c>
      <c r="K6" s="1079" t="s">
        <v>2422</v>
      </c>
      <c r="L6" s="1080"/>
      <c r="M6" s="866"/>
      <c r="O6" s="866"/>
    </row>
    <row r="7" spans="1:15">
      <c r="A7" s="979"/>
      <c r="B7" s="749"/>
      <c r="C7" s="749"/>
      <c r="D7" s="749"/>
      <c r="E7" s="1069"/>
      <c r="F7" s="749"/>
      <c r="G7" s="579"/>
      <c r="H7" s="579"/>
      <c r="I7" s="579"/>
      <c r="J7" s="579"/>
      <c r="K7" s="1081"/>
      <c r="L7" s="840"/>
    </row>
    <row r="8" spans="1:15" s="784" customFormat="1" ht="12.75" customHeight="1">
      <c r="A8" s="1082" t="s">
        <v>2972</v>
      </c>
      <c r="B8" s="1083"/>
      <c r="C8" s="1084"/>
      <c r="D8" s="1084"/>
      <c r="E8" s="1085"/>
      <c r="F8" s="1086"/>
      <c r="G8" s="1087"/>
      <c r="H8" s="1087"/>
      <c r="I8" s="1087"/>
      <c r="J8" s="1087"/>
      <c r="K8" s="1088"/>
      <c r="L8" s="1089"/>
      <c r="M8" s="866" t="s">
        <v>45</v>
      </c>
      <c r="O8" s="866"/>
    </row>
    <row r="9" spans="1:15" s="784" customFormat="1" ht="12.75" customHeight="1">
      <c r="A9" s="1090" t="s">
        <v>3835</v>
      </c>
      <c r="B9" s="1091"/>
      <c r="C9" s="1092"/>
      <c r="D9" s="1092">
        <v>0.125</v>
      </c>
      <c r="E9" s="1093">
        <v>102905</v>
      </c>
      <c r="F9" s="1094" t="s">
        <v>2973</v>
      </c>
      <c r="G9" s="1095">
        <v>446051</v>
      </c>
      <c r="H9" s="1096">
        <f>28107.33+24892.26</f>
        <v>52999.59</v>
      </c>
      <c r="I9" s="1097">
        <v>0</v>
      </c>
      <c r="J9" s="1098">
        <f>'main TB'!M73</f>
        <v>92163.43</v>
      </c>
      <c r="K9" s="1099">
        <f t="shared" ref="K9:K28" si="0">+G9+I9-J9</f>
        <v>353887.57</v>
      </c>
      <c r="L9" s="1100"/>
      <c r="M9" s="866" t="s">
        <v>45</v>
      </c>
      <c r="O9" s="866"/>
    </row>
    <row r="10" spans="1:15" s="784" customFormat="1" ht="12.75" customHeight="1">
      <c r="A10" s="1090" t="s">
        <v>3836</v>
      </c>
      <c r="B10" s="1091"/>
      <c r="C10" s="1092"/>
      <c r="D10" s="1092">
        <v>0.1168</v>
      </c>
      <c r="E10" s="1093" t="s">
        <v>453</v>
      </c>
      <c r="F10" s="1094" t="s">
        <v>2974</v>
      </c>
      <c r="G10" s="1095">
        <v>233537</v>
      </c>
      <c r="H10" s="1096">
        <f>13750.66+10432.67</f>
        <v>24183.33</v>
      </c>
      <c r="I10" s="1097">
        <v>0</v>
      </c>
      <c r="J10" s="1098">
        <v>110148.03</v>
      </c>
      <c r="K10" s="1099">
        <f t="shared" si="0"/>
        <v>123388.97</v>
      </c>
      <c r="L10" s="1100"/>
      <c r="M10" s="866" t="s">
        <v>45</v>
      </c>
      <c r="O10" s="866"/>
    </row>
    <row r="11" spans="1:15" s="784" customFormat="1" ht="12.75" customHeight="1">
      <c r="A11" s="1090" t="s">
        <v>3837</v>
      </c>
      <c r="B11" s="1091"/>
      <c r="C11" s="1092"/>
      <c r="D11" s="1092">
        <v>0.1168</v>
      </c>
      <c r="E11" s="1093" t="s">
        <v>453</v>
      </c>
      <c r="F11" s="1094" t="s">
        <v>2974</v>
      </c>
      <c r="G11" s="1095">
        <v>1028172</v>
      </c>
      <c r="H11" s="1096">
        <f>60538.78+45930.96</f>
        <v>106469.73999999999</v>
      </c>
      <c r="I11" s="1097">
        <v>0</v>
      </c>
      <c r="J11" s="1098">
        <v>484938.82</v>
      </c>
      <c r="K11" s="1099">
        <f t="shared" si="0"/>
        <v>543233.17999999993</v>
      </c>
      <c r="L11" s="1100"/>
      <c r="M11" s="866" t="s">
        <v>45</v>
      </c>
      <c r="O11" s="866"/>
    </row>
    <row r="12" spans="1:15" s="784" customFormat="1" ht="12.75" customHeight="1">
      <c r="A12" s="1090" t="s">
        <v>3838</v>
      </c>
      <c r="B12" s="1091"/>
      <c r="C12" s="1092"/>
      <c r="D12" s="1092">
        <v>0.1168</v>
      </c>
      <c r="E12" s="1093" t="s">
        <v>453</v>
      </c>
      <c r="F12" s="1094" t="s">
        <v>2974</v>
      </c>
      <c r="G12" s="1095">
        <v>240609</v>
      </c>
      <c r="H12" s="1096">
        <f>14167.07+10748.6</f>
        <v>24915.67</v>
      </c>
      <c r="I12" s="1097">
        <v>0</v>
      </c>
      <c r="J12" s="1098">
        <v>113483.68</v>
      </c>
      <c r="K12" s="1099">
        <f t="shared" si="0"/>
        <v>127125.32</v>
      </c>
      <c r="L12" s="1100"/>
      <c r="M12" s="866" t="s">
        <v>45</v>
      </c>
      <c r="O12" s="866"/>
    </row>
    <row r="13" spans="1:15" s="784" customFormat="1" ht="12.75" customHeight="1">
      <c r="A13" s="1090" t="s">
        <v>3839</v>
      </c>
      <c r="B13" s="1091"/>
      <c r="C13" s="1092"/>
      <c r="D13" s="1092">
        <v>0.1168</v>
      </c>
      <c r="E13" s="1093" t="s">
        <v>453</v>
      </c>
      <c r="F13" s="1094" t="s">
        <v>2974</v>
      </c>
      <c r="G13" s="1095">
        <v>756990</v>
      </c>
      <c r="H13" s="1096">
        <f>44571.57+33816.59</f>
        <v>78388.160000000003</v>
      </c>
      <c r="I13" s="1097">
        <v>0</v>
      </c>
      <c r="J13" s="1098">
        <v>357035.36</v>
      </c>
      <c r="K13" s="1099">
        <f t="shared" si="0"/>
        <v>399954.64</v>
      </c>
      <c r="L13" s="1100"/>
      <c r="M13" s="866" t="s">
        <v>45</v>
      </c>
      <c r="O13" s="866"/>
    </row>
    <row r="14" spans="1:15" s="784" customFormat="1" ht="12.75" customHeight="1">
      <c r="A14" s="1090" t="s">
        <v>3840</v>
      </c>
      <c r="B14" s="1091"/>
      <c r="C14" s="1092"/>
      <c r="D14" s="1092">
        <v>0.1168</v>
      </c>
      <c r="E14" s="1093" t="s">
        <v>453</v>
      </c>
      <c r="F14" s="1094" t="s">
        <v>2974</v>
      </c>
      <c r="G14" s="1095">
        <v>539573</v>
      </c>
      <c r="H14" s="1096">
        <f>31770.05+24104.03</f>
        <v>55874.080000000002</v>
      </c>
      <c r="I14" s="1097">
        <v>0</v>
      </c>
      <c r="J14" s="1098">
        <v>254490.22</v>
      </c>
      <c r="K14" s="1099">
        <f t="shared" si="0"/>
        <v>285082.78000000003</v>
      </c>
      <c r="L14" s="1100"/>
      <c r="M14" s="866" t="s">
        <v>45</v>
      </c>
      <c r="O14" s="866"/>
    </row>
    <row r="15" spans="1:15" s="784" customFormat="1" ht="12.75" customHeight="1">
      <c r="A15" s="1090" t="s">
        <v>3841</v>
      </c>
      <c r="B15" s="1091"/>
      <c r="C15" s="1092"/>
      <c r="D15" s="1092">
        <v>9.7299999999999998E-2</v>
      </c>
      <c r="E15" s="1093">
        <v>102405</v>
      </c>
      <c r="F15" s="1094" t="s">
        <v>2975</v>
      </c>
      <c r="G15" s="1095">
        <v>1434906</v>
      </c>
      <c r="H15" s="1096">
        <f>70381.92+64860.42</f>
        <v>135242.34</v>
      </c>
      <c r="I15" s="1097">
        <v>0</v>
      </c>
      <c r="J15" s="1098">
        <v>34610.559999999998</v>
      </c>
      <c r="K15" s="1099">
        <f t="shared" si="0"/>
        <v>1400295.44</v>
      </c>
      <c r="L15" s="1100"/>
      <c r="M15" s="866" t="s">
        <v>45</v>
      </c>
      <c r="O15" s="866"/>
    </row>
    <row r="16" spans="1:15" s="784" customFormat="1" ht="12.75" customHeight="1">
      <c r="A16" s="1090" t="s">
        <v>3842</v>
      </c>
      <c r="B16" s="1091"/>
      <c r="C16" s="1092"/>
      <c r="D16" s="1092">
        <v>9.7299999999999998E-2</v>
      </c>
      <c r="E16" s="1093">
        <v>102405</v>
      </c>
      <c r="F16" s="1094" t="s">
        <v>2975</v>
      </c>
      <c r="G16" s="1095">
        <v>863826</v>
      </c>
      <c r="H16" s="1096">
        <f>42370.57+39046.57</f>
        <v>81417.14</v>
      </c>
      <c r="I16" s="1097">
        <v>0</v>
      </c>
      <c r="J16" s="1098">
        <v>20835.88</v>
      </c>
      <c r="K16" s="1099">
        <f t="shared" si="0"/>
        <v>842990.12</v>
      </c>
      <c r="L16" s="1100"/>
      <c r="M16" s="866" t="s">
        <v>45</v>
      </c>
      <c r="O16" s="866"/>
    </row>
    <row r="17" spans="1:15" s="784" customFormat="1" ht="12.75" customHeight="1">
      <c r="A17" s="1090" t="s">
        <v>3843</v>
      </c>
      <c r="B17" s="1091"/>
      <c r="C17" s="1092"/>
      <c r="D17" s="1092">
        <v>9.7299999999999998E-2</v>
      </c>
      <c r="E17" s="1093">
        <v>102405</v>
      </c>
      <c r="F17" s="1094" t="s">
        <v>2975</v>
      </c>
      <c r="G17" s="1095">
        <v>6314539</v>
      </c>
      <c r="H17" s="1096">
        <f>309727.25+306814.47</f>
        <v>616541.72</v>
      </c>
      <c r="I17" s="1101">
        <v>467566.93</v>
      </c>
      <c r="J17" s="1098">
        <v>158177.09</v>
      </c>
      <c r="K17" s="1099">
        <f t="shared" si="0"/>
        <v>6623928.8399999999</v>
      </c>
      <c r="L17" s="1100"/>
      <c r="M17" s="866" t="s">
        <v>45</v>
      </c>
      <c r="O17" s="866"/>
    </row>
    <row r="18" spans="1:15" s="784" customFormat="1" ht="12.75" customHeight="1">
      <c r="A18" s="1090" t="s">
        <v>3844</v>
      </c>
      <c r="B18" s="1091"/>
      <c r="C18" s="1092"/>
      <c r="D18" s="1092">
        <v>0.125</v>
      </c>
      <c r="E18" s="1093">
        <v>103431</v>
      </c>
      <c r="F18" s="1094" t="s">
        <v>2976</v>
      </c>
      <c r="G18" s="1102">
        <v>5184247</v>
      </c>
      <c r="H18" s="1096">
        <f>218410.78+222898.98</f>
        <v>441309.76</v>
      </c>
      <c r="I18" s="1101">
        <v>1007332.43</v>
      </c>
      <c r="J18" s="1103">
        <v>218410.78</v>
      </c>
      <c r="K18" s="1099">
        <f t="shared" si="0"/>
        <v>5973168.6499999994</v>
      </c>
      <c r="L18" s="1100"/>
      <c r="M18" s="866"/>
      <c r="O18" s="866"/>
    </row>
    <row r="19" spans="1:15" s="784" customFormat="1" ht="12.75" customHeight="1">
      <c r="A19" s="1090" t="s">
        <v>3845</v>
      </c>
      <c r="B19" s="1091"/>
      <c r="C19" s="1092"/>
      <c r="D19" s="1092">
        <v>0.105</v>
      </c>
      <c r="E19" s="1093">
        <v>77532299</v>
      </c>
      <c r="F19" s="1094" t="s">
        <v>2977</v>
      </c>
      <c r="G19" s="1102">
        <v>106356</v>
      </c>
      <c r="H19" s="1096">
        <f>5227.47+4486.97</f>
        <v>9714.44</v>
      </c>
      <c r="I19" s="1101">
        <v>0</v>
      </c>
      <c r="J19" s="1098">
        <v>21153.29</v>
      </c>
      <c r="K19" s="1099">
        <f t="shared" si="0"/>
        <v>85202.709999999992</v>
      </c>
      <c r="L19" s="1100"/>
      <c r="M19" s="866"/>
      <c r="O19" s="866"/>
    </row>
    <row r="20" spans="1:15" s="784" customFormat="1" ht="12.75" customHeight="1">
      <c r="A20" s="1090" t="s">
        <v>3845</v>
      </c>
      <c r="B20" s="1091"/>
      <c r="C20" s="1092"/>
      <c r="D20" s="1092">
        <v>0.105</v>
      </c>
      <c r="E20" s="1093">
        <v>77532345</v>
      </c>
      <c r="F20" s="1094" t="s">
        <v>2977</v>
      </c>
      <c r="G20" s="1102">
        <v>106356</v>
      </c>
      <c r="H20" s="1096">
        <f>5227.47+4486.97</f>
        <v>9714.44</v>
      </c>
      <c r="I20" s="1101">
        <v>0</v>
      </c>
      <c r="J20" s="1098">
        <v>21153.29</v>
      </c>
      <c r="K20" s="1099">
        <f t="shared" si="0"/>
        <v>85202.709999999992</v>
      </c>
      <c r="L20" s="1100"/>
      <c r="M20" s="866"/>
      <c r="O20" s="866"/>
    </row>
    <row r="21" spans="1:15" s="784" customFormat="1" ht="12.75" customHeight="1">
      <c r="A21" s="1090" t="s">
        <v>3846</v>
      </c>
      <c r="B21" s="1091"/>
      <c r="C21" s="1092"/>
      <c r="D21" s="1092">
        <v>0.105</v>
      </c>
      <c r="E21" s="1093">
        <v>77532043</v>
      </c>
      <c r="F21" s="1094" t="s">
        <v>2977</v>
      </c>
      <c r="G21" s="1102">
        <v>229459</v>
      </c>
      <c r="H21" s="1096">
        <f>11278.04+9680.4</f>
        <v>20958.440000000002</v>
      </c>
      <c r="I21" s="1101">
        <v>0</v>
      </c>
      <c r="J21" s="1098">
        <v>45637.26</v>
      </c>
      <c r="K21" s="1099">
        <f t="shared" si="0"/>
        <v>183821.74</v>
      </c>
      <c r="L21" s="1100"/>
      <c r="M21" s="866"/>
      <c r="O21" s="866"/>
    </row>
    <row r="22" spans="1:15" s="784" customFormat="1" ht="12.75" customHeight="1">
      <c r="A22" s="1090" t="s">
        <v>3847</v>
      </c>
      <c r="B22" s="1091"/>
      <c r="C22" s="1092"/>
      <c r="D22" s="1092">
        <v>0.105</v>
      </c>
      <c r="E22" s="1093">
        <v>77552362</v>
      </c>
      <c r="F22" s="1094" t="s">
        <v>2977</v>
      </c>
      <c r="G22" s="1102">
        <v>204239</v>
      </c>
      <c r="H22" s="1096">
        <f>10038.47+8616.42</f>
        <v>18654.89</v>
      </c>
      <c r="I22" s="1101">
        <v>0</v>
      </c>
      <c r="J22" s="1098">
        <v>40621.26</v>
      </c>
      <c r="K22" s="1099">
        <f t="shared" si="0"/>
        <v>163617.74</v>
      </c>
      <c r="L22" s="1100"/>
      <c r="M22" s="866"/>
      <c r="O22" s="866"/>
    </row>
    <row r="23" spans="1:15" s="784" customFormat="1" ht="12.75" customHeight="1">
      <c r="A23" s="1090" t="s">
        <v>3845</v>
      </c>
      <c r="B23" s="1091"/>
      <c r="C23" s="1092"/>
      <c r="D23" s="1092">
        <v>0.105</v>
      </c>
      <c r="E23" s="1093">
        <v>77532310</v>
      </c>
      <c r="F23" s="1094" t="s">
        <v>2977</v>
      </c>
      <c r="G23" s="1102">
        <v>106356</v>
      </c>
      <c r="H23" s="1096">
        <f>5227.47+4486.97</f>
        <v>9714.44</v>
      </c>
      <c r="I23" s="1101">
        <v>0</v>
      </c>
      <c r="J23" s="1098">
        <v>21153.29</v>
      </c>
      <c r="K23" s="1099">
        <f t="shared" si="0"/>
        <v>85202.709999999992</v>
      </c>
      <c r="L23" s="1100"/>
      <c r="M23" s="866"/>
      <c r="O23" s="866"/>
    </row>
    <row r="24" spans="1:15" s="784" customFormat="1" ht="12.75" customHeight="1">
      <c r="A24" s="1090" t="s">
        <v>3848</v>
      </c>
      <c r="B24" s="1091"/>
      <c r="C24" s="1092"/>
      <c r="D24" s="1092">
        <v>0.105</v>
      </c>
      <c r="E24" s="1093">
        <v>77532213</v>
      </c>
      <c r="F24" s="1094" t="s">
        <v>2977</v>
      </c>
      <c r="G24" s="1102">
        <v>260519</v>
      </c>
      <c r="H24" s="1096">
        <f>12804.65+3961.66</f>
        <v>16766.309999999998</v>
      </c>
      <c r="I24" s="1101">
        <v>0</v>
      </c>
      <c r="J24" s="1098">
        <v>34068.94</v>
      </c>
      <c r="K24" s="1099">
        <f t="shared" si="0"/>
        <v>226450.06</v>
      </c>
      <c r="L24" s="1100"/>
      <c r="M24" s="866"/>
      <c r="O24" s="866"/>
    </row>
    <row r="25" spans="1:15" s="784" customFormat="1" ht="12.75" customHeight="1">
      <c r="A25" s="1090" t="s">
        <v>3849</v>
      </c>
      <c r="B25" s="1091"/>
      <c r="C25" s="1092"/>
      <c r="D25" s="1092">
        <v>0.105</v>
      </c>
      <c r="E25" s="1093">
        <v>77531802</v>
      </c>
      <c r="F25" s="1094" t="s">
        <v>2977</v>
      </c>
      <c r="G25" s="1102">
        <v>184476</v>
      </c>
      <c r="H25" s="1096">
        <f>9067.08+7782.64</f>
        <v>16849.72</v>
      </c>
      <c r="I25" s="1101">
        <v>0</v>
      </c>
      <c r="J25" s="1098">
        <v>36690.47</v>
      </c>
      <c r="K25" s="1099">
        <f t="shared" si="0"/>
        <v>147785.53</v>
      </c>
      <c r="L25" s="1100"/>
      <c r="M25" s="866"/>
      <c r="O25" s="866"/>
    </row>
    <row r="26" spans="1:15" s="784" customFormat="1" ht="12.75" customHeight="1">
      <c r="A26" s="1090" t="s">
        <v>3850</v>
      </c>
      <c r="B26" s="1091"/>
      <c r="C26" s="1092"/>
      <c r="D26" s="1092">
        <v>0.11</v>
      </c>
      <c r="E26" s="1093">
        <v>77196795</v>
      </c>
      <c r="F26" s="1094" t="s">
        <v>2978</v>
      </c>
      <c r="G26" s="1102">
        <v>395744</v>
      </c>
      <c r="H26" s="1096">
        <f>20348.42+17355.78</f>
        <v>37704.199999999997</v>
      </c>
      <c r="I26" s="1101">
        <v>0</v>
      </c>
      <c r="J26" s="1098">
        <v>84062.88</v>
      </c>
      <c r="K26" s="1099">
        <f t="shared" si="0"/>
        <v>311681.12</v>
      </c>
      <c r="L26" s="1100"/>
      <c r="M26" s="866"/>
      <c r="O26" s="866"/>
    </row>
    <row r="27" spans="1:15" s="784" customFormat="1" ht="12.75" customHeight="1">
      <c r="A27" s="1090" t="s">
        <v>3851</v>
      </c>
      <c r="B27" s="1091"/>
      <c r="C27" s="1092"/>
      <c r="D27" s="1092">
        <v>0.105</v>
      </c>
      <c r="E27" s="1093">
        <v>77552214</v>
      </c>
      <c r="F27" s="1094" t="s">
        <v>2977</v>
      </c>
      <c r="G27" s="1102">
        <v>571030</v>
      </c>
      <c r="H27" s="1096">
        <f>28066.45+24090.55</f>
        <v>52157</v>
      </c>
      <c r="I27" s="1101">
        <v>0</v>
      </c>
      <c r="J27" s="1098">
        <v>113272.58</v>
      </c>
      <c r="K27" s="1099">
        <f t="shared" si="0"/>
        <v>457757.42</v>
      </c>
      <c r="L27" s="1100"/>
      <c r="M27" s="866"/>
      <c r="O27" s="866"/>
    </row>
    <row r="28" spans="1:15" s="784" customFormat="1" ht="12.75" customHeight="1">
      <c r="A28" s="1090" t="s">
        <v>3852</v>
      </c>
      <c r="B28" s="1091"/>
      <c r="C28" s="1092"/>
      <c r="D28" s="1092">
        <v>0.1595</v>
      </c>
      <c r="E28" s="1093" t="s">
        <v>2979</v>
      </c>
      <c r="F28" s="1094" t="s">
        <v>2974</v>
      </c>
      <c r="G28" s="1095">
        <v>232561</v>
      </c>
      <c r="H28" s="1096">
        <f>18699.2+14321.04</f>
        <v>33020.240000000005</v>
      </c>
      <c r="I28" s="1101"/>
      <c r="J28" s="1098">
        <v>107375.96</v>
      </c>
      <c r="K28" s="1099">
        <f t="shared" si="0"/>
        <v>125185.04</v>
      </c>
      <c r="L28" s="1100"/>
      <c r="M28" s="866"/>
      <c r="O28" s="866"/>
    </row>
    <row r="29" spans="1:15" s="784" customFormat="1" ht="12.75" customHeight="1">
      <c r="A29" s="1090" t="s">
        <v>3834</v>
      </c>
      <c r="B29" s="1091"/>
      <c r="C29" s="1092"/>
      <c r="D29" s="1092"/>
      <c r="E29" s="1093"/>
      <c r="F29" s="1094"/>
      <c r="G29" s="1095"/>
      <c r="H29" s="1096">
        <v>232283</v>
      </c>
      <c r="I29" s="1101"/>
      <c r="J29" s="1098"/>
      <c r="K29" s="1096"/>
      <c r="L29" s="1100"/>
      <c r="M29" s="866"/>
      <c r="O29" s="866"/>
    </row>
    <row r="30" spans="1:15" s="784" customFormat="1">
      <c r="A30" s="1905" t="s">
        <v>747</v>
      </c>
      <c r="B30" s="1906"/>
      <c r="C30" s="1906"/>
      <c r="D30" s="1906"/>
      <c r="E30" s="1906"/>
      <c r="F30" s="1091"/>
      <c r="G30" s="1104">
        <f>SUM(G8:G28)</f>
        <v>19439546</v>
      </c>
      <c r="H30" s="1104">
        <f>SUM(H8:H29)</f>
        <v>2074878.6499999997</v>
      </c>
      <c r="I30" s="1104">
        <f>SUM(I8:I28)</f>
        <v>1474899.36</v>
      </c>
      <c r="J30" s="1104">
        <f>SUM(J8:J28)</f>
        <v>2369483.0699999998</v>
      </c>
      <c r="K30" s="1104">
        <f>SUM(K8:K28)</f>
        <v>18544962.289999999</v>
      </c>
      <c r="L30" s="1105"/>
      <c r="M30" s="866" t="s">
        <v>45</v>
      </c>
      <c r="N30" s="1106"/>
      <c r="O30" s="866"/>
    </row>
    <row r="31" spans="1:15" s="784" customFormat="1" ht="13.5" customHeight="1">
      <c r="A31" s="1107"/>
      <c r="B31" s="1902"/>
      <c r="C31" s="1902"/>
      <c r="D31" s="1108"/>
      <c r="E31" s="1109"/>
      <c r="F31" s="1091"/>
      <c r="G31" s="1096"/>
      <c r="H31" s="1096"/>
      <c r="I31" s="1096"/>
      <c r="J31" s="1096"/>
      <c r="K31" s="1099"/>
      <c r="L31" s="1100"/>
      <c r="M31" s="866"/>
      <c r="O31" s="866"/>
    </row>
    <row r="32" spans="1:15" s="784" customFormat="1" ht="13.5" customHeight="1">
      <c r="A32" s="1107" t="s">
        <v>3157</v>
      </c>
      <c r="B32" s="1108"/>
      <c r="C32" s="1108"/>
      <c r="D32" s="1108"/>
      <c r="E32" s="1109" t="s">
        <v>3158</v>
      </c>
      <c r="F32" s="1091" t="s">
        <v>3159</v>
      </c>
      <c r="G32" s="1096">
        <v>2190279</v>
      </c>
      <c r="H32" s="1096"/>
      <c r="I32" s="1096">
        <v>0</v>
      </c>
      <c r="J32" s="1096">
        <v>1239686.4099999999</v>
      </c>
      <c r="K32" s="1099">
        <f>+G32-J32</f>
        <v>950592.59000000008</v>
      </c>
      <c r="L32" s="1100"/>
      <c r="M32" s="866"/>
      <c r="O32" s="866"/>
    </row>
    <row r="33" spans="1:15" s="784" customFormat="1" ht="13.5" customHeight="1">
      <c r="A33" s="1107"/>
      <c r="B33" s="1108"/>
      <c r="C33" s="1108"/>
      <c r="D33" s="1108"/>
      <c r="E33" s="1109"/>
      <c r="F33" s="1091"/>
      <c r="G33" s="1096"/>
      <c r="H33" s="1096"/>
      <c r="I33" s="1096"/>
      <c r="J33" s="1096"/>
      <c r="K33" s="1099"/>
      <c r="L33" s="1100"/>
      <c r="M33" s="866"/>
      <c r="O33" s="866"/>
    </row>
    <row r="34" spans="1:15" s="784" customFormat="1">
      <c r="A34" s="1903"/>
      <c r="B34" s="1904"/>
      <c r="C34" s="1108"/>
      <c r="D34" s="1108"/>
      <c r="E34" s="1091"/>
      <c r="F34" s="1091"/>
      <c r="G34" s="1096"/>
      <c r="H34" s="1096"/>
      <c r="I34" s="1096"/>
      <c r="J34" s="1096"/>
      <c r="K34" s="1099"/>
      <c r="L34" s="1100"/>
      <c r="M34" s="866"/>
      <c r="O34" s="866"/>
    </row>
    <row r="35" spans="1:15" s="784" customFormat="1">
      <c r="A35" s="1905" t="s">
        <v>512</v>
      </c>
      <c r="B35" s="1906"/>
      <c r="C35" s="1906"/>
      <c r="D35" s="1906"/>
      <c r="E35" s="1906"/>
      <c r="F35" s="1110"/>
      <c r="G35" s="1104">
        <f>G30</f>
        <v>19439546</v>
      </c>
      <c r="H35" s="1104">
        <f>H30</f>
        <v>2074878.6499999997</v>
      </c>
      <c r="I35" s="1104">
        <f>SUM(I30:I34)</f>
        <v>1474899.36</v>
      </c>
      <c r="J35" s="1104">
        <f>SUM(J30:J34)</f>
        <v>3609169.4799999995</v>
      </c>
      <c r="K35" s="1111">
        <f>SUM(K30:K34)</f>
        <v>19495554.879999999</v>
      </c>
      <c r="L35" s="1112"/>
      <c r="M35" s="866"/>
      <c r="O35" s="866"/>
    </row>
    <row r="36" spans="1:15">
      <c r="A36" s="1900"/>
      <c r="B36" s="1901"/>
      <c r="C36" s="1113"/>
      <c r="D36" s="1113"/>
      <c r="E36" s="1114"/>
      <c r="F36" s="1114"/>
      <c r="G36" s="1115"/>
      <c r="H36" s="1115"/>
      <c r="I36" s="1115"/>
      <c r="J36" s="1115"/>
      <c r="K36" s="1116"/>
      <c r="L36" s="1117"/>
    </row>
    <row r="38" spans="1:15">
      <c r="G38" s="978" t="s">
        <v>45</v>
      </c>
      <c r="J38" s="978" t="s">
        <v>45</v>
      </c>
    </row>
    <row r="39" spans="1:15">
      <c r="K39" s="838"/>
    </row>
    <row r="40" spans="1:15">
      <c r="K40" s="838"/>
    </row>
    <row r="41" spans="1:15">
      <c r="K41" s="838"/>
    </row>
    <row r="42" spans="1:15">
      <c r="K42" s="838"/>
    </row>
    <row r="43" spans="1:15">
      <c r="K43" s="838"/>
    </row>
    <row r="44" spans="1:15">
      <c r="K44" s="838"/>
    </row>
    <row r="45" spans="1:15" ht="15">
      <c r="K45" s="1119"/>
    </row>
    <row r="46" spans="1:15">
      <c r="K46" s="838"/>
      <c r="N46" s="838"/>
    </row>
    <row r="47" spans="1:15">
      <c r="K47" s="838"/>
      <c r="N47" s="838"/>
    </row>
    <row r="48" spans="1:15">
      <c r="K48" s="838"/>
      <c r="N48" s="978"/>
    </row>
    <row r="49" spans="11:14">
      <c r="K49" s="838"/>
      <c r="N49" s="978"/>
    </row>
    <row r="50" spans="11:14">
      <c r="K50" s="838"/>
      <c r="N50" s="978"/>
    </row>
    <row r="51" spans="11:14">
      <c r="N51" s="978"/>
    </row>
    <row r="52" spans="11:14">
      <c r="N52" s="978"/>
    </row>
  </sheetData>
  <mergeCells count="9">
    <mergeCell ref="A36:B36"/>
    <mergeCell ref="B31:C31"/>
    <mergeCell ref="A34:B34"/>
    <mergeCell ref="A30:E30"/>
    <mergeCell ref="A1:L1"/>
    <mergeCell ref="A2:L2"/>
    <mergeCell ref="A3:L3"/>
    <mergeCell ref="A35:E35"/>
    <mergeCell ref="A5:C5"/>
  </mergeCells>
  <phoneticPr fontId="0" type="noConversion"/>
  <printOptions horizontalCentered="1"/>
  <pageMargins left="0.6692913385826772" right="0.39370078740157483" top="0.98425196850393704" bottom="0.98425196850393704" header="0.51181102362204722" footer="0.51181102362204722"/>
  <pageSetup scale="82" orientation="landscape" r:id="rId1"/>
  <headerFooter>
    <oddHeader>&amp;C FINANCIAL STATEMENTS: MUSINA LOCAL MUNICIPALITY</oddHeader>
    <oddFooter>&amp;RPage &amp;P</oddFooter>
  </headerFooter>
</worksheet>
</file>

<file path=xl/worksheets/sheet23.xml><?xml version="1.0" encoding="utf-8"?>
<worksheet xmlns="http://schemas.openxmlformats.org/spreadsheetml/2006/main" xmlns:r="http://schemas.openxmlformats.org/officeDocument/2006/relationships">
  <sheetPr>
    <pageSetUpPr fitToPage="1"/>
  </sheetPr>
  <dimension ref="A1:R4201"/>
  <sheetViews>
    <sheetView tabSelected="1" view="pageBreakPreview" topLeftCell="A13" zoomScaleNormal="98" zoomScaleSheetLayoutView="100" workbookViewId="0">
      <selection activeCell="B43" sqref="B43"/>
    </sheetView>
  </sheetViews>
  <sheetFormatPr defaultRowHeight="12.75"/>
  <cols>
    <col min="1" max="1" width="19.28515625" style="671" customWidth="1"/>
    <col min="2" max="2" width="13.7109375" style="673" bestFit="1" customWidth="1"/>
    <col min="3" max="3" width="11.85546875" style="673" bestFit="1" customWidth="1"/>
    <col min="4" max="4" width="11.85546875" style="673" customWidth="1"/>
    <col min="5" max="5" width="10" style="673" bestFit="1" customWidth="1"/>
    <col min="6" max="6" width="10.85546875" style="673" bestFit="1" customWidth="1"/>
    <col min="7" max="7" width="13.7109375" style="673" bestFit="1" customWidth="1"/>
    <col min="8" max="8" width="1" style="673" customWidth="1"/>
    <col min="9" max="9" width="13.7109375" style="673" bestFit="1" customWidth="1"/>
    <col min="10" max="10" width="14" style="673" bestFit="1" customWidth="1"/>
    <col min="11" max="11" width="14" style="673" customWidth="1"/>
    <col min="12" max="12" width="8.5703125" style="673" bestFit="1" customWidth="1"/>
    <col min="13" max="13" width="13.7109375" style="673" bestFit="1" customWidth="1"/>
    <col min="14" max="14" width="0.85546875" style="673" customWidth="1"/>
    <col min="15" max="15" width="12.28515625" style="673" bestFit="1" customWidth="1"/>
    <col min="16" max="16" width="14.140625" style="671" bestFit="1" customWidth="1"/>
    <col min="17" max="17" width="11.7109375" style="735" bestFit="1" customWidth="1"/>
    <col min="18" max="18" width="11.85546875" style="735" bestFit="1" customWidth="1"/>
    <col min="19" max="16384" width="9.140625" style="671"/>
  </cols>
  <sheetData>
    <row r="1" spans="1:17">
      <c r="A1" s="1914" t="s">
        <v>753</v>
      </c>
      <c r="B1" s="1914"/>
      <c r="C1" s="1914"/>
      <c r="D1" s="1914"/>
      <c r="E1" s="1914"/>
      <c r="F1" s="1914"/>
      <c r="G1" s="1914"/>
      <c r="H1" s="1914"/>
      <c r="I1" s="1914"/>
      <c r="J1" s="1914"/>
      <c r="K1" s="1914"/>
      <c r="L1" s="1914"/>
      <c r="M1" s="1914"/>
      <c r="N1" s="1914"/>
      <c r="O1" s="1914"/>
      <c r="P1" s="1914"/>
    </row>
    <row r="2" spans="1:17">
      <c r="A2" s="1914" t="s">
        <v>754</v>
      </c>
      <c r="B2" s="1914"/>
      <c r="C2" s="1914"/>
      <c r="D2" s="1914"/>
      <c r="E2" s="1914"/>
      <c r="F2" s="1914"/>
      <c r="G2" s="1914"/>
      <c r="H2" s="1914"/>
      <c r="I2" s="1914"/>
      <c r="J2" s="1914"/>
      <c r="K2" s="1914"/>
      <c r="L2" s="1914"/>
      <c r="M2" s="1914"/>
      <c r="N2" s="1914"/>
      <c r="O2" s="1914"/>
      <c r="P2" s="1914"/>
    </row>
    <row r="3" spans="1:17">
      <c r="A3" s="1914" t="s">
        <v>3525</v>
      </c>
      <c r="B3" s="1914"/>
      <c r="C3" s="1914"/>
      <c r="D3" s="1914"/>
      <c r="E3" s="1914"/>
      <c r="F3" s="1914"/>
      <c r="G3" s="1914"/>
      <c r="H3" s="1914"/>
      <c r="I3" s="1914"/>
      <c r="J3" s="1914"/>
      <c r="K3" s="1914"/>
      <c r="L3" s="1914"/>
      <c r="M3" s="1914"/>
      <c r="N3" s="1914"/>
      <c r="O3" s="1914"/>
      <c r="P3" s="1914"/>
    </row>
    <row r="4" spans="1:17">
      <c r="A4" s="949"/>
      <c r="B4" s="676"/>
      <c r="C4" s="676"/>
      <c r="D4" s="676"/>
      <c r="E4" s="676"/>
      <c r="F4" s="676"/>
      <c r="G4" s="676"/>
      <c r="H4" s="676"/>
      <c r="I4" s="676"/>
      <c r="J4" s="676"/>
      <c r="K4" s="676"/>
      <c r="L4" s="676"/>
      <c r="M4" s="676"/>
      <c r="N4" s="676"/>
      <c r="O4" s="676"/>
      <c r="P4" s="679"/>
    </row>
    <row r="5" spans="1:17" ht="14.25" customHeight="1">
      <c r="A5" s="1120"/>
      <c r="B5" s="1915" t="s">
        <v>755</v>
      </c>
      <c r="C5" s="1916"/>
      <c r="D5" s="1916"/>
      <c r="E5" s="1916"/>
      <c r="F5" s="1916"/>
      <c r="G5" s="1917"/>
      <c r="H5" s="1121"/>
      <c r="I5" s="1915" t="s">
        <v>756</v>
      </c>
      <c r="J5" s="1916"/>
      <c r="K5" s="1916"/>
      <c r="L5" s="1916"/>
      <c r="M5" s="1917"/>
      <c r="N5" s="1121"/>
      <c r="O5" s="1122"/>
      <c r="P5" s="1123"/>
      <c r="Q5" s="1124"/>
    </row>
    <row r="6" spans="1:17" ht="38.25">
      <c r="A6" s="1125"/>
      <c r="B6" s="691" t="s">
        <v>3761</v>
      </c>
      <c r="C6" s="691" t="s">
        <v>2148</v>
      </c>
      <c r="D6" s="691" t="s">
        <v>3937</v>
      </c>
      <c r="E6" s="691" t="s">
        <v>1014</v>
      </c>
      <c r="F6" s="691" t="s">
        <v>506</v>
      </c>
      <c r="G6" s="691" t="s">
        <v>3762</v>
      </c>
      <c r="H6" s="711"/>
      <c r="I6" s="691" t="s">
        <v>3761</v>
      </c>
      <c r="J6" s="691" t="s">
        <v>1015</v>
      </c>
      <c r="K6" s="691" t="s">
        <v>2035</v>
      </c>
      <c r="L6" s="954" t="s">
        <v>1016</v>
      </c>
      <c r="M6" s="691" t="s">
        <v>3762</v>
      </c>
      <c r="N6" s="711"/>
      <c r="O6" s="691" t="s">
        <v>2146</v>
      </c>
      <c r="P6" s="691" t="s">
        <v>3763</v>
      </c>
      <c r="Q6" s="1126"/>
    </row>
    <row r="7" spans="1:17">
      <c r="A7" s="1127"/>
      <c r="B7" s="772" t="s">
        <v>2422</v>
      </c>
      <c r="C7" s="772" t="s">
        <v>2422</v>
      </c>
      <c r="D7" s="772"/>
      <c r="E7" s="772" t="s">
        <v>2422</v>
      </c>
      <c r="F7" s="772" t="s">
        <v>2422</v>
      </c>
      <c r="G7" s="772" t="s">
        <v>2422</v>
      </c>
      <c r="H7" s="772"/>
      <c r="I7" s="772" t="s">
        <v>2422</v>
      </c>
      <c r="J7" s="772" t="s">
        <v>2422</v>
      </c>
      <c r="K7" s="772"/>
      <c r="L7" s="711" t="s">
        <v>2422</v>
      </c>
      <c r="M7" s="772" t="s">
        <v>2422</v>
      </c>
      <c r="N7" s="772"/>
      <c r="O7" s="772" t="s">
        <v>2422</v>
      </c>
      <c r="P7" s="773" t="s">
        <v>2422</v>
      </c>
      <c r="Q7" s="1128"/>
    </row>
    <row r="8" spans="1:17">
      <c r="A8" s="1125" t="s">
        <v>761</v>
      </c>
      <c r="B8" s="727">
        <f>SUM(B9:B19)</f>
        <v>26358572.659999996</v>
      </c>
      <c r="C8" s="727">
        <f>SUM(C9:C19)</f>
        <v>2175147.5999999996</v>
      </c>
      <c r="D8" s="727"/>
      <c r="E8" s="727">
        <f>SUM(E9:E19)</f>
        <v>0</v>
      </c>
      <c r="F8" s="727">
        <f>SUM(F9:F19)</f>
        <v>0</v>
      </c>
      <c r="G8" s="727">
        <f>SUM(G9:G19)</f>
        <v>28533720.259999998</v>
      </c>
      <c r="H8" s="727"/>
      <c r="I8" s="727">
        <f>SUM(I9:I19)</f>
        <v>11836241</v>
      </c>
      <c r="J8" s="727">
        <f>SUM(J9:J19)</f>
        <v>1317335.2899999998</v>
      </c>
      <c r="K8" s="727">
        <f>SUM(K9:K18)</f>
        <v>-119211</v>
      </c>
      <c r="L8" s="727">
        <f>SUM(L9:L19)</f>
        <v>0</v>
      </c>
      <c r="M8" s="727">
        <f>SUM(M9:M19)</f>
        <v>13034365.289999999</v>
      </c>
      <c r="N8" s="727"/>
      <c r="O8" s="727">
        <f>SUM(O9:O19)</f>
        <v>15499354.970000001</v>
      </c>
      <c r="P8" s="1129">
        <f>SUM(P9:P19)</f>
        <v>0</v>
      </c>
      <c r="Q8" s="1130">
        <f>13051376-12756324.61</f>
        <v>295051.3900000006</v>
      </c>
    </row>
    <row r="9" spans="1:17" ht="25.5">
      <c r="A9" s="1131" t="s">
        <v>762</v>
      </c>
      <c r="B9" s="729">
        <v>11585393</v>
      </c>
      <c r="C9" s="729">
        <f>531500+20214.95</f>
        <v>551714.94999999995</v>
      </c>
      <c r="D9" s="729"/>
      <c r="E9" s="729">
        <v>0</v>
      </c>
      <c r="F9" s="729">
        <v>0</v>
      </c>
      <c r="G9" s="729">
        <f>+B9+C9+E9-F9</f>
        <v>12137107.949999999</v>
      </c>
      <c r="H9" s="765"/>
      <c r="I9" s="729">
        <v>8078566</v>
      </c>
      <c r="J9" s="729">
        <v>641165.01</v>
      </c>
      <c r="K9" s="729">
        <v>4849</v>
      </c>
      <c r="L9" s="1132">
        <v>0</v>
      </c>
      <c r="M9" s="729">
        <f>+I9+J9-L9+K9</f>
        <v>8724580.0099999998</v>
      </c>
      <c r="N9" s="765"/>
      <c r="O9" s="729">
        <f>+G9-M9</f>
        <v>3412527.9399999995</v>
      </c>
      <c r="P9" s="729">
        <v>0</v>
      </c>
      <c r="Q9" s="1133"/>
    </row>
    <row r="10" spans="1:17" ht="25.5">
      <c r="A10" s="1131" t="s">
        <v>763</v>
      </c>
      <c r="B10" s="553">
        <v>42306.26</v>
      </c>
      <c r="C10" s="553">
        <v>0</v>
      </c>
      <c r="D10" s="553"/>
      <c r="E10" s="553">
        <v>0</v>
      </c>
      <c r="F10" s="553">
        <v>0</v>
      </c>
      <c r="G10" s="553">
        <f t="shared" ref="G10:G19" si="0">+B10+C10+E10-F10</f>
        <v>42306.26</v>
      </c>
      <c r="H10" s="765"/>
      <c r="I10" s="553">
        <v>36152</v>
      </c>
      <c r="J10" s="553">
        <v>1691.45</v>
      </c>
      <c r="K10" s="553">
        <v>-24577</v>
      </c>
      <c r="L10" s="1131">
        <v>0</v>
      </c>
      <c r="M10" s="553">
        <f t="shared" ref="M10:M19" si="1">+I10+J10-L10+K10</f>
        <v>13266.449999999997</v>
      </c>
      <c r="N10" s="765"/>
      <c r="O10" s="553">
        <f t="shared" ref="O10:O19" si="2">+G10-M10</f>
        <v>29039.810000000005</v>
      </c>
      <c r="P10" s="553">
        <v>0</v>
      </c>
      <c r="Q10" s="1133"/>
    </row>
    <row r="11" spans="1:17" ht="38.25">
      <c r="A11" s="1131" t="s">
        <v>764</v>
      </c>
      <c r="B11" s="553">
        <v>0</v>
      </c>
      <c r="C11" s="553">
        <v>0</v>
      </c>
      <c r="D11" s="553"/>
      <c r="E11" s="553">
        <v>0</v>
      </c>
      <c r="F11" s="553">
        <v>0</v>
      </c>
      <c r="G11" s="553">
        <f t="shared" si="0"/>
        <v>0</v>
      </c>
      <c r="H11" s="765"/>
      <c r="I11" s="553"/>
      <c r="J11" s="553">
        <v>0</v>
      </c>
      <c r="K11" s="553"/>
      <c r="L11" s="1131">
        <v>0</v>
      </c>
      <c r="M11" s="553">
        <f t="shared" si="1"/>
        <v>0</v>
      </c>
      <c r="N11" s="765"/>
      <c r="O11" s="553">
        <f t="shared" si="2"/>
        <v>0</v>
      </c>
      <c r="P11" s="553">
        <v>0</v>
      </c>
      <c r="Q11" s="1133"/>
    </row>
    <row r="12" spans="1:17" ht="25.5">
      <c r="A12" s="1131" t="s">
        <v>765</v>
      </c>
      <c r="B12" s="553">
        <v>13634606</v>
      </c>
      <c r="C12" s="553">
        <v>1311493.6499999999</v>
      </c>
      <c r="D12" s="553"/>
      <c r="E12" s="553">
        <v>0</v>
      </c>
      <c r="F12" s="553">
        <v>0</v>
      </c>
      <c r="G12" s="553">
        <f t="shared" si="0"/>
        <v>14946099.65</v>
      </c>
      <c r="H12" s="765"/>
      <c r="I12" s="553">
        <v>3382952</v>
      </c>
      <c r="J12" s="553">
        <v>543748.84</v>
      </c>
      <c r="K12" s="553">
        <v>-120048</v>
      </c>
      <c r="L12" s="1131">
        <v>0</v>
      </c>
      <c r="M12" s="553">
        <f t="shared" si="1"/>
        <v>3806652.84</v>
      </c>
      <c r="N12" s="1134"/>
      <c r="O12" s="553">
        <f t="shared" si="2"/>
        <v>11139446.810000001</v>
      </c>
      <c r="P12" s="553">
        <v>0</v>
      </c>
      <c r="Q12" s="1133"/>
    </row>
    <row r="13" spans="1:17" ht="38.25">
      <c r="A13" s="1131" t="s">
        <v>766</v>
      </c>
      <c r="B13" s="553">
        <v>300951</v>
      </c>
      <c r="C13" s="553">
        <v>301989</v>
      </c>
      <c r="D13" s="553"/>
      <c r="E13" s="553">
        <v>0</v>
      </c>
      <c r="F13" s="553">
        <v>0</v>
      </c>
      <c r="G13" s="553">
        <f t="shared" si="0"/>
        <v>602940</v>
      </c>
      <c r="H13" s="765"/>
      <c r="I13" s="553">
        <v>15785</v>
      </c>
      <c r="J13" s="553">
        <v>12036.82</v>
      </c>
      <c r="K13" s="553">
        <v>-3139</v>
      </c>
      <c r="L13" s="1131">
        <v>0</v>
      </c>
      <c r="M13" s="553">
        <f t="shared" si="1"/>
        <v>24682.82</v>
      </c>
      <c r="N13" s="765"/>
      <c r="O13" s="553">
        <f t="shared" si="2"/>
        <v>578257.18000000005</v>
      </c>
      <c r="P13" s="553">
        <v>0</v>
      </c>
      <c r="Q13" s="1133"/>
    </row>
    <row r="14" spans="1:17">
      <c r="A14" s="1131" t="s">
        <v>767</v>
      </c>
      <c r="B14" s="553">
        <v>0</v>
      </c>
      <c r="C14" s="553">
        <v>0</v>
      </c>
      <c r="D14" s="553"/>
      <c r="E14" s="553">
        <v>0</v>
      </c>
      <c r="F14" s="553">
        <v>0</v>
      </c>
      <c r="G14" s="553">
        <f t="shared" si="0"/>
        <v>0</v>
      </c>
      <c r="H14" s="765"/>
      <c r="I14" s="553"/>
      <c r="J14" s="553">
        <v>0</v>
      </c>
      <c r="K14" s="553"/>
      <c r="L14" s="1131">
        <v>0</v>
      </c>
      <c r="M14" s="553">
        <f t="shared" si="1"/>
        <v>0</v>
      </c>
      <c r="N14" s="765"/>
      <c r="O14" s="553">
        <f t="shared" si="2"/>
        <v>0</v>
      </c>
      <c r="P14" s="553">
        <v>0</v>
      </c>
      <c r="Q14" s="1133"/>
    </row>
    <row r="15" spans="1:17">
      <c r="A15" s="1131" t="s">
        <v>768</v>
      </c>
      <c r="B15" s="553">
        <v>0</v>
      </c>
      <c r="C15" s="553">
        <v>0</v>
      </c>
      <c r="D15" s="553"/>
      <c r="E15" s="553">
        <v>0</v>
      </c>
      <c r="F15" s="553">
        <v>0</v>
      </c>
      <c r="G15" s="553">
        <f t="shared" si="0"/>
        <v>0</v>
      </c>
      <c r="H15" s="765"/>
      <c r="I15" s="553"/>
      <c r="J15" s="553">
        <v>0</v>
      </c>
      <c r="K15" s="553"/>
      <c r="L15" s="1131">
        <v>0</v>
      </c>
      <c r="M15" s="553">
        <f t="shared" si="1"/>
        <v>0</v>
      </c>
      <c r="N15" s="765"/>
      <c r="O15" s="553">
        <f t="shared" si="2"/>
        <v>0</v>
      </c>
      <c r="P15" s="553">
        <v>0</v>
      </c>
      <c r="Q15" s="1133"/>
    </row>
    <row r="16" spans="1:17">
      <c r="A16" s="1131" t="s">
        <v>769</v>
      </c>
      <c r="B16" s="553">
        <v>0</v>
      </c>
      <c r="C16" s="553">
        <v>0</v>
      </c>
      <c r="D16" s="553"/>
      <c r="E16" s="553">
        <v>0</v>
      </c>
      <c r="F16" s="553">
        <v>0</v>
      </c>
      <c r="G16" s="553">
        <f t="shared" si="0"/>
        <v>0</v>
      </c>
      <c r="H16" s="765"/>
      <c r="I16" s="553"/>
      <c r="J16" s="553">
        <v>0</v>
      </c>
      <c r="K16" s="553"/>
      <c r="L16" s="1131">
        <v>0</v>
      </c>
      <c r="M16" s="553">
        <f t="shared" si="1"/>
        <v>0</v>
      </c>
      <c r="N16" s="765"/>
      <c r="O16" s="553">
        <f t="shared" si="2"/>
        <v>0</v>
      </c>
      <c r="P16" s="553">
        <v>0</v>
      </c>
      <c r="Q16" s="1133"/>
    </row>
    <row r="17" spans="1:18">
      <c r="A17" s="1131" t="s">
        <v>1023</v>
      </c>
      <c r="B17" s="553">
        <v>355692.4</v>
      </c>
      <c r="C17" s="553">
        <v>0</v>
      </c>
      <c r="D17" s="553"/>
      <c r="E17" s="553"/>
      <c r="F17" s="553"/>
      <c r="G17" s="553">
        <f t="shared" si="0"/>
        <v>355692.4</v>
      </c>
      <c r="H17" s="765"/>
      <c r="I17" s="553">
        <v>118563</v>
      </c>
      <c r="J17" s="553">
        <v>14227.66</v>
      </c>
      <c r="K17" s="553">
        <v>23720</v>
      </c>
      <c r="L17" s="1131"/>
      <c r="M17" s="553">
        <f t="shared" si="1"/>
        <v>156510.66</v>
      </c>
      <c r="N17" s="765"/>
      <c r="O17" s="553">
        <f>+G17-M17</f>
        <v>199181.74000000002</v>
      </c>
      <c r="P17" s="553">
        <v>0</v>
      </c>
      <c r="Q17" s="1133"/>
    </row>
    <row r="18" spans="1:18">
      <c r="A18" s="1131" t="s">
        <v>1024</v>
      </c>
      <c r="B18" s="553">
        <v>439624</v>
      </c>
      <c r="C18" s="553">
        <v>9950</v>
      </c>
      <c r="D18" s="553"/>
      <c r="E18" s="553"/>
      <c r="F18" s="553"/>
      <c r="G18" s="553">
        <f t="shared" si="0"/>
        <v>449574</v>
      </c>
      <c r="H18" s="765"/>
      <c r="I18" s="553">
        <v>204223</v>
      </c>
      <c r="J18" s="553">
        <v>104465.51</v>
      </c>
      <c r="K18" s="553">
        <v>-16</v>
      </c>
      <c r="L18" s="1131"/>
      <c r="M18" s="553">
        <f t="shared" si="1"/>
        <v>308672.51</v>
      </c>
      <c r="N18" s="765"/>
      <c r="O18" s="553">
        <f>+G18-M18</f>
        <v>140901.49</v>
      </c>
      <c r="P18" s="553">
        <v>0</v>
      </c>
      <c r="Q18" s="1133"/>
    </row>
    <row r="19" spans="1:18" ht="25.5">
      <c r="A19" s="1131" t="s">
        <v>770</v>
      </c>
      <c r="B19" s="730">
        <v>0</v>
      </c>
      <c r="C19" s="730">
        <v>0</v>
      </c>
      <c r="D19" s="730"/>
      <c r="E19" s="730">
        <v>0</v>
      </c>
      <c r="F19" s="730">
        <v>0</v>
      </c>
      <c r="G19" s="730">
        <f t="shared" si="0"/>
        <v>0</v>
      </c>
      <c r="H19" s="765"/>
      <c r="I19" s="730"/>
      <c r="J19" s="730">
        <v>0</v>
      </c>
      <c r="K19" s="730"/>
      <c r="L19" s="1135">
        <v>0</v>
      </c>
      <c r="M19" s="730">
        <f t="shared" si="1"/>
        <v>0</v>
      </c>
      <c r="N19" s="765"/>
      <c r="O19" s="730">
        <f t="shared" si="2"/>
        <v>0</v>
      </c>
      <c r="P19" s="730">
        <v>0</v>
      </c>
      <c r="Q19" s="1133"/>
    </row>
    <row r="20" spans="1:18" s="1138" customFormat="1" ht="12.75" customHeight="1">
      <c r="A20" s="1131"/>
      <c r="B20" s="765"/>
      <c r="C20" s="765"/>
      <c r="D20" s="765"/>
      <c r="E20" s="765"/>
      <c r="F20" s="765"/>
      <c r="G20" s="765"/>
      <c r="H20" s="765"/>
      <c r="I20" s="765"/>
      <c r="J20" s="765"/>
      <c r="K20" s="765"/>
      <c r="L20" s="713"/>
      <c r="M20" s="765"/>
      <c r="N20" s="765"/>
      <c r="O20" s="765"/>
      <c r="P20" s="1136"/>
      <c r="Q20" s="1133"/>
      <c r="R20" s="1137"/>
    </row>
    <row r="21" spans="1:18" ht="25.5">
      <c r="A21" s="1125" t="s">
        <v>771</v>
      </c>
      <c r="B21" s="727">
        <f>SUM(B22:B24)</f>
        <v>77263592.280000001</v>
      </c>
      <c r="C21" s="727">
        <f>SUM(C22:C24)</f>
        <v>9463953.1300000008</v>
      </c>
      <c r="D21" s="727"/>
      <c r="E21" s="727">
        <f>SUM(E22:E24)</f>
        <v>0</v>
      </c>
      <c r="F21" s="727">
        <f>SUM(F22:F24)</f>
        <v>-4626370</v>
      </c>
      <c r="G21" s="727">
        <f>SUM(G22:G24)</f>
        <v>82101175.409999996</v>
      </c>
      <c r="H21" s="727"/>
      <c r="I21" s="727">
        <f>SUM(I22:I24)</f>
        <v>5130221</v>
      </c>
      <c r="J21" s="727">
        <f>SUM(J22:J24)</f>
        <v>1099236.95</v>
      </c>
      <c r="K21" s="727">
        <f>SUM(K22:K24)</f>
        <v>-823522</v>
      </c>
      <c r="L21" s="727">
        <f>SUM(L22:L24)</f>
        <v>0</v>
      </c>
      <c r="M21" s="727">
        <f>SUM(M22:M24)</f>
        <v>5405935.9499999993</v>
      </c>
      <c r="N21" s="727"/>
      <c r="O21" s="727">
        <f>SUM(O22:O24)</f>
        <v>76695239.460000008</v>
      </c>
      <c r="P21" s="1129">
        <f>SUM(P22:P24)</f>
        <v>0</v>
      </c>
      <c r="Q21" s="1130"/>
    </row>
    <row r="22" spans="1:18">
      <c r="A22" s="1131" t="s">
        <v>1027</v>
      </c>
      <c r="B22" s="729">
        <v>32033511</v>
      </c>
      <c r="C22" s="729">
        <f>1441055.52+368918.3+411515.87</f>
        <v>2221489.69</v>
      </c>
      <c r="D22" s="729"/>
      <c r="E22" s="729">
        <v>0</v>
      </c>
      <c r="F22" s="729">
        <v>0</v>
      </c>
      <c r="G22" s="729">
        <f>+B22+C22+E22-F22</f>
        <v>34255000.689999998</v>
      </c>
      <c r="H22" s="765"/>
      <c r="I22" s="729">
        <v>4975668</v>
      </c>
      <c r="J22" s="729">
        <f>1041209.97+26317.67</f>
        <v>1067527.6399999999</v>
      </c>
      <c r="K22" s="729">
        <v>-772015</v>
      </c>
      <c r="L22" s="1132">
        <v>0</v>
      </c>
      <c r="M22" s="729">
        <f>+I22+J22-L22+K22</f>
        <v>5271180.6399999997</v>
      </c>
      <c r="N22" s="765"/>
      <c r="O22" s="729">
        <f>+G22-M22</f>
        <v>28983820.049999997</v>
      </c>
      <c r="P22" s="729">
        <v>0</v>
      </c>
      <c r="Q22" s="1133"/>
    </row>
    <row r="23" spans="1:18">
      <c r="A23" s="1131" t="s">
        <v>1049</v>
      </c>
      <c r="B23" s="553">
        <v>951281.28</v>
      </c>
      <c r="C23" s="553">
        <f>6461740.44+215723</f>
        <v>6677463.4400000004</v>
      </c>
      <c r="D23" s="553"/>
      <c r="E23" s="553">
        <v>0</v>
      </c>
      <c r="F23" s="553">
        <v>0</v>
      </c>
      <c r="G23" s="553">
        <f>+B23+C23+E23-F23</f>
        <v>7628744.7200000007</v>
      </c>
      <c r="H23" s="765"/>
      <c r="I23" s="553">
        <v>154553</v>
      </c>
      <c r="J23" s="553">
        <v>31709.31</v>
      </c>
      <c r="K23" s="553">
        <v>-51507</v>
      </c>
      <c r="L23" s="1131">
        <v>0</v>
      </c>
      <c r="M23" s="553">
        <f>+I23+J23-L23+K23</f>
        <v>134755.31</v>
      </c>
      <c r="N23" s="765"/>
      <c r="O23" s="553">
        <f>+G23-M23</f>
        <v>7493989.4100000011</v>
      </c>
      <c r="P23" s="553">
        <v>0</v>
      </c>
      <c r="Q23" s="1133"/>
    </row>
    <row r="24" spans="1:18">
      <c r="A24" s="1131" t="s">
        <v>2349</v>
      </c>
      <c r="B24" s="730">
        <v>44278800</v>
      </c>
      <c r="C24" s="730">
        <f>4483000-3700000-218000</f>
        <v>565000</v>
      </c>
      <c r="D24" s="730"/>
      <c r="E24" s="730">
        <v>0</v>
      </c>
      <c r="F24" s="730">
        <f>-4626370</f>
        <v>-4626370</v>
      </c>
      <c r="G24" s="730">
        <f>+B24+C24+E24+F24</f>
        <v>40217430</v>
      </c>
      <c r="H24" s="765"/>
      <c r="I24" s="730">
        <v>0</v>
      </c>
      <c r="J24" s="730">
        <v>0</v>
      </c>
      <c r="K24" s="730">
        <v>0</v>
      </c>
      <c r="L24" s="1135">
        <v>0</v>
      </c>
      <c r="M24" s="730">
        <f>+I24+J24-L24+K24</f>
        <v>0</v>
      </c>
      <c r="N24" s="765"/>
      <c r="O24" s="730">
        <f>+G24-M24</f>
        <v>40217430</v>
      </c>
      <c r="P24" s="730">
        <v>0</v>
      </c>
      <c r="Q24" s="1133"/>
    </row>
    <row r="25" spans="1:18">
      <c r="A25" s="1131"/>
      <c r="B25" s="765" t="s">
        <v>45</v>
      </c>
      <c r="C25" s="765" t="s">
        <v>45</v>
      </c>
      <c r="D25" s="765"/>
      <c r="E25" s="765"/>
      <c r="F25" s="765"/>
      <c r="G25" s="765" t="s">
        <v>45</v>
      </c>
      <c r="H25" s="765"/>
      <c r="I25" s="765"/>
      <c r="J25" s="765" t="s">
        <v>45</v>
      </c>
      <c r="K25" s="765"/>
      <c r="L25" s="713"/>
      <c r="M25" s="765"/>
      <c r="N25" s="765"/>
      <c r="O25" s="765"/>
      <c r="P25" s="1136"/>
      <c r="Q25" s="1139"/>
      <c r="R25" s="735">
        <f>9006445-9005690.18</f>
        <v>754.82000000029802</v>
      </c>
    </row>
    <row r="26" spans="1:18">
      <c r="A26" s="1125" t="s">
        <v>2141</v>
      </c>
      <c r="B26" s="727">
        <f>SUM(B27:B34)</f>
        <v>16349702</v>
      </c>
      <c r="C26" s="727">
        <f>SUM(C27:C34)</f>
        <v>725462.85000000009</v>
      </c>
      <c r="D26" s="727">
        <f>SUM(D28:D31)</f>
        <v>-423376</v>
      </c>
      <c r="E26" s="727">
        <f>SUM(E27:E34)</f>
        <v>0</v>
      </c>
      <c r="F26" s="727">
        <f>SUM(F27:F34)</f>
        <v>-9261.94</v>
      </c>
      <c r="G26" s="727">
        <f>SUM(G27:G34)</f>
        <v>16642526.909999998</v>
      </c>
      <c r="H26" s="727"/>
      <c r="I26" s="727">
        <f>SUM(I27:I34)</f>
        <v>9006445</v>
      </c>
      <c r="J26" s="727">
        <f>SUM(J27:J34)</f>
        <v>2390549.9800000004</v>
      </c>
      <c r="K26" s="727">
        <f>SUM(K27:K34)</f>
        <v>-668485</v>
      </c>
      <c r="L26" s="727">
        <f>SUM(L27:L34)</f>
        <v>4698.8100000000004</v>
      </c>
      <c r="M26" s="727">
        <f>SUM(M27:M34)</f>
        <v>10723811.170000002</v>
      </c>
      <c r="N26" s="727"/>
      <c r="O26" s="727">
        <f>SUM(O27:O34)</f>
        <v>5918715.7400000002</v>
      </c>
      <c r="P26" s="1129">
        <f>SUM(P27:P34)</f>
        <v>0</v>
      </c>
      <c r="Q26" s="1130"/>
    </row>
    <row r="27" spans="1:18">
      <c r="A27" s="1131" t="s">
        <v>2406</v>
      </c>
      <c r="B27" s="729">
        <v>4581715</v>
      </c>
      <c r="C27" s="729">
        <v>0</v>
      </c>
      <c r="D27" s="729"/>
      <c r="E27" s="729">
        <v>0</v>
      </c>
      <c r="F27" s="729">
        <v>0</v>
      </c>
      <c r="G27" s="729">
        <f t="shared" ref="G27:G34" si="3">+B27+C27+E27-F27</f>
        <v>4581715</v>
      </c>
      <c r="H27" s="765"/>
      <c r="I27" s="729">
        <v>2150031</v>
      </c>
      <c r="J27" s="729">
        <f>599761.6-1</f>
        <v>599760.6</v>
      </c>
      <c r="K27" s="729">
        <v>25977</v>
      </c>
      <c r="L27" s="1132">
        <v>0</v>
      </c>
      <c r="M27" s="729">
        <f>+I27+J27-L27+K27</f>
        <v>2775768.6</v>
      </c>
      <c r="N27" s="765"/>
      <c r="O27" s="729">
        <f t="shared" ref="O27:O34" si="4">+G27-M27</f>
        <v>1805946.4</v>
      </c>
      <c r="P27" s="729">
        <v>0</v>
      </c>
      <c r="Q27" s="1133"/>
    </row>
    <row r="28" spans="1:18">
      <c r="A28" s="1131" t="s">
        <v>2142</v>
      </c>
      <c r="B28" s="553">
        <v>1962385</v>
      </c>
      <c r="C28" s="553">
        <v>277183.43</v>
      </c>
      <c r="D28" s="553"/>
      <c r="E28" s="553">
        <v>0</v>
      </c>
      <c r="F28" s="553">
        <v>0</v>
      </c>
      <c r="G28" s="553">
        <f t="shared" si="3"/>
        <v>2239568.4300000002</v>
      </c>
      <c r="H28" s="765"/>
      <c r="I28" s="553">
        <v>990526</v>
      </c>
      <c r="J28" s="553">
        <v>288337.86</v>
      </c>
      <c r="K28" s="553">
        <v>-735.04</v>
      </c>
      <c r="L28" s="1131">
        <v>0</v>
      </c>
      <c r="M28" s="553">
        <f t="shared" ref="M28:M34" si="5">+I28+J28-L28+K28</f>
        <v>1278128.8199999998</v>
      </c>
      <c r="N28" s="765"/>
      <c r="O28" s="553">
        <f t="shared" si="4"/>
        <v>961439.61000000034</v>
      </c>
      <c r="P28" s="553">
        <v>0</v>
      </c>
      <c r="Q28" s="1133"/>
    </row>
    <row r="29" spans="1:18">
      <c r="A29" s="1131" t="s">
        <v>2143</v>
      </c>
      <c r="B29" s="553">
        <v>6474219</v>
      </c>
      <c r="C29" s="553">
        <v>234676.47</v>
      </c>
      <c r="D29" s="553">
        <v>-423376</v>
      </c>
      <c r="E29" s="553">
        <v>0</v>
      </c>
      <c r="F29" s="553">
        <v>0</v>
      </c>
      <c r="G29" s="553">
        <f>+B29+C29+E29-F29+D29</f>
        <v>6285519.4699999997</v>
      </c>
      <c r="H29" s="765"/>
      <c r="I29" s="553">
        <v>3643147</v>
      </c>
      <c r="J29" s="553">
        <v>1093764.47</v>
      </c>
      <c r="K29" s="553">
        <v>513138.32</v>
      </c>
      <c r="L29" s="1131">
        <v>0</v>
      </c>
      <c r="M29" s="553">
        <f t="shared" si="5"/>
        <v>5250049.79</v>
      </c>
      <c r="N29" s="765"/>
      <c r="O29" s="553">
        <f t="shared" si="4"/>
        <v>1035469.6799999997</v>
      </c>
      <c r="P29" s="553">
        <v>0</v>
      </c>
      <c r="Q29" s="1133"/>
    </row>
    <row r="30" spans="1:18">
      <c r="A30" s="1131" t="s">
        <v>1025</v>
      </c>
      <c r="B30" s="553">
        <v>1463110</v>
      </c>
      <c r="C30" s="553">
        <v>0</v>
      </c>
      <c r="D30" s="553"/>
      <c r="E30" s="553">
        <v>0</v>
      </c>
      <c r="F30" s="553">
        <v>0</v>
      </c>
      <c r="G30" s="553">
        <f t="shared" si="3"/>
        <v>1463110</v>
      </c>
      <c r="H30" s="765"/>
      <c r="I30" s="553">
        <v>1463110</v>
      </c>
      <c r="J30" s="553">
        <v>48770.3</v>
      </c>
      <c r="K30" s="553">
        <v>-1365506</v>
      </c>
      <c r="L30" s="1131">
        <v>0</v>
      </c>
      <c r="M30" s="553">
        <f t="shared" si="5"/>
        <v>146374.30000000005</v>
      </c>
      <c r="N30" s="765"/>
      <c r="O30" s="553">
        <f t="shared" si="4"/>
        <v>1316735.7</v>
      </c>
      <c r="P30" s="553">
        <v>0</v>
      </c>
      <c r="Q30" s="1133"/>
    </row>
    <row r="31" spans="1:18" ht="25.5">
      <c r="A31" s="1131" t="s">
        <v>1026</v>
      </c>
      <c r="B31" s="553">
        <v>1839915</v>
      </c>
      <c r="C31" s="553">
        <v>202906.44</v>
      </c>
      <c r="D31" s="553"/>
      <c r="E31" s="553">
        <v>0</v>
      </c>
      <c r="F31" s="553">
        <v>-9261.94</v>
      </c>
      <c r="G31" s="553">
        <f>+B31+C31+E31+F31</f>
        <v>2033559.5</v>
      </c>
      <c r="H31" s="765"/>
      <c r="I31" s="553">
        <v>752811</v>
      </c>
      <c r="J31" s="553">
        <v>352991.97</v>
      </c>
      <c r="K31" s="553">
        <v>159279.72</v>
      </c>
      <c r="L31" s="1131">
        <v>4698.8100000000004</v>
      </c>
      <c r="M31" s="553">
        <f t="shared" si="5"/>
        <v>1260383.8799999999</v>
      </c>
      <c r="N31" s="765"/>
      <c r="O31" s="553">
        <f>+G31-M31</f>
        <v>773175.62000000011</v>
      </c>
      <c r="P31" s="553">
        <v>0</v>
      </c>
      <c r="Q31" s="1133"/>
    </row>
    <row r="32" spans="1:18">
      <c r="A32" s="1131" t="s">
        <v>1051</v>
      </c>
      <c r="B32" s="553">
        <v>8494</v>
      </c>
      <c r="C32" s="553">
        <v>0</v>
      </c>
      <c r="D32" s="553"/>
      <c r="E32" s="553">
        <v>0</v>
      </c>
      <c r="F32" s="553">
        <v>0</v>
      </c>
      <c r="G32" s="553">
        <f t="shared" si="3"/>
        <v>8494</v>
      </c>
      <c r="H32" s="765"/>
      <c r="I32" s="553">
        <v>1867</v>
      </c>
      <c r="J32" s="553">
        <v>849.31</v>
      </c>
      <c r="K32" s="553">
        <v>-639</v>
      </c>
      <c r="L32" s="1131">
        <v>0</v>
      </c>
      <c r="M32" s="553">
        <f t="shared" si="5"/>
        <v>2077.31</v>
      </c>
      <c r="N32" s="765"/>
      <c r="O32" s="553">
        <f t="shared" si="4"/>
        <v>6416.6900000000005</v>
      </c>
      <c r="P32" s="553">
        <v>0</v>
      </c>
      <c r="Q32" s="1133"/>
    </row>
    <row r="33" spans="1:17" ht="25.5">
      <c r="A33" s="1131" t="s">
        <v>1028</v>
      </c>
      <c r="B33" s="553">
        <v>17522</v>
      </c>
      <c r="C33" s="553">
        <v>10696.51</v>
      </c>
      <c r="D33" s="553"/>
      <c r="E33" s="553">
        <v>0</v>
      </c>
      <c r="F33" s="553">
        <v>0</v>
      </c>
      <c r="G33" s="553">
        <f t="shared" si="3"/>
        <v>28218.510000000002</v>
      </c>
      <c r="H33" s="765"/>
      <c r="I33" s="553">
        <v>4395</v>
      </c>
      <c r="J33" s="553">
        <v>5607.25</v>
      </c>
      <c r="K33" s="553"/>
      <c r="L33" s="1131">
        <v>0</v>
      </c>
      <c r="M33" s="553">
        <f t="shared" si="5"/>
        <v>10002.25</v>
      </c>
      <c r="N33" s="765"/>
      <c r="O33" s="553">
        <f t="shared" si="4"/>
        <v>18216.260000000002</v>
      </c>
      <c r="P33" s="553">
        <v>0</v>
      </c>
      <c r="Q33" s="1133"/>
    </row>
    <row r="34" spans="1:17">
      <c r="A34" s="1131" t="s">
        <v>1029</v>
      </c>
      <c r="B34" s="730">
        <v>2342</v>
      </c>
      <c r="C34" s="730">
        <v>0</v>
      </c>
      <c r="D34" s="730"/>
      <c r="E34" s="730">
        <v>0</v>
      </c>
      <c r="F34" s="730">
        <v>0</v>
      </c>
      <c r="G34" s="730">
        <f t="shared" si="3"/>
        <v>2342</v>
      </c>
      <c r="H34" s="765"/>
      <c r="I34" s="730">
        <v>558</v>
      </c>
      <c r="J34" s="730">
        <v>468.22</v>
      </c>
      <c r="K34" s="730"/>
      <c r="L34" s="1135">
        <v>0</v>
      </c>
      <c r="M34" s="730">
        <f t="shared" si="5"/>
        <v>1026.22</v>
      </c>
      <c r="N34" s="765"/>
      <c r="O34" s="730">
        <f t="shared" si="4"/>
        <v>1315.78</v>
      </c>
      <c r="P34" s="730">
        <v>0</v>
      </c>
      <c r="Q34" s="1133"/>
    </row>
    <row r="35" spans="1:17">
      <c r="A35" s="1131"/>
      <c r="B35" s="765"/>
      <c r="C35" s="765"/>
      <c r="D35" s="765"/>
      <c r="E35" s="765"/>
      <c r="F35" s="765"/>
      <c r="G35" s="765"/>
      <c r="H35" s="765"/>
      <c r="I35" s="765"/>
      <c r="J35" s="765"/>
      <c r="K35" s="765"/>
      <c r="L35" s="713"/>
      <c r="M35" s="765"/>
      <c r="N35" s="765"/>
      <c r="O35" s="765"/>
      <c r="P35" s="1136"/>
      <c r="Q35" s="1139"/>
    </row>
    <row r="36" spans="1:17">
      <c r="A36" s="1125" t="s">
        <v>2145</v>
      </c>
      <c r="B36" s="727">
        <f t="shared" ref="B36:G36" si="6">B26+B21+B8</f>
        <v>119971866.94</v>
      </c>
      <c r="C36" s="727">
        <f t="shared" si="6"/>
        <v>12364563.58</v>
      </c>
      <c r="D36" s="727">
        <f t="shared" si="6"/>
        <v>-423376</v>
      </c>
      <c r="E36" s="727">
        <f t="shared" si="6"/>
        <v>0</v>
      </c>
      <c r="F36" s="727">
        <f t="shared" si="6"/>
        <v>-4635631.9400000004</v>
      </c>
      <c r="G36" s="727">
        <f t="shared" si="6"/>
        <v>127277422.57999998</v>
      </c>
      <c r="H36" s="727"/>
      <c r="I36" s="727">
        <f>I26+I21+I8</f>
        <v>25972907</v>
      </c>
      <c r="J36" s="727">
        <f>J26+J21+J8</f>
        <v>4807122.2200000007</v>
      </c>
      <c r="K36" s="727">
        <f>K26+K21+K8</f>
        <v>-1611218</v>
      </c>
      <c r="L36" s="727">
        <f>L26+L21+L8</f>
        <v>4698.8100000000004</v>
      </c>
      <c r="M36" s="727">
        <f>M26+M21+M8</f>
        <v>29164112.41</v>
      </c>
      <c r="N36" s="727"/>
      <c r="O36" s="727">
        <f>O26+O21+O8</f>
        <v>98113310.170000002</v>
      </c>
      <c r="P36" s="1129">
        <f>P26+P21+P8</f>
        <v>0</v>
      </c>
      <c r="Q36" s="1130"/>
    </row>
    <row r="37" spans="1:17">
      <c r="A37" s="1140"/>
      <c r="B37" s="1141"/>
      <c r="C37" s="1141"/>
      <c r="D37" s="1141"/>
      <c r="E37" s="1141"/>
      <c r="F37" s="1141"/>
      <c r="G37" s="1141"/>
      <c r="H37" s="1141"/>
      <c r="I37" s="1141"/>
      <c r="J37" s="1913"/>
      <c r="K37" s="1913"/>
      <c r="L37" s="1913"/>
      <c r="M37" s="1141"/>
      <c r="N37" s="1141"/>
      <c r="O37" s="1141"/>
      <c r="P37" s="1142"/>
      <c r="Q37" s="1143"/>
    </row>
    <row r="38" spans="1:17">
      <c r="A38" s="670"/>
      <c r="B38" s="1134"/>
      <c r="C38" s="765"/>
      <c r="D38" s="765"/>
      <c r="E38" s="765"/>
      <c r="F38" s="765"/>
      <c r="G38" s="765"/>
      <c r="H38" s="765"/>
      <c r="I38" s="765"/>
      <c r="J38" s="765"/>
      <c r="K38" s="765"/>
      <c r="L38" s="765"/>
      <c r="M38" s="765"/>
      <c r="N38" s="765"/>
      <c r="O38" s="765"/>
      <c r="P38" s="996"/>
    </row>
    <row r="39" spans="1:17">
      <c r="A39" s="670"/>
      <c r="B39" s="655"/>
      <c r="C39" s="673">
        <f>'Appendix C'!C59</f>
        <v>12364563.92</v>
      </c>
      <c r="O39" s="673">
        <f>'Appendix C'!O59</f>
        <v>98113309.650000006</v>
      </c>
    </row>
    <row r="40" spans="1:17">
      <c r="A40" s="670"/>
      <c r="B40" s="655"/>
      <c r="C40" s="673">
        <f>C36-C39</f>
        <v>-0.33999999985098839</v>
      </c>
      <c r="O40" s="673">
        <f>O36-O39</f>
        <v>0.51999999582767487</v>
      </c>
    </row>
    <row r="41" spans="1:17">
      <c r="A41" s="670"/>
      <c r="B41" s="655"/>
    </row>
    <row r="42" spans="1:17">
      <c r="A42" s="670"/>
      <c r="B42" s="655"/>
      <c r="J42" s="673" t="s">
        <v>45</v>
      </c>
      <c r="K42" s="673" t="s">
        <v>45</v>
      </c>
    </row>
    <row r="43" spans="1:17">
      <c r="A43" s="670"/>
      <c r="B43" s="655"/>
      <c r="J43" s="735"/>
      <c r="K43" s="735"/>
    </row>
    <row r="44" spans="1:17">
      <c r="A44" s="670"/>
      <c r="B44" s="655"/>
      <c r="J44" s="735" t="s">
        <v>45</v>
      </c>
      <c r="K44" s="735"/>
    </row>
    <row r="45" spans="1:17">
      <c r="A45" s="670"/>
      <c r="B45" s="655"/>
      <c r="J45" s="735"/>
      <c r="K45" s="735"/>
    </row>
    <row r="46" spans="1:17">
      <c r="A46" s="670"/>
      <c r="B46" s="655"/>
    </row>
    <row r="47" spans="1:17">
      <c r="A47" s="670"/>
      <c r="B47" s="655"/>
      <c r="J47" s="735"/>
      <c r="K47" s="735"/>
    </row>
    <row r="48" spans="1:17">
      <c r="A48" s="670"/>
      <c r="B48" s="655"/>
      <c r="J48" s="735"/>
      <c r="K48" s="735"/>
    </row>
    <row r="49" spans="1:11">
      <c r="A49" s="670"/>
      <c r="B49" s="655"/>
      <c r="J49" s="735"/>
      <c r="K49" s="735"/>
    </row>
    <row r="50" spans="1:11">
      <c r="A50" s="670"/>
      <c r="B50" s="655"/>
    </row>
    <row r="51" spans="1:11">
      <c r="A51" s="670"/>
      <c r="B51" s="655"/>
    </row>
    <row r="52" spans="1:11">
      <c r="A52" s="670"/>
      <c r="B52" s="655"/>
    </row>
    <row r="53" spans="1:11">
      <c r="A53" s="670"/>
      <c r="B53" s="655"/>
    </row>
    <row r="54" spans="1:11">
      <c r="A54" s="670"/>
      <c r="B54" s="655"/>
    </row>
    <row r="55" spans="1:11">
      <c r="A55" s="670"/>
      <c r="B55" s="655"/>
    </row>
    <row r="56" spans="1:11">
      <c r="A56" s="670"/>
      <c r="B56" s="655"/>
    </row>
    <row r="57" spans="1:11">
      <c r="A57" s="670"/>
      <c r="B57" s="655"/>
    </row>
    <row r="58" spans="1:11">
      <c r="A58" s="670"/>
      <c r="B58" s="655"/>
    </row>
    <row r="59" spans="1:11">
      <c r="A59" s="670"/>
      <c r="B59" s="655"/>
      <c r="I59" s="655"/>
      <c r="J59" s="655"/>
      <c r="K59" s="655"/>
    </row>
    <row r="60" spans="1:11">
      <c r="A60" s="670"/>
      <c r="B60" s="655"/>
      <c r="I60" s="655"/>
      <c r="J60" s="655"/>
      <c r="K60" s="655"/>
    </row>
    <row r="61" spans="1:11">
      <c r="A61" s="670"/>
      <c r="B61" s="655"/>
      <c r="I61" s="655"/>
      <c r="J61" s="655"/>
      <c r="K61" s="655"/>
    </row>
    <row r="62" spans="1:11">
      <c r="A62" s="670"/>
      <c r="B62" s="655"/>
      <c r="I62" s="655"/>
      <c r="J62" s="655"/>
      <c r="K62" s="655"/>
    </row>
    <row r="63" spans="1:11">
      <c r="A63" s="670"/>
      <c r="B63" s="655"/>
      <c r="I63" s="655"/>
      <c r="J63" s="655"/>
      <c r="K63" s="655"/>
    </row>
    <row r="64" spans="1:11">
      <c r="A64" s="670"/>
      <c r="B64" s="655"/>
      <c r="I64" s="655"/>
      <c r="J64" s="655"/>
      <c r="K64" s="655"/>
    </row>
    <row r="65" spans="1:11">
      <c r="A65" s="670"/>
      <c r="B65" s="655"/>
      <c r="I65" s="655"/>
      <c r="J65" s="655"/>
      <c r="K65" s="655"/>
    </row>
    <row r="66" spans="1:11">
      <c r="A66" s="670"/>
      <c r="B66" s="655"/>
    </row>
    <row r="67" spans="1:11">
      <c r="A67" s="670"/>
      <c r="B67" s="655"/>
    </row>
    <row r="68" spans="1:11">
      <c r="A68" s="670"/>
      <c r="B68" s="655"/>
    </row>
    <row r="69" spans="1:11">
      <c r="A69" s="670"/>
      <c r="B69" s="655"/>
    </row>
    <row r="70" spans="1:11">
      <c r="A70" s="670"/>
      <c r="B70" s="655"/>
    </row>
    <row r="71" spans="1:11">
      <c r="A71" s="670"/>
      <c r="B71" s="655"/>
    </row>
    <row r="72" spans="1:11">
      <c r="A72" s="670"/>
      <c r="B72" s="655"/>
    </row>
    <row r="73" spans="1:11">
      <c r="A73" s="670"/>
      <c r="B73" s="655"/>
    </row>
    <row r="74" spans="1:11">
      <c r="A74" s="670"/>
      <c r="B74" s="655"/>
    </row>
    <row r="75" spans="1:11">
      <c r="A75" s="670"/>
      <c r="B75" s="655"/>
    </row>
    <row r="76" spans="1:11">
      <c r="A76" s="670"/>
      <c r="B76" s="655"/>
    </row>
    <row r="77" spans="1:11">
      <c r="A77" s="670"/>
      <c r="B77" s="655"/>
    </row>
    <row r="78" spans="1:11">
      <c r="A78" s="670"/>
      <c r="B78" s="655"/>
    </row>
    <row r="79" spans="1:11">
      <c r="A79" s="670"/>
      <c r="B79" s="655"/>
    </row>
    <row r="80" spans="1:11">
      <c r="A80" s="670"/>
      <c r="B80" s="655"/>
    </row>
    <row r="81" spans="1:2">
      <c r="A81" s="670"/>
      <c r="B81" s="655"/>
    </row>
    <row r="82" spans="1:2">
      <c r="A82" s="670"/>
      <c r="B82" s="655"/>
    </row>
    <row r="83" spans="1:2">
      <c r="A83" s="670"/>
      <c r="B83" s="655"/>
    </row>
    <row r="84" spans="1:2">
      <c r="A84" s="670"/>
      <c r="B84" s="655"/>
    </row>
    <row r="85" spans="1:2">
      <c r="A85" s="670"/>
      <c r="B85" s="655"/>
    </row>
    <row r="86" spans="1:2">
      <c r="A86" s="670"/>
      <c r="B86" s="655"/>
    </row>
    <row r="87" spans="1:2">
      <c r="A87" s="670"/>
      <c r="B87" s="655"/>
    </row>
    <row r="88" spans="1:2">
      <c r="A88" s="670"/>
      <c r="B88" s="655"/>
    </row>
    <row r="89" spans="1:2">
      <c r="A89" s="670"/>
      <c r="B89" s="655"/>
    </row>
    <row r="90" spans="1:2">
      <c r="A90" s="670"/>
      <c r="B90" s="655"/>
    </row>
    <row r="91" spans="1:2">
      <c r="A91" s="670"/>
      <c r="B91" s="655"/>
    </row>
    <row r="92" spans="1:2">
      <c r="A92" s="670"/>
      <c r="B92" s="655"/>
    </row>
    <row r="93" spans="1:2">
      <c r="A93" s="670"/>
      <c r="B93" s="655"/>
    </row>
    <row r="94" spans="1:2">
      <c r="A94" s="670"/>
      <c r="B94" s="655"/>
    </row>
    <row r="95" spans="1:2">
      <c r="A95" s="670"/>
      <c r="B95" s="655"/>
    </row>
    <row r="96" spans="1:2">
      <c r="A96" s="670"/>
      <c r="B96" s="655"/>
    </row>
    <row r="97" spans="1:2">
      <c r="A97" s="670"/>
      <c r="B97" s="655"/>
    </row>
    <row r="98" spans="1:2">
      <c r="A98" s="670"/>
      <c r="B98" s="655"/>
    </row>
    <row r="99" spans="1:2">
      <c r="A99" s="670"/>
      <c r="B99" s="655"/>
    </row>
    <row r="100" spans="1:2">
      <c r="A100" s="670"/>
      <c r="B100" s="655"/>
    </row>
    <row r="101" spans="1:2">
      <c r="A101" s="670"/>
      <c r="B101" s="655"/>
    </row>
    <row r="102" spans="1:2">
      <c r="A102" s="670"/>
      <c r="B102" s="655"/>
    </row>
    <row r="103" spans="1:2">
      <c r="A103" s="670"/>
      <c r="B103" s="655"/>
    </row>
    <row r="104" spans="1:2">
      <c r="A104" s="670"/>
      <c r="B104" s="655"/>
    </row>
    <row r="105" spans="1:2">
      <c r="A105" s="670"/>
      <c r="B105" s="655"/>
    </row>
    <row r="106" spans="1:2">
      <c r="A106" s="670"/>
      <c r="B106" s="655"/>
    </row>
    <row r="107" spans="1:2">
      <c r="A107" s="670"/>
      <c r="B107" s="655"/>
    </row>
    <row r="108" spans="1:2">
      <c r="A108" s="670"/>
      <c r="B108" s="655"/>
    </row>
    <row r="109" spans="1:2">
      <c r="A109" s="670"/>
      <c r="B109" s="655"/>
    </row>
    <row r="110" spans="1:2">
      <c r="A110" s="670"/>
      <c r="B110" s="655"/>
    </row>
    <row r="111" spans="1:2">
      <c r="A111" s="670"/>
      <c r="B111" s="655"/>
    </row>
    <row r="112" spans="1:2">
      <c r="A112" s="670"/>
      <c r="B112" s="655"/>
    </row>
    <row r="113" spans="1:2">
      <c r="A113" s="670"/>
      <c r="B113" s="655"/>
    </row>
    <row r="114" spans="1:2">
      <c r="A114" s="670"/>
      <c r="B114" s="655"/>
    </row>
    <row r="115" spans="1:2">
      <c r="A115" s="670"/>
      <c r="B115" s="655"/>
    </row>
    <row r="116" spans="1:2">
      <c r="A116" s="670"/>
      <c r="B116" s="655"/>
    </row>
    <row r="117" spans="1:2">
      <c r="A117" s="670"/>
      <c r="B117" s="655"/>
    </row>
    <row r="118" spans="1:2">
      <c r="A118" s="670"/>
      <c r="B118" s="655"/>
    </row>
    <row r="119" spans="1:2">
      <c r="A119" s="670"/>
      <c r="B119" s="655"/>
    </row>
    <row r="120" spans="1:2">
      <c r="A120" s="670"/>
      <c r="B120" s="655"/>
    </row>
    <row r="121" spans="1:2">
      <c r="A121" s="670"/>
      <c r="B121" s="655"/>
    </row>
    <row r="122" spans="1:2">
      <c r="A122" s="670"/>
      <c r="B122" s="655"/>
    </row>
    <row r="123" spans="1:2">
      <c r="A123" s="670"/>
      <c r="B123" s="655"/>
    </row>
    <row r="124" spans="1:2">
      <c r="A124" s="670"/>
      <c r="B124" s="655"/>
    </row>
    <row r="125" spans="1:2">
      <c r="A125" s="670"/>
      <c r="B125" s="655"/>
    </row>
    <row r="126" spans="1:2">
      <c r="A126" s="670"/>
      <c r="B126" s="655"/>
    </row>
    <row r="127" spans="1:2">
      <c r="A127" s="670"/>
      <c r="B127" s="655"/>
    </row>
    <row r="128" spans="1:2">
      <c r="A128" s="670"/>
      <c r="B128" s="655"/>
    </row>
    <row r="129" spans="1:2">
      <c r="A129" s="670"/>
      <c r="B129" s="655"/>
    </row>
    <row r="130" spans="1:2">
      <c r="A130" s="670"/>
      <c r="B130" s="655"/>
    </row>
    <row r="131" spans="1:2">
      <c r="A131" s="670"/>
      <c r="B131" s="655"/>
    </row>
    <row r="132" spans="1:2">
      <c r="A132" s="670"/>
      <c r="B132" s="655"/>
    </row>
    <row r="133" spans="1:2">
      <c r="A133" s="670"/>
      <c r="B133" s="655"/>
    </row>
    <row r="134" spans="1:2">
      <c r="A134" s="670"/>
      <c r="B134" s="655"/>
    </row>
    <row r="135" spans="1:2">
      <c r="A135" s="670"/>
      <c r="B135" s="655"/>
    </row>
    <row r="136" spans="1:2">
      <c r="A136" s="670"/>
      <c r="B136" s="655"/>
    </row>
    <row r="137" spans="1:2">
      <c r="A137" s="670"/>
      <c r="B137" s="655"/>
    </row>
    <row r="138" spans="1:2">
      <c r="A138" s="670"/>
      <c r="B138" s="655"/>
    </row>
    <row r="139" spans="1:2">
      <c r="A139" s="670"/>
      <c r="B139" s="655"/>
    </row>
    <row r="140" spans="1:2">
      <c r="A140" s="670"/>
      <c r="B140" s="655"/>
    </row>
    <row r="141" spans="1:2">
      <c r="A141" s="670"/>
      <c r="B141" s="655"/>
    </row>
    <row r="142" spans="1:2">
      <c r="A142" s="670"/>
      <c r="B142" s="655"/>
    </row>
    <row r="143" spans="1:2">
      <c r="A143" s="670"/>
      <c r="B143" s="655"/>
    </row>
    <row r="144" spans="1:2">
      <c r="A144" s="670"/>
      <c r="B144" s="655"/>
    </row>
    <row r="145" spans="1:2">
      <c r="A145" s="670"/>
      <c r="B145" s="655"/>
    </row>
    <row r="146" spans="1:2">
      <c r="A146" s="670"/>
      <c r="B146" s="655"/>
    </row>
    <row r="147" spans="1:2">
      <c r="A147" s="670"/>
      <c r="B147" s="655"/>
    </row>
    <row r="148" spans="1:2">
      <c r="A148" s="670"/>
      <c r="B148" s="655"/>
    </row>
    <row r="149" spans="1:2">
      <c r="A149" s="670"/>
      <c r="B149" s="655"/>
    </row>
    <row r="150" spans="1:2">
      <c r="A150" s="670"/>
      <c r="B150" s="655"/>
    </row>
    <row r="151" spans="1:2">
      <c r="A151" s="670"/>
      <c r="B151" s="655"/>
    </row>
    <row r="152" spans="1:2">
      <c r="A152" s="670"/>
      <c r="B152" s="655"/>
    </row>
    <row r="153" spans="1:2">
      <c r="A153" s="670"/>
      <c r="B153" s="655"/>
    </row>
    <row r="154" spans="1:2">
      <c r="A154" s="670"/>
      <c r="B154" s="655"/>
    </row>
    <row r="155" spans="1:2">
      <c r="A155" s="670"/>
      <c r="B155" s="655"/>
    </row>
    <row r="156" spans="1:2">
      <c r="A156" s="670"/>
      <c r="B156" s="655"/>
    </row>
    <row r="157" spans="1:2">
      <c r="A157" s="670"/>
      <c r="B157" s="655"/>
    </row>
    <row r="158" spans="1:2">
      <c r="A158" s="670"/>
      <c r="B158" s="655"/>
    </row>
    <row r="159" spans="1:2">
      <c r="A159" s="670"/>
      <c r="B159" s="655"/>
    </row>
    <row r="160" spans="1:2">
      <c r="A160" s="670"/>
      <c r="B160" s="655"/>
    </row>
    <row r="161" spans="1:2">
      <c r="A161" s="670"/>
      <c r="B161" s="655"/>
    </row>
    <row r="162" spans="1:2">
      <c r="A162" s="670"/>
      <c r="B162" s="655"/>
    </row>
    <row r="163" spans="1:2">
      <c r="A163" s="670"/>
      <c r="B163" s="655"/>
    </row>
    <row r="164" spans="1:2">
      <c r="A164" s="670"/>
      <c r="B164" s="655"/>
    </row>
    <row r="165" spans="1:2">
      <c r="A165" s="670"/>
      <c r="B165" s="655"/>
    </row>
    <row r="166" spans="1:2">
      <c r="A166" s="670"/>
      <c r="B166" s="655"/>
    </row>
    <row r="167" spans="1:2">
      <c r="A167" s="670"/>
      <c r="B167" s="655"/>
    </row>
    <row r="168" spans="1:2">
      <c r="A168" s="670"/>
      <c r="B168" s="655"/>
    </row>
    <row r="169" spans="1:2">
      <c r="A169" s="670"/>
      <c r="B169" s="655"/>
    </row>
    <row r="170" spans="1:2">
      <c r="A170" s="670"/>
      <c r="B170" s="655"/>
    </row>
    <row r="171" spans="1:2">
      <c r="A171" s="670"/>
      <c r="B171" s="655"/>
    </row>
    <row r="172" spans="1:2">
      <c r="A172" s="670"/>
      <c r="B172" s="655"/>
    </row>
    <row r="173" spans="1:2">
      <c r="A173" s="670"/>
      <c r="B173" s="655"/>
    </row>
    <row r="174" spans="1:2">
      <c r="A174" s="670"/>
      <c r="B174" s="655"/>
    </row>
    <row r="175" spans="1:2">
      <c r="A175" s="670"/>
      <c r="B175" s="655"/>
    </row>
    <row r="176" spans="1:2">
      <c r="A176" s="670"/>
      <c r="B176" s="655"/>
    </row>
    <row r="177" spans="1:2">
      <c r="A177" s="670"/>
      <c r="B177" s="655"/>
    </row>
    <row r="178" spans="1:2">
      <c r="A178" s="670"/>
      <c r="B178" s="655"/>
    </row>
    <row r="179" spans="1:2">
      <c r="A179" s="670"/>
      <c r="B179" s="655"/>
    </row>
    <row r="180" spans="1:2">
      <c r="A180" s="670"/>
      <c r="B180" s="655"/>
    </row>
    <row r="181" spans="1:2">
      <c r="A181" s="670"/>
      <c r="B181" s="655"/>
    </row>
    <row r="182" spans="1:2">
      <c r="A182" s="670"/>
      <c r="B182" s="655"/>
    </row>
    <row r="183" spans="1:2">
      <c r="A183" s="670"/>
      <c r="B183" s="655"/>
    </row>
    <row r="184" spans="1:2">
      <c r="A184" s="670"/>
      <c r="B184" s="655"/>
    </row>
    <row r="185" spans="1:2">
      <c r="A185" s="670"/>
      <c r="B185" s="655"/>
    </row>
    <row r="186" spans="1:2">
      <c r="A186" s="670"/>
      <c r="B186" s="655"/>
    </row>
    <row r="187" spans="1:2">
      <c r="A187" s="670"/>
      <c r="B187" s="655"/>
    </row>
    <row r="188" spans="1:2">
      <c r="A188" s="670"/>
      <c r="B188" s="655"/>
    </row>
    <row r="189" spans="1:2">
      <c r="A189" s="670"/>
      <c r="B189" s="655"/>
    </row>
    <row r="190" spans="1:2">
      <c r="A190" s="670"/>
      <c r="B190" s="655"/>
    </row>
    <row r="191" spans="1:2">
      <c r="A191" s="670"/>
      <c r="B191" s="655"/>
    </row>
    <row r="192" spans="1:2">
      <c r="A192" s="670"/>
      <c r="B192" s="655"/>
    </row>
    <row r="193" spans="1:2">
      <c r="A193" s="670"/>
      <c r="B193" s="655"/>
    </row>
    <row r="194" spans="1:2">
      <c r="A194" s="670"/>
      <c r="B194" s="655"/>
    </row>
    <row r="195" spans="1:2">
      <c r="A195" s="670"/>
      <c r="B195" s="655"/>
    </row>
    <row r="196" spans="1:2">
      <c r="A196" s="670"/>
      <c r="B196" s="655"/>
    </row>
    <row r="197" spans="1:2">
      <c r="A197" s="670"/>
      <c r="B197" s="655"/>
    </row>
    <row r="198" spans="1:2">
      <c r="A198" s="670"/>
      <c r="B198" s="655"/>
    </row>
    <row r="199" spans="1:2">
      <c r="A199" s="670"/>
      <c r="B199" s="655"/>
    </row>
    <row r="200" spans="1:2">
      <c r="A200" s="670"/>
      <c r="B200" s="655"/>
    </row>
    <row r="201" spans="1:2">
      <c r="A201" s="670"/>
      <c r="B201" s="655"/>
    </row>
    <row r="202" spans="1:2">
      <c r="A202" s="670"/>
      <c r="B202" s="655"/>
    </row>
    <row r="203" spans="1:2">
      <c r="A203" s="670"/>
      <c r="B203" s="655"/>
    </row>
    <row r="204" spans="1:2">
      <c r="A204" s="670"/>
      <c r="B204" s="655"/>
    </row>
    <row r="205" spans="1:2">
      <c r="A205" s="670"/>
      <c r="B205" s="655"/>
    </row>
    <row r="206" spans="1:2">
      <c r="A206" s="670"/>
      <c r="B206" s="655"/>
    </row>
    <row r="207" spans="1:2">
      <c r="A207" s="670"/>
      <c r="B207" s="655"/>
    </row>
    <row r="208" spans="1:2">
      <c r="A208" s="670"/>
      <c r="B208" s="655"/>
    </row>
    <row r="209" spans="1:2">
      <c r="A209" s="670"/>
      <c r="B209" s="655"/>
    </row>
    <row r="210" spans="1:2">
      <c r="A210" s="670"/>
      <c r="B210" s="655"/>
    </row>
    <row r="211" spans="1:2">
      <c r="A211" s="670"/>
      <c r="B211" s="655"/>
    </row>
    <row r="212" spans="1:2">
      <c r="A212" s="670"/>
      <c r="B212" s="655"/>
    </row>
    <row r="213" spans="1:2">
      <c r="A213" s="670"/>
      <c r="B213" s="655"/>
    </row>
    <row r="214" spans="1:2">
      <c r="A214" s="670"/>
      <c r="B214" s="655"/>
    </row>
    <row r="215" spans="1:2">
      <c r="A215" s="670"/>
      <c r="B215" s="655"/>
    </row>
    <row r="216" spans="1:2">
      <c r="A216" s="670"/>
      <c r="B216" s="655"/>
    </row>
    <row r="217" spans="1:2">
      <c r="A217" s="670"/>
      <c r="B217" s="655"/>
    </row>
    <row r="218" spans="1:2">
      <c r="A218" s="670"/>
      <c r="B218" s="655"/>
    </row>
    <row r="219" spans="1:2">
      <c r="A219" s="670"/>
      <c r="B219" s="655"/>
    </row>
    <row r="220" spans="1:2">
      <c r="A220" s="670"/>
      <c r="B220" s="655"/>
    </row>
    <row r="221" spans="1:2">
      <c r="A221" s="670"/>
      <c r="B221" s="655"/>
    </row>
    <row r="222" spans="1:2">
      <c r="A222" s="670"/>
      <c r="B222" s="655"/>
    </row>
    <row r="223" spans="1:2">
      <c r="A223" s="670"/>
      <c r="B223" s="655"/>
    </row>
    <row r="224" spans="1:2">
      <c r="A224" s="670"/>
      <c r="B224" s="655"/>
    </row>
    <row r="225" spans="1:2">
      <c r="A225" s="670"/>
      <c r="B225" s="655"/>
    </row>
    <row r="226" spans="1:2">
      <c r="A226" s="670"/>
      <c r="B226" s="655"/>
    </row>
    <row r="227" spans="1:2">
      <c r="A227" s="670"/>
      <c r="B227" s="655"/>
    </row>
    <row r="228" spans="1:2">
      <c r="A228" s="670"/>
      <c r="B228" s="655"/>
    </row>
    <row r="229" spans="1:2">
      <c r="A229" s="670"/>
      <c r="B229" s="655"/>
    </row>
    <row r="230" spans="1:2">
      <c r="A230" s="670"/>
      <c r="B230" s="655"/>
    </row>
    <row r="231" spans="1:2">
      <c r="A231" s="670"/>
      <c r="B231" s="655"/>
    </row>
    <row r="232" spans="1:2">
      <c r="A232" s="670"/>
      <c r="B232" s="655"/>
    </row>
    <row r="233" spans="1:2">
      <c r="A233" s="670"/>
      <c r="B233" s="655"/>
    </row>
    <row r="234" spans="1:2">
      <c r="A234" s="670"/>
      <c r="B234" s="655"/>
    </row>
    <row r="235" spans="1:2">
      <c r="A235" s="670"/>
      <c r="B235" s="655"/>
    </row>
    <row r="236" spans="1:2">
      <c r="A236" s="670"/>
      <c r="B236" s="655"/>
    </row>
    <row r="237" spans="1:2">
      <c r="A237" s="670"/>
      <c r="B237" s="655"/>
    </row>
    <row r="238" spans="1:2">
      <c r="A238" s="670"/>
      <c r="B238" s="655"/>
    </row>
    <row r="239" spans="1:2">
      <c r="A239" s="670"/>
      <c r="B239" s="655"/>
    </row>
    <row r="240" spans="1:2">
      <c r="A240" s="670"/>
      <c r="B240" s="655"/>
    </row>
    <row r="241" spans="1:2">
      <c r="A241" s="670"/>
      <c r="B241" s="655"/>
    </row>
    <row r="242" spans="1:2">
      <c r="A242" s="670"/>
      <c r="B242" s="655"/>
    </row>
    <row r="243" spans="1:2">
      <c r="A243" s="670"/>
      <c r="B243" s="655"/>
    </row>
    <row r="244" spans="1:2">
      <c r="A244" s="670"/>
      <c r="B244" s="655"/>
    </row>
    <row r="245" spans="1:2">
      <c r="A245" s="670"/>
      <c r="B245" s="655"/>
    </row>
    <row r="246" spans="1:2">
      <c r="A246" s="670"/>
      <c r="B246" s="655"/>
    </row>
    <row r="247" spans="1:2">
      <c r="A247" s="670"/>
      <c r="B247" s="655"/>
    </row>
    <row r="248" spans="1:2">
      <c r="A248" s="670"/>
      <c r="B248" s="655"/>
    </row>
    <row r="249" spans="1:2">
      <c r="A249" s="670"/>
      <c r="B249" s="655"/>
    </row>
    <row r="250" spans="1:2">
      <c r="A250" s="670"/>
      <c r="B250" s="655"/>
    </row>
    <row r="251" spans="1:2">
      <c r="A251" s="670"/>
      <c r="B251" s="655"/>
    </row>
    <row r="252" spans="1:2">
      <c r="A252" s="670"/>
      <c r="B252" s="655"/>
    </row>
    <row r="253" spans="1:2">
      <c r="A253" s="670"/>
      <c r="B253" s="655"/>
    </row>
    <row r="254" spans="1:2">
      <c r="A254" s="670"/>
      <c r="B254" s="655"/>
    </row>
    <row r="255" spans="1:2">
      <c r="A255" s="670"/>
      <c r="B255" s="655"/>
    </row>
    <row r="256" spans="1:2">
      <c r="A256" s="670"/>
      <c r="B256" s="655"/>
    </row>
    <row r="257" spans="1:2">
      <c r="A257" s="670"/>
      <c r="B257" s="655"/>
    </row>
    <row r="258" spans="1:2">
      <c r="A258" s="670"/>
      <c r="B258" s="655"/>
    </row>
    <row r="259" spans="1:2">
      <c r="A259" s="670"/>
      <c r="B259" s="655"/>
    </row>
    <row r="260" spans="1:2">
      <c r="A260" s="670"/>
      <c r="B260" s="655"/>
    </row>
    <row r="261" spans="1:2">
      <c r="A261" s="670"/>
      <c r="B261" s="655"/>
    </row>
    <row r="262" spans="1:2">
      <c r="A262" s="670"/>
      <c r="B262" s="655"/>
    </row>
    <row r="263" spans="1:2">
      <c r="A263" s="670"/>
      <c r="B263" s="655"/>
    </row>
    <row r="264" spans="1:2">
      <c r="A264" s="670"/>
      <c r="B264" s="655"/>
    </row>
    <row r="265" spans="1:2">
      <c r="A265" s="670"/>
      <c r="B265" s="655"/>
    </row>
    <row r="266" spans="1:2">
      <c r="A266" s="670"/>
      <c r="B266" s="655"/>
    </row>
    <row r="267" spans="1:2">
      <c r="A267" s="670"/>
      <c r="B267" s="655"/>
    </row>
    <row r="268" spans="1:2">
      <c r="A268" s="670"/>
      <c r="B268" s="655"/>
    </row>
    <row r="269" spans="1:2">
      <c r="A269" s="670"/>
      <c r="B269" s="655"/>
    </row>
    <row r="270" spans="1:2">
      <c r="A270" s="670"/>
      <c r="B270" s="655"/>
    </row>
    <row r="271" spans="1:2">
      <c r="A271" s="670"/>
      <c r="B271" s="655"/>
    </row>
    <row r="272" spans="1:2">
      <c r="A272" s="670"/>
      <c r="B272" s="655"/>
    </row>
    <row r="273" spans="1:2">
      <c r="A273" s="670"/>
      <c r="B273" s="655"/>
    </row>
    <row r="274" spans="1:2">
      <c r="A274" s="670"/>
      <c r="B274" s="655"/>
    </row>
    <row r="275" spans="1:2">
      <c r="A275" s="670"/>
      <c r="B275" s="655"/>
    </row>
    <row r="276" spans="1:2">
      <c r="A276" s="670"/>
      <c r="B276" s="655"/>
    </row>
    <row r="277" spans="1:2">
      <c r="A277" s="670"/>
      <c r="B277" s="655"/>
    </row>
    <row r="278" spans="1:2">
      <c r="A278" s="670"/>
      <c r="B278" s="655"/>
    </row>
    <row r="279" spans="1:2">
      <c r="A279" s="670"/>
      <c r="B279" s="655"/>
    </row>
    <row r="280" spans="1:2">
      <c r="A280" s="670"/>
      <c r="B280" s="655"/>
    </row>
    <row r="281" spans="1:2">
      <c r="A281" s="670"/>
      <c r="B281" s="655"/>
    </row>
    <row r="282" spans="1:2">
      <c r="A282" s="670"/>
      <c r="B282" s="655"/>
    </row>
    <row r="283" spans="1:2">
      <c r="A283" s="670"/>
      <c r="B283" s="655"/>
    </row>
    <row r="284" spans="1:2">
      <c r="A284" s="670"/>
      <c r="B284" s="655"/>
    </row>
    <row r="285" spans="1:2">
      <c r="A285" s="670"/>
      <c r="B285" s="655"/>
    </row>
    <row r="286" spans="1:2">
      <c r="A286" s="670"/>
      <c r="B286" s="655"/>
    </row>
    <row r="287" spans="1:2">
      <c r="A287" s="670"/>
      <c r="B287" s="655"/>
    </row>
    <row r="288" spans="1:2">
      <c r="A288" s="670"/>
      <c r="B288" s="655"/>
    </row>
    <row r="289" spans="1:2">
      <c r="A289" s="670"/>
      <c r="B289" s="655"/>
    </row>
    <row r="290" spans="1:2">
      <c r="A290" s="670"/>
      <c r="B290" s="655"/>
    </row>
    <row r="291" spans="1:2">
      <c r="A291" s="670"/>
      <c r="B291" s="655"/>
    </row>
    <row r="292" spans="1:2">
      <c r="A292" s="670"/>
      <c r="B292" s="655"/>
    </row>
    <row r="293" spans="1:2">
      <c r="A293" s="670"/>
      <c r="B293" s="655"/>
    </row>
    <row r="294" spans="1:2">
      <c r="A294" s="670"/>
      <c r="B294" s="655"/>
    </row>
    <row r="295" spans="1:2">
      <c r="A295" s="670"/>
      <c r="B295" s="655"/>
    </row>
    <row r="296" spans="1:2">
      <c r="A296" s="670"/>
      <c r="B296" s="655"/>
    </row>
    <row r="297" spans="1:2">
      <c r="A297" s="670"/>
      <c r="B297" s="655"/>
    </row>
    <row r="298" spans="1:2">
      <c r="A298" s="670"/>
      <c r="B298" s="655"/>
    </row>
    <row r="299" spans="1:2">
      <c r="A299" s="670"/>
      <c r="B299" s="655"/>
    </row>
    <row r="300" spans="1:2">
      <c r="A300" s="670"/>
      <c r="B300" s="655"/>
    </row>
    <row r="301" spans="1:2">
      <c r="A301" s="670"/>
      <c r="B301" s="655"/>
    </row>
    <row r="302" spans="1:2">
      <c r="A302" s="670"/>
      <c r="B302" s="655"/>
    </row>
    <row r="303" spans="1:2">
      <c r="A303" s="670"/>
      <c r="B303" s="655"/>
    </row>
    <row r="304" spans="1:2">
      <c r="A304" s="670"/>
      <c r="B304" s="655"/>
    </row>
    <row r="305" spans="1:2">
      <c r="A305" s="670"/>
      <c r="B305" s="655"/>
    </row>
    <row r="306" spans="1:2">
      <c r="A306" s="670"/>
      <c r="B306" s="655"/>
    </row>
    <row r="307" spans="1:2">
      <c r="A307" s="670"/>
      <c r="B307" s="655"/>
    </row>
    <row r="308" spans="1:2">
      <c r="A308" s="670"/>
      <c r="B308" s="655"/>
    </row>
    <row r="309" spans="1:2">
      <c r="A309" s="670"/>
      <c r="B309" s="655"/>
    </row>
    <row r="310" spans="1:2">
      <c r="A310" s="670"/>
      <c r="B310" s="655"/>
    </row>
    <row r="311" spans="1:2">
      <c r="A311" s="670"/>
      <c r="B311" s="655"/>
    </row>
    <row r="312" spans="1:2">
      <c r="A312" s="670"/>
      <c r="B312" s="655"/>
    </row>
    <row r="313" spans="1:2">
      <c r="A313" s="670"/>
      <c r="B313" s="655"/>
    </row>
    <row r="314" spans="1:2">
      <c r="A314" s="670"/>
      <c r="B314" s="655"/>
    </row>
    <row r="315" spans="1:2">
      <c r="A315" s="670"/>
      <c r="B315" s="655"/>
    </row>
    <row r="316" spans="1:2">
      <c r="A316" s="670"/>
      <c r="B316" s="655"/>
    </row>
    <row r="317" spans="1:2">
      <c r="A317" s="670"/>
      <c r="B317" s="655"/>
    </row>
    <row r="318" spans="1:2">
      <c r="A318" s="670"/>
      <c r="B318" s="655"/>
    </row>
    <row r="319" spans="1:2">
      <c r="A319" s="670"/>
      <c r="B319" s="655"/>
    </row>
    <row r="320" spans="1:2">
      <c r="A320" s="670"/>
      <c r="B320" s="655"/>
    </row>
    <row r="321" spans="1:2">
      <c r="A321" s="670"/>
      <c r="B321" s="655"/>
    </row>
    <row r="322" spans="1:2">
      <c r="A322" s="670"/>
      <c r="B322" s="655"/>
    </row>
    <row r="323" spans="1:2">
      <c r="A323" s="670"/>
      <c r="B323" s="655"/>
    </row>
    <row r="324" spans="1:2">
      <c r="A324" s="670"/>
      <c r="B324" s="655"/>
    </row>
    <row r="325" spans="1:2">
      <c r="A325" s="670"/>
      <c r="B325" s="655"/>
    </row>
    <row r="326" spans="1:2">
      <c r="A326" s="670"/>
      <c r="B326" s="655"/>
    </row>
    <row r="327" spans="1:2">
      <c r="A327" s="670"/>
      <c r="B327" s="655"/>
    </row>
    <row r="328" spans="1:2">
      <c r="A328" s="670"/>
      <c r="B328" s="655"/>
    </row>
    <row r="329" spans="1:2">
      <c r="A329" s="670"/>
      <c r="B329" s="655"/>
    </row>
    <row r="330" spans="1:2">
      <c r="A330" s="670"/>
      <c r="B330" s="655"/>
    </row>
    <row r="331" spans="1:2">
      <c r="A331" s="670"/>
      <c r="B331" s="655"/>
    </row>
    <row r="332" spans="1:2">
      <c r="A332" s="670"/>
      <c r="B332" s="655"/>
    </row>
    <row r="333" spans="1:2">
      <c r="A333" s="670"/>
      <c r="B333" s="655"/>
    </row>
    <row r="334" spans="1:2">
      <c r="A334" s="670"/>
      <c r="B334" s="655"/>
    </row>
    <row r="335" spans="1:2">
      <c r="A335" s="670"/>
      <c r="B335" s="655"/>
    </row>
    <row r="336" spans="1:2">
      <c r="A336" s="670"/>
      <c r="B336" s="655"/>
    </row>
    <row r="337" spans="1:2">
      <c r="A337" s="670"/>
      <c r="B337" s="655"/>
    </row>
    <row r="338" spans="1:2">
      <c r="A338" s="670"/>
      <c r="B338" s="655"/>
    </row>
    <row r="339" spans="1:2">
      <c r="A339" s="670"/>
      <c r="B339" s="655"/>
    </row>
    <row r="340" spans="1:2">
      <c r="A340" s="670"/>
      <c r="B340" s="655"/>
    </row>
    <row r="341" spans="1:2">
      <c r="A341" s="670"/>
      <c r="B341" s="655"/>
    </row>
    <row r="342" spans="1:2">
      <c r="A342" s="670"/>
      <c r="B342" s="655"/>
    </row>
    <row r="343" spans="1:2">
      <c r="A343" s="670"/>
      <c r="B343" s="655"/>
    </row>
    <row r="344" spans="1:2">
      <c r="A344" s="670"/>
      <c r="B344" s="655"/>
    </row>
    <row r="345" spans="1:2">
      <c r="A345" s="670"/>
      <c r="B345" s="655"/>
    </row>
    <row r="346" spans="1:2">
      <c r="A346" s="670"/>
      <c r="B346" s="655"/>
    </row>
    <row r="347" spans="1:2">
      <c r="A347" s="670"/>
      <c r="B347" s="655"/>
    </row>
    <row r="348" spans="1:2">
      <c r="A348" s="670"/>
      <c r="B348" s="655"/>
    </row>
    <row r="349" spans="1:2">
      <c r="A349" s="670"/>
      <c r="B349" s="655"/>
    </row>
    <row r="350" spans="1:2">
      <c r="A350" s="670"/>
      <c r="B350" s="655"/>
    </row>
    <row r="351" spans="1:2">
      <c r="A351" s="670"/>
      <c r="B351" s="655"/>
    </row>
    <row r="352" spans="1:2">
      <c r="A352" s="670"/>
      <c r="B352" s="655"/>
    </row>
    <row r="353" spans="1:2">
      <c r="A353" s="670"/>
      <c r="B353" s="655"/>
    </row>
    <row r="354" spans="1:2">
      <c r="A354" s="670"/>
      <c r="B354" s="655"/>
    </row>
    <row r="355" spans="1:2">
      <c r="A355" s="670"/>
      <c r="B355" s="655"/>
    </row>
    <row r="356" spans="1:2">
      <c r="A356" s="670"/>
      <c r="B356" s="655"/>
    </row>
    <row r="357" spans="1:2">
      <c r="A357" s="670"/>
      <c r="B357" s="655"/>
    </row>
    <row r="358" spans="1:2">
      <c r="A358" s="670"/>
      <c r="B358" s="655"/>
    </row>
    <row r="359" spans="1:2">
      <c r="A359" s="670"/>
      <c r="B359" s="655"/>
    </row>
    <row r="360" spans="1:2">
      <c r="A360" s="670"/>
      <c r="B360" s="655"/>
    </row>
    <row r="361" spans="1:2">
      <c r="A361" s="670"/>
      <c r="B361" s="655"/>
    </row>
    <row r="362" spans="1:2">
      <c r="A362" s="670"/>
      <c r="B362" s="655"/>
    </row>
    <row r="363" spans="1:2">
      <c r="A363" s="670"/>
      <c r="B363" s="655"/>
    </row>
    <row r="364" spans="1:2">
      <c r="A364" s="670"/>
      <c r="B364" s="655"/>
    </row>
    <row r="365" spans="1:2">
      <c r="A365" s="670"/>
      <c r="B365" s="655"/>
    </row>
    <row r="366" spans="1:2">
      <c r="A366" s="670"/>
      <c r="B366" s="655"/>
    </row>
    <row r="367" spans="1:2">
      <c r="A367" s="670"/>
      <c r="B367" s="655"/>
    </row>
    <row r="368" spans="1:2">
      <c r="A368" s="670"/>
      <c r="B368" s="655"/>
    </row>
    <row r="369" spans="1:2">
      <c r="A369" s="670"/>
      <c r="B369" s="655"/>
    </row>
    <row r="370" spans="1:2">
      <c r="A370" s="670"/>
      <c r="B370" s="655"/>
    </row>
    <row r="371" spans="1:2">
      <c r="A371" s="670"/>
      <c r="B371" s="655"/>
    </row>
    <row r="372" spans="1:2">
      <c r="A372" s="670"/>
      <c r="B372" s="655"/>
    </row>
    <row r="373" spans="1:2">
      <c r="A373" s="670"/>
      <c r="B373" s="655"/>
    </row>
    <row r="374" spans="1:2">
      <c r="A374" s="670"/>
      <c r="B374" s="655"/>
    </row>
    <row r="375" spans="1:2">
      <c r="A375" s="670"/>
      <c r="B375" s="655"/>
    </row>
    <row r="376" spans="1:2">
      <c r="A376" s="670"/>
      <c r="B376" s="655"/>
    </row>
    <row r="377" spans="1:2">
      <c r="A377" s="670"/>
      <c r="B377" s="655"/>
    </row>
    <row r="378" spans="1:2">
      <c r="A378" s="670"/>
      <c r="B378" s="655"/>
    </row>
    <row r="379" spans="1:2">
      <c r="A379" s="670"/>
      <c r="B379" s="655"/>
    </row>
    <row r="380" spans="1:2">
      <c r="A380" s="670"/>
      <c r="B380" s="655"/>
    </row>
    <row r="381" spans="1:2">
      <c r="A381" s="670"/>
      <c r="B381" s="655"/>
    </row>
    <row r="382" spans="1:2">
      <c r="A382" s="670"/>
      <c r="B382" s="655"/>
    </row>
    <row r="383" spans="1:2">
      <c r="A383" s="670"/>
      <c r="B383" s="655"/>
    </row>
    <row r="384" spans="1:2">
      <c r="A384" s="670"/>
      <c r="B384" s="655"/>
    </row>
    <row r="385" spans="1:2">
      <c r="A385" s="670"/>
      <c r="B385" s="655"/>
    </row>
    <row r="386" spans="1:2">
      <c r="A386" s="670"/>
      <c r="B386" s="655"/>
    </row>
    <row r="387" spans="1:2">
      <c r="A387" s="670"/>
      <c r="B387" s="655"/>
    </row>
    <row r="388" spans="1:2">
      <c r="A388" s="670"/>
      <c r="B388" s="655"/>
    </row>
    <row r="389" spans="1:2">
      <c r="A389" s="670"/>
      <c r="B389" s="655"/>
    </row>
    <row r="390" spans="1:2">
      <c r="A390" s="670"/>
      <c r="B390" s="655"/>
    </row>
    <row r="391" spans="1:2">
      <c r="A391" s="670"/>
      <c r="B391" s="655"/>
    </row>
    <row r="392" spans="1:2">
      <c r="A392" s="670"/>
      <c r="B392" s="655"/>
    </row>
    <row r="393" spans="1:2">
      <c r="A393" s="670"/>
      <c r="B393" s="655"/>
    </row>
    <row r="394" spans="1:2">
      <c r="A394" s="670"/>
      <c r="B394" s="655"/>
    </row>
    <row r="395" spans="1:2">
      <c r="A395" s="670"/>
      <c r="B395" s="655"/>
    </row>
    <row r="396" spans="1:2">
      <c r="A396" s="670"/>
      <c r="B396" s="655"/>
    </row>
    <row r="397" spans="1:2">
      <c r="A397" s="670"/>
      <c r="B397" s="655"/>
    </row>
    <row r="398" spans="1:2">
      <c r="A398" s="670"/>
      <c r="B398" s="655"/>
    </row>
    <row r="399" spans="1:2">
      <c r="A399" s="670"/>
      <c r="B399" s="655"/>
    </row>
    <row r="400" spans="1:2">
      <c r="A400" s="670"/>
      <c r="B400" s="655"/>
    </row>
    <row r="401" spans="1:2">
      <c r="A401" s="670"/>
      <c r="B401" s="655"/>
    </row>
    <row r="402" spans="1:2">
      <c r="A402" s="670"/>
      <c r="B402" s="655"/>
    </row>
    <row r="403" spans="1:2">
      <c r="A403" s="670"/>
      <c r="B403" s="655"/>
    </row>
    <row r="404" spans="1:2">
      <c r="A404" s="670"/>
      <c r="B404" s="655"/>
    </row>
    <row r="405" spans="1:2">
      <c r="A405" s="670"/>
      <c r="B405" s="655"/>
    </row>
    <row r="406" spans="1:2">
      <c r="A406" s="670"/>
      <c r="B406" s="655"/>
    </row>
    <row r="407" spans="1:2">
      <c r="A407" s="670"/>
      <c r="B407" s="655"/>
    </row>
    <row r="408" spans="1:2">
      <c r="A408" s="670"/>
      <c r="B408" s="655"/>
    </row>
    <row r="409" spans="1:2">
      <c r="A409" s="670"/>
      <c r="B409" s="655"/>
    </row>
    <row r="410" spans="1:2">
      <c r="A410" s="670"/>
      <c r="B410" s="655"/>
    </row>
    <row r="411" spans="1:2">
      <c r="A411" s="670"/>
      <c r="B411" s="655"/>
    </row>
    <row r="412" spans="1:2">
      <c r="A412" s="670"/>
      <c r="B412" s="655"/>
    </row>
    <row r="413" spans="1:2">
      <c r="A413" s="670"/>
      <c r="B413" s="655"/>
    </row>
    <row r="414" spans="1:2">
      <c r="A414" s="670"/>
      <c r="B414" s="655"/>
    </row>
    <row r="415" spans="1:2">
      <c r="A415" s="670"/>
      <c r="B415" s="655"/>
    </row>
    <row r="416" spans="1:2">
      <c r="A416" s="670"/>
      <c r="B416" s="655"/>
    </row>
    <row r="417" spans="1:2">
      <c r="A417" s="670"/>
      <c r="B417" s="655"/>
    </row>
    <row r="418" spans="1:2">
      <c r="A418" s="670"/>
      <c r="B418" s="655"/>
    </row>
    <row r="419" spans="1:2">
      <c r="A419" s="670"/>
      <c r="B419" s="655"/>
    </row>
    <row r="420" spans="1:2">
      <c r="A420" s="670"/>
      <c r="B420" s="655"/>
    </row>
    <row r="421" spans="1:2">
      <c r="A421" s="670"/>
      <c r="B421" s="655"/>
    </row>
    <row r="422" spans="1:2">
      <c r="A422" s="670"/>
      <c r="B422" s="655"/>
    </row>
    <row r="423" spans="1:2">
      <c r="A423" s="670"/>
      <c r="B423" s="655"/>
    </row>
    <row r="424" spans="1:2">
      <c r="A424" s="670"/>
      <c r="B424" s="655"/>
    </row>
    <row r="425" spans="1:2">
      <c r="A425" s="670"/>
      <c r="B425" s="655"/>
    </row>
    <row r="426" spans="1:2">
      <c r="A426" s="670"/>
      <c r="B426" s="655"/>
    </row>
    <row r="427" spans="1:2">
      <c r="A427" s="670"/>
      <c r="B427" s="655"/>
    </row>
    <row r="428" spans="1:2">
      <c r="A428" s="670"/>
      <c r="B428" s="655"/>
    </row>
    <row r="429" spans="1:2">
      <c r="A429" s="670"/>
      <c r="B429" s="655"/>
    </row>
    <row r="430" spans="1:2">
      <c r="A430" s="670"/>
      <c r="B430" s="655"/>
    </row>
    <row r="431" spans="1:2">
      <c r="A431" s="670"/>
      <c r="B431" s="655"/>
    </row>
    <row r="432" spans="1:2">
      <c r="A432" s="670"/>
      <c r="B432" s="655"/>
    </row>
    <row r="433" spans="1:2">
      <c r="A433" s="670"/>
      <c r="B433" s="655"/>
    </row>
    <row r="434" spans="1:2">
      <c r="A434" s="670"/>
      <c r="B434" s="655"/>
    </row>
    <row r="435" spans="1:2">
      <c r="A435" s="670"/>
      <c r="B435" s="655"/>
    </row>
    <row r="436" spans="1:2">
      <c r="A436" s="670"/>
      <c r="B436" s="655"/>
    </row>
    <row r="437" spans="1:2">
      <c r="A437" s="670"/>
      <c r="B437" s="655"/>
    </row>
    <row r="438" spans="1:2">
      <c r="A438" s="670"/>
      <c r="B438" s="655"/>
    </row>
    <row r="439" spans="1:2">
      <c r="A439" s="670"/>
      <c r="B439" s="655"/>
    </row>
    <row r="440" spans="1:2">
      <c r="A440" s="670"/>
      <c r="B440" s="655"/>
    </row>
    <row r="441" spans="1:2">
      <c r="A441" s="670"/>
      <c r="B441" s="655"/>
    </row>
    <row r="442" spans="1:2">
      <c r="A442" s="670"/>
      <c r="B442" s="655"/>
    </row>
    <row r="443" spans="1:2">
      <c r="A443" s="670"/>
      <c r="B443" s="655"/>
    </row>
    <row r="444" spans="1:2">
      <c r="A444" s="670"/>
      <c r="B444" s="655"/>
    </row>
    <row r="445" spans="1:2">
      <c r="A445" s="670"/>
      <c r="B445" s="655"/>
    </row>
    <row r="446" spans="1:2">
      <c r="A446" s="670"/>
      <c r="B446" s="655"/>
    </row>
    <row r="447" spans="1:2">
      <c r="A447" s="670"/>
      <c r="B447" s="655"/>
    </row>
    <row r="448" spans="1:2">
      <c r="A448" s="670"/>
      <c r="B448" s="655"/>
    </row>
    <row r="449" spans="1:2">
      <c r="A449" s="670"/>
      <c r="B449" s="655"/>
    </row>
    <row r="450" spans="1:2">
      <c r="A450" s="670"/>
      <c r="B450" s="655"/>
    </row>
    <row r="451" spans="1:2">
      <c r="A451" s="670"/>
      <c r="B451" s="655"/>
    </row>
    <row r="452" spans="1:2">
      <c r="A452" s="670"/>
      <c r="B452" s="655"/>
    </row>
    <row r="453" spans="1:2">
      <c r="A453" s="670"/>
      <c r="B453" s="655"/>
    </row>
    <row r="454" spans="1:2">
      <c r="A454" s="670"/>
      <c r="B454" s="655"/>
    </row>
    <row r="455" spans="1:2">
      <c r="A455" s="670"/>
      <c r="B455" s="655"/>
    </row>
    <row r="456" spans="1:2">
      <c r="A456" s="670"/>
      <c r="B456" s="655"/>
    </row>
    <row r="457" spans="1:2">
      <c r="A457" s="670"/>
      <c r="B457" s="655"/>
    </row>
    <row r="458" spans="1:2">
      <c r="A458" s="670"/>
      <c r="B458" s="655"/>
    </row>
    <row r="459" spans="1:2">
      <c r="A459" s="670"/>
      <c r="B459" s="655"/>
    </row>
    <row r="460" spans="1:2">
      <c r="A460" s="670"/>
      <c r="B460" s="655"/>
    </row>
    <row r="461" spans="1:2">
      <c r="A461" s="670"/>
      <c r="B461" s="655"/>
    </row>
    <row r="462" spans="1:2">
      <c r="A462" s="670"/>
      <c r="B462" s="655"/>
    </row>
    <row r="463" spans="1:2">
      <c r="A463" s="670"/>
      <c r="B463" s="655"/>
    </row>
    <row r="464" spans="1:2">
      <c r="A464" s="670"/>
      <c r="B464" s="655"/>
    </row>
    <row r="465" spans="1:2">
      <c r="A465" s="670"/>
      <c r="B465" s="655"/>
    </row>
    <row r="466" spans="1:2">
      <c r="A466" s="670"/>
      <c r="B466" s="655"/>
    </row>
    <row r="467" spans="1:2">
      <c r="A467" s="670"/>
      <c r="B467" s="655"/>
    </row>
    <row r="468" spans="1:2">
      <c r="A468" s="670"/>
      <c r="B468" s="655"/>
    </row>
    <row r="469" spans="1:2">
      <c r="A469" s="670"/>
      <c r="B469" s="655"/>
    </row>
    <row r="470" spans="1:2">
      <c r="A470" s="670"/>
      <c r="B470" s="655"/>
    </row>
    <row r="471" spans="1:2">
      <c r="A471" s="670"/>
      <c r="B471" s="655"/>
    </row>
    <row r="472" spans="1:2">
      <c r="A472" s="670"/>
      <c r="B472" s="655"/>
    </row>
    <row r="473" spans="1:2">
      <c r="A473" s="670"/>
      <c r="B473" s="655"/>
    </row>
    <row r="474" spans="1:2">
      <c r="A474" s="670"/>
      <c r="B474" s="655"/>
    </row>
    <row r="475" spans="1:2">
      <c r="A475" s="670"/>
      <c r="B475" s="655"/>
    </row>
    <row r="476" spans="1:2">
      <c r="A476" s="670"/>
      <c r="B476" s="655"/>
    </row>
    <row r="477" spans="1:2">
      <c r="A477" s="670"/>
      <c r="B477" s="655"/>
    </row>
    <row r="478" spans="1:2">
      <c r="A478" s="670"/>
      <c r="B478" s="655"/>
    </row>
    <row r="479" spans="1:2">
      <c r="A479" s="670"/>
      <c r="B479" s="655"/>
    </row>
    <row r="480" spans="1:2">
      <c r="A480" s="670"/>
      <c r="B480" s="655"/>
    </row>
    <row r="481" spans="1:2">
      <c r="A481" s="670"/>
      <c r="B481" s="655"/>
    </row>
    <row r="482" spans="1:2">
      <c r="A482" s="670"/>
      <c r="B482" s="655"/>
    </row>
    <row r="483" spans="1:2">
      <c r="A483" s="670"/>
      <c r="B483" s="655"/>
    </row>
    <row r="484" spans="1:2">
      <c r="A484" s="670"/>
      <c r="B484" s="655"/>
    </row>
    <row r="485" spans="1:2">
      <c r="A485" s="670"/>
      <c r="B485" s="655"/>
    </row>
    <row r="486" spans="1:2">
      <c r="A486" s="670"/>
      <c r="B486" s="655"/>
    </row>
    <row r="487" spans="1:2">
      <c r="A487" s="670"/>
      <c r="B487" s="655"/>
    </row>
    <row r="488" spans="1:2">
      <c r="A488" s="670"/>
      <c r="B488" s="655"/>
    </row>
    <row r="489" spans="1:2">
      <c r="A489" s="670"/>
      <c r="B489" s="655"/>
    </row>
    <row r="490" spans="1:2">
      <c r="A490" s="670"/>
      <c r="B490" s="655"/>
    </row>
    <row r="491" spans="1:2">
      <c r="A491" s="670"/>
      <c r="B491" s="655"/>
    </row>
    <row r="492" spans="1:2">
      <c r="A492" s="670"/>
      <c r="B492" s="655"/>
    </row>
    <row r="493" spans="1:2">
      <c r="A493" s="670"/>
      <c r="B493" s="655"/>
    </row>
    <row r="494" spans="1:2">
      <c r="A494" s="670"/>
      <c r="B494" s="655"/>
    </row>
    <row r="495" spans="1:2">
      <c r="A495" s="670"/>
      <c r="B495" s="655"/>
    </row>
    <row r="496" spans="1:2">
      <c r="A496" s="670"/>
      <c r="B496" s="655"/>
    </row>
    <row r="497" spans="1:2">
      <c r="A497" s="670"/>
      <c r="B497" s="655"/>
    </row>
    <row r="498" spans="1:2">
      <c r="A498" s="670"/>
      <c r="B498" s="655"/>
    </row>
    <row r="499" spans="1:2">
      <c r="A499" s="670"/>
      <c r="B499" s="655"/>
    </row>
    <row r="500" spans="1:2">
      <c r="A500" s="670"/>
      <c r="B500" s="655"/>
    </row>
    <row r="501" spans="1:2">
      <c r="A501" s="670"/>
      <c r="B501" s="655"/>
    </row>
    <row r="502" spans="1:2">
      <c r="A502" s="670"/>
      <c r="B502" s="655"/>
    </row>
    <row r="503" spans="1:2">
      <c r="A503" s="670"/>
      <c r="B503" s="655"/>
    </row>
    <row r="504" spans="1:2">
      <c r="A504" s="670"/>
      <c r="B504" s="655"/>
    </row>
    <row r="505" spans="1:2">
      <c r="A505" s="670"/>
      <c r="B505" s="655"/>
    </row>
    <row r="506" spans="1:2">
      <c r="A506" s="670"/>
      <c r="B506" s="655"/>
    </row>
    <row r="507" spans="1:2">
      <c r="A507" s="670"/>
      <c r="B507" s="655"/>
    </row>
    <row r="508" spans="1:2">
      <c r="A508" s="670"/>
      <c r="B508" s="655"/>
    </row>
    <row r="509" spans="1:2">
      <c r="A509" s="670"/>
      <c r="B509" s="655"/>
    </row>
    <row r="510" spans="1:2">
      <c r="A510" s="670"/>
      <c r="B510" s="655"/>
    </row>
    <row r="511" spans="1:2">
      <c r="A511" s="670"/>
      <c r="B511" s="655"/>
    </row>
    <row r="512" spans="1:2">
      <c r="A512" s="670"/>
      <c r="B512" s="655"/>
    </row>
    <row r="513" spans="1:2">
      <c r="A513" s="670"/>
      <c r="B513" s="655"/>
    </row>
    <row r="514" spans="1:2">
      <c r="A514" s="670"/>
      <c r="B514" s="655"/>
    </row>
    <row r="515" spans="1:2">
      <c r="A515" s="670"/>
      <c r="B515" s="655"/>
    </row>
    <row r="516" spans="1:2">
      <c r="A516" s="670"/>
      <c r="B516" s="655"/>
    </row>
    <row r="517" spans="1:2">
      <c r="A517" s="670"/>
      <c r="B517" s="655"/>
    </row>
    <row r="518" spans="1:2">
      <c r="A518" s="670"/>
      <c r="B518" s="655"/>
    </row>
    <row r="519" spans="1:2">
      <c r="A519" s="670"/>
      <c r="B519" s="655"/>
    </row>
    <row r="520" spans="1:2">
      <c r="A520" s="670"/>
      <c r="B520" s="655"/>
    </row>
    <row r="521" spans="1:2">
      <c r="A521" s="670"/>
      <c r="B521" s="655"/>
    </row>
    <row r="522" spans="1:2">
      <c r="A522" s="670"/>
      <c r="B522" s="655"/>
    </row>
    <row r="523" spans="1:2">
      <c r="A523" s="670"/>
      <c r="B523" s="655"/>
    </row>
    <row r="524" spans="1:2">
      <c r="A524" s="670"/>
      <c r="B524" s="655"/>
    </row>
    <row r="525" spans="1:2">
      <c r="A525" s="670"/>
      <c r="B525" s="655"/>
    </row>
    <row r="526" spans="1:2">
      <c r="A526" s="670"/>
      <c r="B526" s="655"/>
    </row>
    <row r="527" spans="1:2">
      <c r="A527" s="670"/>
      <c r="B527" s="655"/>
    </row>
    <row r="528" spans="1:2">
      <c r="A528" s="670"/>
      <c r="B528" s="655"/>
    </row>
    <row r="529" spans="1:2">
      <c r="A529" s="670"/>
      <c r="B529" s="655"/>
    </row>
    <row r="530" spans="1:2">
      <c r="A530" s="670"/>
      <c r="B530" s="655"/>
    </row>
    <row r="531" spans="1:2">
      <c r="A531" s="670"/>
      <c r="B531" s="655"/>
    </row>
    <row r="532" spans="1:2">
      <c r="A532" s="670"/>
      <c r="B532" s="655"/>
    </row>
    <row r="533" spans="1:2">
      <c r="A533" s="670"/>
      <c r="B533" s="655"/>
    </row>
    <row r="534" spans="1:2">
      <c r="A534" s="670"/>
      <c r="B534" s="655"/>
    </row>
    <row r="535" spans="1:2">
      <c r="A535" s="670"/>
      <c r="B535" s="655"/>
    </row>
    <row r="536" spans="1:2">
      <c r="A536" s="670"/>
      <c r="B536" s="655"/>
    </row>
    <row r="537" spans="1:2">
      <c r="A537" s="670"/>
      <c r="B537" s="655"/>
    </row>
    <row r="538" spans="1:2">
      <c r="A538" s="670"/>
      <c r="B538" s="655"/>
    </row>
    <row r="539" spans="1:2">
      <c r="A539" s="670"/>
      <c r="B539" s="655"/>
    </row>
    <row r="540" spans="1:2">
      <c r="A540" s="670"/>
      <c r="B540" s="655"/>
    </row>
    <row r="541" spans="1:2">
      <c r="A541" s="670"/>
      <c r="B541" s="655"/>
    </row>
    <row r="542" spans="1:2">
      <c r="A542" s="670"/>
      <c r="B542" s="655"/>
    </row>
    <row r="543" spans="1:2">
      <c r="A543" s="670"/>
      <c r="B543" s="655"/>
    </row>
    <row r="544" spans="1:2">
      <c r="A544" s="670"/>
      <c r="B544" s="655"/>
    </row>
    <row r="545" spans="1:2">
      <c r="A545" s="670"/>
      <c r="B545" s="655"/>
    </row>
    <row r="546" spans="1:2">
      <c r="A546" s="670"/>
      <c r="B546" s="655"/>
    </row>
    <row r="547" spans="1:2">
      <c r="A547" s="670"/>
      <c r="B547" s="655"/>
    </row>
    <row r="548" spans="1:2">
      <c r="A548" s="670"/>
      <c r="B548" s="655"/>
    </row>
    <row r="549" spans="1:2">
      <c r="A549" s="670"/>
      <c r="B549" s="655"/>
    </row>
    <row r="550" spans="1:2">
      <c r="A550" s="670"/>
      <c r="B550" s="655"/>
    </row>
    <row r="551" spans="1:2">
      <c r="A551" s="670"/>
      <c r="B551" s="655"/>
    </row>
    <row r="552" spans="1:2">
      <c r="A552" s="670"/>
      <c r="B552" s="655"/>
    </row>
    <row r="553" spans="1:2">
      <c r="A553" s="670"/>
      <c r="B553" s="655"/>
    </row>
    <row r="554" spans="1:2">
      <c r="A554" s="670"/>
      <c r="B554" s="655"/>
    </row>
    <row r="555" spans="1:2">
      <c r="A555" s="670"/>
      <c r="B555" s="655"/>
    </row>
    <row r="556" spans="1:2">
      <c r="A556" s="670"/>
      <c r="B556" s="655"/>
    </row>
    <row r="557" spans="1:2">
      <c r="A557" s="670"/>
      <c r="B557" s="655"/>
    </row>
    <row r="558" spans="1:2">
      <c r="A558" s="670"/>
      <c r="B558" s="655"/>
    </row>
    <row r="559" spans="1:2">
      <c r="A559" s="670"/>
      <c r="B559" s="655"/>
    </row>
    <row r="560" spans="1:2">
      <c r="A560" s="670"/>
      <c r="B560" s="655"/>
    </row>
    <row r="561" spans="1:2">
      <c r="A561" s="670"/>
      <c r="B561" s="655"/>
    </row>
    <row r="562" spans="1:2">
      <c r="A562" s="670"/>
      <c r="B562" s="655"/>
    </row>
    <row r="563" spans="1:2">
      <c r="A563" s="670"/>
      <c r="B563" s="655"/>
    </row>
    <row r="564" spans="1:2">
      <c r="A564" s="670"/>
      <c r="B564" s="655"/>
    </row>
    <row r="565" spans="1:2">
      <c r="A565" s="670"/>
      <c r="B565" s="655"/>
    </row>
    <row r="566" spans="1:2">
      <c r="A566" s="670"/>
      <c r="B566" s="655"/>
    </row>
    <row r="567" spans="1:2">
      <c r="A567" s="670"/>
      <c r="B567" s="655"/>
    </row>
    <row r="568" spans="1:2">
      <c r="A568" s="670"/>
      <c r="B568" s="655"/>
    </row>
    <row r="569" spans="1:2">
      <c r="A569" s="670"/>
      <c r="B569" s="655"/>
    </row>
    <row r="570" spans="1:2">
      <c r="A570" s="670"/>
      <c r="B570" s="655"/>
    </row>
    <row r="571" spans="1:2">
      <c r="A571" s="670"/>
      <c r="B571" s="655"/>
    </row>
    <row r="572" spans="1:2">
      <c r="A572" s="670"/>
      <c r="B572" s="655"/>
    </row>
    <row r="573" spans="1:2">
      <c r="A573" s="670"/>
      <c r="B573" s="655"/>
    </row>
    <row r="574" spans="1:2">
      <c r="A574" s="670"/>
      <c r="B574" s="655"/>
    </row>
    <row r="575" spans="1:2">
      <c r="A575" s="670"/>
      <c r="B575" s="655"/>
    </row>
    <row r="576" spans="1:2">
      <c r="A576" s="670"/>
      <c r="B576" s="655"/>
    </row>
    <row r="577" spans="1:2">
      <c r="A577" s="670"/>
      <c r="B577" s="655"/>
    </row>
    <row r="578" spans="1:2">
      <c r="A578" s="670"/>
      <c r="B578" s="655"/>
    </row>
    <row r="579" spans="1:2">
      <c r="A579" s="670"/>
      <c r="B579" s="655"/>
    </row>
    <row r="580" spans="1:2">
      <c r="A580" s="670"/>
      <c r="B580" s="655"/>
    </row>
    <row r="581" spans="1:2">
      <c r="A581" s="670"/>
      <c r="B581" s="655"/>
    </row>
    <row r="582" spans="1:2">
      <c r="A582" s="670"/>
      <c r="B582" s="655"/>
    </row>
    <row r="583" spans="1:2">
      <c r="A583" s="670"/>
      <c r="B583" s="655"/>
    </row>
    <row r="584" spans="1:2">
      <c r="A584" s="670"/>
      <c r="B584" s="655"/>
    </row>
    <row r="585" spans="1:2">
      <c r="A585" s="670"/>
      <c r="B585" s="655"/>
    </row>
    <row r="586" spans="1:2">
      <c r="A586" s="670"/>
      <c r="B586" s="655"/>
    </row>
    <row r="587" spans="1:2">
      <c r="A587" s="670"/>
      <c r="B587" s="655"/>
    </row>
    <row r="588" spans="1:2">
      <c r="A588" s="670"/>
      <c r="B588" s="655"/>
    </row>
    <row r="589" spans="1:2">
      <c r="A589" s="670"/>
      <c r="B589" s="655"/>
    </row>
    <row r="590" spans="1:2">
      <c r="A590" s="670"/>
      <c r="B590" s="655"/>
    </row>
    <row r="591" spans="1:2">
      <c r="A591" s="670"/>
      <c r="B591" s="655"/>
    </row>
    <row r="592" spans="1:2">
      <c r="A592" s="670"/>
      <c r="B592" s="655"/>
    </row>
    <row r="593" spans="1:2">
      <c r="A593" s="670"/>
      <c r="B593" s="655"/>
    </row>
    <row r="594" spans="1:2">
      <c r="A594" s="670"/>
      <c r="B594" s="655"/>
    </row>
    <row r="595" spans="1:2">
      <c r="A595" s="670"/>
      <c r="B595" s="655"/>
    </row>
    <row r="596" spans="1:2">
      <c r="A596" s="670"/>
      <c r="B596" s="655"/>
    </row>
    <row r="597" spans="1:2">
      <c r="A597" s="670"/>
      <c r="B597" s="655"/>
    </row>
    <row r="598" spans="1:2">
      <c r="A598" s="670"/>
      <c r="B598" s="655"/>
    </row>
    <row r="599" spans="1:2">
      <c r="A599" s="670"/>
      <c r="B599" s="655"/>
    </row>
    <row r="600" spans="1:2">
      <c r="A600" s="670"/>
      <c r="B600" s="655"/>
    </row>
    <row r="601" spans="1:2">
      <c r="A601" s="670"/>
      <c r="B601" s="655"/>
    </row>
    <row r="602" spans="1:2">
      <c r="A602" s="670"/>
      <c r="B602" s="655"/>
    </row>
    <row r="603" spans="1:2">
      <c r="A603" s="670"/>
      <c r="B603" s="655"/>
    </row>
    <row r="604" spans="1:2">
      <c r="A604" s="670"/>
      <c r="B604" s="655"/>
    </row>
    <row r="605" spans="1:2">
      <c r="A605" s="670"/>
      <c r="B605" s="655"/>
    </row>
    <row r="606" spans="1:2">
      <c r="A606" s="670"/>
      <c r="B606" s="655"/>
    </row>
    <row r="607" spans="1:2">
      <c r="A607" s="670"/>
      <c r="B607" s="655"/>
    </row>
    <row r="608" spans="1:2">
      <c r="A608" s="670"/>
      <c r="B608" s="655"/>
    </row>
    <row r="609" spans="1:2">
      <c r="A609" s="670"/>
      <c r="B609" s="655"/>
    </row>
    <row r="610" spans="1:2">
      <c r="A610" s="670"/>
      <c r="B610" s="655"/>
    </row>
    <row r="611" spans="1:2">
      <c r="A611" s="670"/>
      <c r="B611" s="655"/>
    </row>
    <row r="612" spans="1:2">
      <c r="A612" s="670"/>
      <c r="B612" s="655"/>
    </row>
    <row r="613" spans="1:2">
      <c r="A613" s="670"/>
      <c r="B613" s="655"/>
    </row>
    <row r="614" spans="1:2">
      <c r="A614" s="670"/>
      <c r="B614" s="655"/>
    </row>
    <row r="615" spans="1:2">
      <c r="A615" s="670"/>
      <c r="B615" s="655"/>
    </row>
    <row r="616" spans="1:2">
      <c r="A616" s="670"/>
      <c r="B616" s="655"/>
    </row>
    <row r="617" spans="1:2">
      <c r="A617" s="670"/>
      <c r="B617" s="655"/>
    </row>
    <row r="618" spans="1:2">
      <c r="A618" s="670"/>
      <c r="B618" s="655"/>
    </row>
    <row r="619" spans="1:2">
      <c r="A619" s="670"/>
      <c r="B619" s="655"/>
    </row>
    <row r="620" spans="1:2">
      <c r="A620" s="670"/>
      <c r="B620" s="655"/>
    </row>
    <row r="621" spans="1:2">
      <c r="A621" s="670"/>
      <c r="B621" s="655"/>
    </row>
    <row r="622" spans="1:2">
      <c r="A622" s="670"/>
      <c r="B622" s="655"/>
    </row>
    <row r="623" spans="1:2">
      <c r="A623" s="670"/>
      <c r="B623" s="655"/>
    </row>
    <row r="624" spans="1:2">
      <c r="A624" s="670"/>
      <c r="B624" s="655"/>
    </row>
    <row r="625" spans="1:2">
      <c r="A625" s="670"/>
      <c r="B625" s="655"/>
    </row>
    <row r="626" spans="1:2">
      <c r="A626" s="670"/>
      <c r="B626" s="655"/>
    </row>
    <row r="627" spans="1:2">
      <c r="A627" s="670"/>
      <c r="B627" s="655"/>
    </row>
    <row r="628" spans="1:2">
      <c r="A628" s="670"/>
      <c r="B628" s="655"/>
    </row>
    <row r="629" spans="1:2">
      <c r="A629" s="670"/>
      <c r="B629" s="655"/>
    </row>
    <row r="630" spans="1:2">
      <c r="A630" s="670"/>
      <c r="B630" s="655"/>
    </row>
    <row r="631" spans="1:2">
      <c r="A631" s="670"/>
      <c r="B631" s="655"/>
    </row>
    <row r="632" spans="1:2">
      <c r="A632" s="670"/>
      <c r="B632" s="655"/>
    </row>
    <row r="633" spans="1:2">
      <c r="A633" s="670"/>
      <c r="B633" s="655"/>
    </row>
    <row r="634" spans="1:2">
      <c r="A634" s="670"/>
      <c r="B634" s="655"/>
    </row>
    <row r="635" spans="1:2">
      <c r="A635" s="670"/>
      <c r="B635" s="655"/>
    </row>
    <row r="636" spans="1:2">
      <c r="A636" s="670"/>
      <c r="B636" s="655"/>
    </row>
    <row r="637" spans="1:2">
      <c r="A637" s="670"/>
      <c r="B637" s="655"/>
    </row>
    <row r="638" spans="1:2">
      <c r="A638" s="670"/>
      <c r="B638" s="655"/>
    </row>
    <row r="639" spans="1:2">
      <c r="A639" s="670"/>
      <c r="B639" s="655"/>
    </row>
    <row r="640" spans="1:2">
      <c r="A640" s="670"/>
      <c r="B640" s="655"/>
    </row>
    <row r="641" spans="1:2">
      <c r="A641" s="670"/>
      <c r="B641" s="655"/>
    </row>
    <row r="642" spans="1:2">
      <c r="A642" s="670"/>
      <c r="B642" s="655"/>
    </row>
    <row r="643" spans="1:2">
      <c r="A643" s="670"/>
      <c r="B643" s="655"/>
    </row>
    <row r="644" spans="1:2">
      <c r="A644" s="670"/>
      <c r="B644" s="655"/>
    </row>
    <row r="645" spans="1:2">
      <c r="A645" s="670"/>
      <c r="B645" s="655"/>
    </row>
    <row r="646" spans="1:2">
      <c r="A646" s="670"/>
      <c r="B646" s="655"/>
    </row>
    <row r="647" spans="1:2">
      <c r="A647" s="670"/>
      <c r="B647" s="655"/>
    </row>
    <row r="648" spans="1:2">
      <c r="A648" s="670"/>
      <c r="B648" s="655"/>
    </row>
    <row r="649" spans="1:2">
      <c r="A649" s="670"/>
      <c r="B649" s="655"/>
    </row>
    <row r="650" spans="1:2">
      <c r="A650" s="670"/>
      <c r="B650" s="655"/>
    </row>
    <row r="651" spans="1:2">
      <c r="A651" s="670"/>
      <c r="B651" s="655"/>
    </row>
    <row r="652" spans="1:2">
      <c r="A652" s="670"/>
      <c r="B652" s="655"/>
    </row>
    <row r="653" spans="1:2">
      <c r="A653" s="670"/>
      <c r="B653" s="655"/>
    </row>
    <row r="654" spans="1:2">
      <c r="A654" s="670"/>
      <c r="B654" s="655"/>
    </row>
    <row r="655" spans="1:2">
      <c r="A655" s="670"/>
      <c r="B655" s="655"/>
    </row>
    <row r="656" spans="1:2">
      <c r="A656" s="670"/>
      <c r="B656" s="655"/>
    </row>
    <row r="657" spans="1:2">
      <c r="A657" s="670"/>
      <c r="B657" s="655"/>
    </row>
    <row r="658" spans="1:2">
      <c r="A658" s="670"/>
      <c r="B658" s="655"/>
    </row>
    <row r="659" spans="1:2">
      <c r="A659" s="670"/>
      <c r="B659" s="655"/>
    </row>
    <row r="660" spans="1:2">
      <c r="A660" s="670"/>
      <c r="B660" s="655"/>
    </row>
    <row r="661" spans="1:2">
      <c r="A661" s="670"/>
      <c r="B661" s="655"/>
    </row>
    <row r="662" spans="1:2">
      <c r="A662" s="670"/>
      <c r="B662" s="655"/>
    </row>
    <row r="663" spans="1:2">
      <c r="A663" s="670"/>
      <c r="B663" s="655"/>
    </row>
    <row r="664" spans="1:2">
      <c r="A664" s="670"/>
      <c r="B664" s="655"/>
    </row>
    <row r="665" spans="1:2">
      <c r="A665" s="670"/>
      <c r="B665" s="655"/>
    </row>
    <row r="666" spans="1:2">
      <c r="A666" s="670"/>
      <c r="B666" s="655"/>
    </row>
    <row r="667" spans="1:2">
      <c r="A667" s="670"/>
      <c r="B667" s="655"/>
    </row>
    <row r="668" spans="1:2">
      <c r="A668" s="670"/>
      <c r="B668" s="655"/>
    </row>
    <row r="669" spans="1:2">
      <c r="A669" s="670"/>
      <c r="B669" s="655"/>
    </row>
    <row r="670" spans="1:2">
      <c r="A670" s="670"/>
      <c r="B670" s="655"/>
    </row>
    <row r="671" spans="1:2">
      <c r="A671" s="670"/>
      <c r="B671" s="655"/>
    </row>
    <row r="672" spans="1:2">
      <c r="A672" s="670"/>
      <c r="B672" s="655"/>
    </row>
    <row r="673" spans="1:2">
      <c r="A673" s="670"/>
      <c r="B673" s="655"/>
    </row>
    <row r="674" spans="1:2">
      <c r="A674" s="670"/>
      <c r="B674" s="655"/>
    </row>
    <row r="675" spans="1:2">
      <c r="A675" s="670"/>
      <c r="B675" s="655"/>
    </row>
    <row r="676" spans="1:2">
      <c r="A676" s="670"/>
      <c r="B676" s="655"/>
    </row>
    <row r="677" spans="1:2">
      <c r="A677" s="670"/>
      <c r="B677" s="655"/>
    </row>
    <row r="678" spans="1:2">
      <c r="A678" s="670"/>
      <c r="B678" s="655"/>
    </row>
    <row r="679" spans="1:2">
      <c r="A679" s="670"/>
      <c r="B679" s="655"/>
    </row>
    <row r="680" spans="1:2">
      <c r="A680" s="670"/>
      <c r="B680" s="655"/>
    </row>
    <row r="681" spans="1:2">
      <c r="A681" s="670"/>
      <c r="B681" s="655"/>
    </row>
    <row r="682" spans="1:2">
      <c r="A682" s="670"/>
      <c r="B682" s="655"/>
    </row>
    <row r="683" spans="1:2">
      <c r="A683" s="670"/>
      <c r="B683" s="655"/>
    </row>
    <row r="684" spans="1:2">
      <c r="A684" s="670"/>
      <c r="B684" s="655"/>
    </row>
    <row r="685" spans="1:2">
      <c r="A685" s="670"/>
      <c r="B685" s="655"/>
    </row>
    <row r="686" spans="1:2">
      <c r="A686" s="670"/>
      <c r="B686" s="655"/>
    </row>
    <row r="687" spans="1:2">
      <c r="A687" s="670"/>
      <c r="B687" s="655"/>
    </row>
    <row r="688" spans="1:2">
      <c r="A688" s="670"/>
      <c r="B688" s="655"/>
    </row>
    <row r="689" spans="1:2">
      <c r="A689" s="670"/>
      <c r="B689" s="655"/>
    </row>
    <row r="690" spans="1:2">
      <c r="A690" s="670"/>
      <c r="B690" s="655"/>
    </row>
    <row r="691" spans="1:2">
      <c r="A691" s="670"/>
      <c r="B691" s="655"/>
    </row>
    <row r="692" spans="1:2">
      <c r="A692" s="670"/>
      <c r="B692" s="655"/>
    </row>
    <row r="693" spans="1:2">
      <c r="A693" s="670"/>
      <c r="B693" s="655"/>
    </row>
    <row r="694" spans="1:2">
      <c r="A694" s="670"/>
      <c r="B694" s="655"/>
    </row>
    <row r="695" spans="1:2">
      <c r="A695" s="670"/>
      <c r="B695" s="655"/>
    </row>
    <row r="696" spans="1:2">
      <c r="A696" s="670"/>
      <c r="B696" s="655"/>
    </row>
    <row r="697" spans="1:2">
      <c r="A697" s="670"/>
      <c r="B697" s="655"/>
    </row>
    <row r="698" spans="1:2">
      <c r="A698" s="670"/>
      <c r="B698" s="655"/>
    </row>
    <row r="699" spans="1:2">
      <c r="A699" s="670"/>
      <c r="B699" s="655"/>
    </row>
    <row r="700" spans="1:2">
      <c r="A700" s="670"/>
      <c r="B700" s="655"/>
    </row>
    <row r="701" spans="1:2">
      <c r="A701" s="670"/>
      <c r="B701" s="655"/>
    </row>
    <row r="702" spans="1:2">
      <c r="A702" s="670"/>
      <c r="B702" s="655"/>
    </row>
    <row r="703" spans="1:2">
      <c r="A703" s="670"/>
      <c r="B703" s="655"/>
    </row>
    <row r="704" spans="1:2">
      <c r="A704" s="670"/>
      <c r="B704" s="655"/>
    </row>
    <row r="705" spans="1:2">
      <c r="A705" s="670"/>
      <c r="B705" s="655"/>
    </row>
    <row r="706" spans="1:2">
      <c r="A706" s="670"/>
      <c r="B706" s="655"/>
    </row>
    <row r="707" spans="1:2">
      <c r="A707" s="670"/>
      <c r="B707" s="655"/>
    </row>
    <row r="708" spans="1:2">
      <c r="A708" s="670"/>
      <c r="B708" s="655"/>
    </row>
    <row r="709" spans="1:2">
      <c r="A709" s="670"/>
      <c r="B709" s="655"/>
    </row>
    <row r="710" spans="1:2">
      <c r="A710" s="670"/>
      <c r="B710" s="655"/>
    </row>
    <row r="711" spans="1:2">
      <c r="A711" s="670"/>
      <c r="B711" s="655"/>
    </row>
    <row r="712" spans="1:2">
      <c r="A712" s="670"/>
      <c r="B712" s="655"/>
    </row>
    <row r="713" spans="1:2">
      <c r="A713" s="670"/>
      <c r="B713" s="655"/>
    </row>
    <row r="714" spans="1:2">
      <c r="A714" s="670"/>
      <c r="B714" s="655"/>
    </row>
    <row r="715" spans="1:2">
      <c r="A715" s="670"/>
      <c r="B715" s="655"/>
    </row>
    <row r="716" spans="1:2">
      <c r="A716" s="670"/>
      <c r="B716" s="655"/>
    </row>
    <row r="717" spans="1:2">
      <c r="A717" s="670"/>
      <c r="B717" s="655"/>
    </row>
    <row r="718" spans="1:2">
      <c r="A718" s="670"/>
      <c r="B718" s="655"/>
    </row>
    <row r="719" spans="1:2">
      <c r="A719" s="670"/>
      <c r="B719" s="655"/>
    </row>
    <row r="720" spans="1:2">
      <c r="A720" s="670"/>
      <c r="B720" s="655"/>
    </row>
    <row r="721" spans="1:2">
      <c r="A721" s="670"/>
      <c r="B721" s="655"/>
    </row>
    <row r="722" spans="1:2">
      <c r="A722" s="670"/>
      <c r="B722" s="655"/>
    </row>
    <row r="723" spans="1:2">
      <c r="A723" s="670"/>
      <c r="B723" s="655"/>
    </row>
    <row r="724" spans="1:2">
      <c r="A724" s="670"/>
      <c r="B724" s="655"/>
    </row>
    <row r="725" spans="1:2">
      <c r="A725" s="670"/>
      <c r="B725" s="655"/>
    </row>
    <row r="726" spans="1:2">
      <c r="A726" s="670"/>
      <c r="B726" s="655"/>
    </row>
    <row r="727" spans="1:2">
      <c r="A727" s="670"/>
      <c r="B727" s="655"/>
    </row>
    <row r="728" spans="1:2">
      <c r="A728" s="670"/>
      <c r="B728" s="655"/>
    </row>
    <row r="729" spans="1:2">
      <c r="A729" s="670"/>
      <c r="B729" s="655"/>
    </row>
    <row r="730" spans="1:2">
      <c r="A730" s="670"/>
      <c r="B730" s="655"/>
    </row>
    <row r="731" spans="1:2">
      <c r="A731" s="670"/>
      <c r="B731" s="655"/>
    </row>
    <row r="732" spans="1:2">
      <c r="A732" s="670"/>
      <c r="B732" s="655"/>
    </row>
    <row r="733" spans="1:2">
      <c r="A733" s="670"/>
      <c r="B733" s="655"/>
    </row>
    <row r="734" spans="1:2">
      <c r="A734" s="670"/>
      <c r="B734" s="655"/>
    </row>
    <row r="735" spans="1:2">
      <c r="A735" s="670"/>
      <c r="B735" s="655"/>
    </row>
    <row r="736" spans="1:2">
      <c r="A736" s="670"/>
      <c r="B736" s="655"/>
    </row>
    <row r="737" spans="1:2">
      <c r="A737" s="670"/>
      <c r="B737" s="655"/>
    </row>
    <row r="738" spans="1:2">
      <c r="A738" s="670"/>
      <c r="B738" s="655"/>
    </row>
    <row r="739" spans="1:2">
      <c r="A739" s="670"/>
      <c r="B739" s="655"/>
    </row>
    <row r="740" spans="1:2">
      <c r="A740" s="670"/>
      <c r="B740" s="655"/>
    </row>
    <row r="741" spans="1:2">
      <c r="A741" s="670"/>
      <c r="B741" s="655"/>
    </row>
    <row r="742" spans="1:2">
      <c r="A742" s="670"/>
      <c r="B742" s="655"/>
    </row>
    <row r="743" spans="1:2">
      <c r="A743" s="670"/>
      <c r="B743" s="655"/>
    </row>
    <row r="744" spans="1:2">
      <c r="A744" s="670"/>
      <c r="B744" s="655"/>
    </row>
    <row r="745" spans="1:2">
      <c r="A745" s="670"/>
      <c r="B745" s="655"/>
    </row>
    <row r="746" spans="1:2">
      <c r="A746" s="670"/>
      <c r="B746" s="655"/>
    </row>
    <row r="747" spans="1:2">
      <c r="A747" s="670"/>
      <c r="B747" s="655"/>
    </row>
    <row r="748" spans="1:2">
      <c r="A748" s="670"/>
      <c r="B748" s="655"/>
    </row>
    <row r="749" spans="1:2">
      <c r="A749" s="670"/>
      <c r="B749" s="655"/>
    </row>
    <row r="750" spans="1:2">
      <c r="A750" s="670"/>
      <c r="B750" s="655"/>
    </row>
    <row r="751" spans="1:2">
      <c r="A751" s="670"/>
      <c r="B751" s="655"/>
    </row>
    <row r="752" spans="1:2">
      <c r="A752" s="670"/>
      <c r="B752" s="655"/>
    </row>
    <row r="753" spans="1:2">
      <c r="A753" s="670"/>
      <c r="B753" s="655"/>
    </row>
    <row r="754" spans="1:2">
      <c r="A754" s="670"/>
      <c r="B754" s="655"/>
    </row>
    <row r="755" spans="1:2">
      <c r="A755" s="670"/>
      <c r="B755" s="655"/>
    </row>
    <row r="756" spans="1:2">
      <c r="A756" s="670"/>
      <c r="B756" s="655"/>
    </row>
    <row r="757" spans="1:2">
      <c r="A757" s="670"/>
      <c r="B757" s="655"/>
    </row>
    <row r="758" spans="1:2">
      <c r="A758" s="670"/>
      <c r="B758" s="655"/>
    </row>
    <row r="759" spans="1:2">
      <c r="A759" s="670"/>
      <c r="B759" s="655"/>
    </row>
    <row r="760" spans="1:2">
      <c r="A760" s="670"/>
      <c r="B760" s="655"/>
    </row>
    <row r="761" spans="1:2">
      <c r="A761" s="670"/>
      <c r="B761" s="655"/>
    </row>
    <row r="762" spans="1:2">
      <c r="A762" s="670"/>
      <c r="B762" s="655"/>
    </row>
    <row r="763" spans="1:2">
      <c r="A763" s="670"/>
      <c r="B763" s="655"/>
    </row>
    <row r="764" spans="1:2">
      <c r="A764" s="670"/>
      <c r="B764" s="655"/>
    </row>
    <row r="765" spans="1:2">
      <c r="A765" s="670"/>
      <c r="B765" s="655"/>
    </row>
    <row r="766" spans="1:2">
      <c r="A766" s="670"/>
      <c r="B766" s="655"/>
    </row>
    <row r="767" spans="1:2">
      <c r="A767" s="670"/>
      <c r="B767" s="655"/>
    </row>
    <row r="768" spans="1:2">
      <c r="A768" s="670"/>
      <c r="B768" s="655"/>
    </row>
    <row r="769" spans="1:2">
      <c r="A769" s="670"/>
      <c r="B769" s="655"/>
    </row>
    <row r="770" spans="1:2">
      <c r="A770" s="670"/>
      <c r="B770" s="655"/>
    </row>
    <row r="771" spans="1:2">
      <c r="A771" s="670"/>
      <c r="B771" s="655"/>
    </row>
    <row r="772" spans="1:2">
      <c r="A772" s="670"/>
      <c r="B772" s="655"/>
    </row>
    <row r="773" spans="1:2">
      <c r="A773" s="670"/>
      <c r="B773" s="655"/>
    </row>
    <row r="774" spans="1:2">
      <c r="A774" s="670"/>
      <c r="B774" s="655"/>
    </row>
    <row r="775" spans="1:2">
      <c r="A775" s="670"/>
      <c r="B775" s="655"/>
    </row>
    <row r="776" spans="1:2">
      <c r="A776" s="670"/>
      <c r="B776" s="655"/>
    </row>
    <row r="777" spans="1:2">
      <c r="A777" s="670"/>
      <c r="B777" s="655"/>
    </row>
    <row r="778" spans="1:2">
      <c r="A778" s="670"/>
      <c r="B778" s="655"/>
    </row>
    <row r="779" spans="1:2">
      <c r="A779" s="670"/>
      <c r="B779" s="655"/>
    </row>
    <row r="780" spans="1:2">
      <c r="A780" s="670"/>
      <c r="B780" s="655"/>
    </row>
    <row r="781" spans="1:2">
      <c r="A781" s="670"/>
      <c r="B781" s="655"/>
    </row>
    <row r="782" spans="1:2">
      <c r="A782" s="670"/>
      <c r="B782" s="655"/>
    </row>
    <row r="783" spans="1:2">
      <c r="A783" s="670"/>
      <c r="B783" s="655"/>
    </row>
    <row r="784" spans="1:2">
      <c r="A784" s="670"/>
      <c r="B784" s="655"/>
    </row>
    <row r="785" spans="1:2">
      <c r="A785" s="670"/>
      <c r="B785" s="655"/>
    </row>
    <row r="786" spans="1:2">
      <c r="A786" s="670"/>
      <c r="B786" s="655"/>
    </row>
    <row r="787" spans="1:2">
      <c r="A787" s="670"/>
      <c r="B787" s="655"/>
    </row>
    <row r="788" spans="1:2">
      <c r="A788" s="670"/>
      <c r="B788" s="655"/>
    </row>
    <row r="789" spans="1:2">
      <c r="A789" s="670"/>
      <c r="B789" s="655"/>
    </row>
    <row r="790" spans="1:2">
      <c r="A790" s="670"/>
      <c r="B790" s="655"/>
    </row>
    <row r="791" spans="1:2">
      <c r="A791" s="670"/>
      <c r="B791" s="655"/>
    </row>
    <row r="792" spans="1:2">
      <c r="A792" s="670"/>
      <c r="B792" s="655"/>
    </row>
    <row r="793" spans="1:2">
      <c r="A793" s="670"/>
      <c r="B793" s="655"/>
    </row>
    <row r="794" spans="1:2">
      <c r="A794" s="670"/>
      <c r="B794" s="655"/>
    </row>
    <row r="795" spans="1:2">
      <c r="A795" s="670"/>
      <c r="B795" s="655"/>
    </row>
    <row r="796" spans="1:2">
      <c r="A796" s="670"/>
      <c r="B796" s="655"/>
    </row>
    <row r="797" spans="1:2">
      <c r="A797" s="670"/>
      <c r="B797" s="655"/>
    </row>
    <row r="798" spans="1:2">
      <c r="A798" s="670"/>
      <c r="B798" s="655"/>
    </row>
    <row r="799" spans="1:2">
      <c r="A799" s="670"/>
      <c r="B799" s="655"/>
    </row>
    <row r="800" spans="1:2">
      <c r="A800" s="670"/>
      <c r="B800" s="655"/>
    </row>
    <row r="801" spans="1:2">
      <c r="A801" s="670"/>
      <c r="B801" s="655"/>
    </row>
    <row r="802" spans="1:2">
      <c r="A802" s="670"/>
      <c r="B802" s="655"/>
    </row>
    <row r="803" spans="1:2">
      <c r="A803" s="670"/>
      <c r="B803" s="655"/>
    </row>
    <row r="804" spans="1:2">
      <c r="A804" s="670"/>
      <c r="B804" s="655"/>
    </row>
    <row r="805" spans="1:2">
      <c r="A805" s="670"/>
      <c r="B805" s="655"/>
    </row>
    <row r="806" spans="1:2">
      <c r="A806" s="670"/>
      <c r="B806" s="655"/>
    </row>
    <row r="807" spans="1:2">
      <c r="A807" s="670"/>
      <c r="B807" s="655"/>
    </row>
    <row r="808" spans="1:2">
      <c r="A808" s="670"/>
      <c r="B808" s="655"/>
    </row>
    <row r="809" spans="1:2">
      <c r="A809" s="670"/>
      <c r="B809" s="655"/>
    </row>
    <row r="810" spans="1:2">
      <c r="A810" s="670"/>
      <c r="B810" s="655"/>
    </row>
    <row r="811" spans="1:2">
      <c r="A811" s="670"/>
      <c r="B811" s="655"/>
    </row>
    <row r="812" spans="1:2">
      <c r="A812" s="670"/>
      <c r="B812" s="655"/>
    </row>
    <row r="813" spans="1:2">
      <c r="A813" s="670"/>
      <c r="B813" s="655"/>
    </row>
    <row r="814" spans="1:2">
      <c r="A814" s="670"/>
      <c r="B814" s="655"/>
    </row>
    <row r="815" spans="1:2">
      <c r="A815" s="670"/>
      <c r="B815" s="655"/>
    </row>
    <row r="816" spans="1:2">
      <c r="A816" s="670"/>
      <c r="B816" s="655"/>
    </row>
    <row r="817" spans="1:2">
      <c r="A817" s="670"/>
      <c r="B817" s="655"/>
    </row>
    <row r="818" spans="1:2">
      <c r="A818" s="670"/>
      <c r="B818" s="655"/>
    </row>
    <row r="819" spans="1:2">
      <c r="A819" s="670"/>
      <c r="B819" s="655"/>
    </row>
    <row r="820" spans="1:2">
      <c r="A820" s="670"/>
      <c r="B820" s="655"/>
    </row>
    <row r="821" spans="1:2">
      <c r="A821" s="670"/>
      <c r="B821" s="655"/>
    </row>
    <row r="822" spans="1:2">
      <c r="A822" s="670"/>
      <c r="B822" s="655"/>
    </row>
    <row r="823" spans="1:2">
      <c r="A823" s="670"/>
      <c r="B823" s="655"/>
    </row>
    <row r="824" spans="1:2">
      <c r="A824" s="670"/>
      <c r="B824" s="655"/>
    </row>
    <row r="825" spans="1:2">
      <c r="A825" s="670"/>
      <c r="B825" s="655"/>
    </row>
    <row r="826" spans="1:2">
      <c r="A826" s="670"/>
      <c r="B826" s="655"/>
    </row>
    <row r="827" spans="1:2">
      <c r="A827" s="670"/>
      <c r="B827" s="655"/>
    </row>
    <row r="828" spans="1:2">
      <c r="A828" s="670"/>
      <c r="B828" s="655"/>
    </row>
    <row r="829" spans="1:2">
      <c r="A829" s="670"/>
      <c r="B829" s="655"/>
    </row>
    <row r="830" spans="1:2">
      <c r="A830" s="670"/>
      <c r="B830" s="655"/>
    </row>
    <row r="831" spans="1:2">
      <c r="A831" s="670"/>
      <c r="B831" s="655"/>
    </row>
    <row r="832" spans="1:2">
      <c r="A832" s="670"/>
      <c r="B832" s="655"/>
    </row>
    <row r="833" spans="1:2">
      <c r="A833" s="670"/>
      <c r="B833" s="655"/>
    </row>
    <row r="834" spans="1:2">
      <c r="A834" s="670"/>
      <c r="B834" s="655"/>
    </row>
    <row r="835" spans="1:2">
      <c r="A835" s="670"/>
      <c r="B835" s="655"/>
    </row>
    <row r="836" spans="1:2">
      <c r="A836" s="670"/>
      <c r="B836" s="655"/>
    </row>
    <row r="837" spans="1:2">
      <c r="A837" s="670"/>
      <c r="B837" s="655"/>
    </row>
    <row r="838" spans="1:2">
      <c r="A838" s="670"/>
      <c r="B838" s="655"/>
    </row>
    <row r="839" spans="1:2">
      <c r="A839" s="670"/>
      <c r="B839" s="655"/>
    </row>
    <row r="840" spans="1:2">
      <c r="A840" s="670"/>
      <c r="B840" s="655"/>
    </row>
    <row r="841" spans="1:2">
      <c r="A841" s="670"/>
      <c r="B841" s="655"/>
    </row>
    <row r="842" spans="1:2">
      <c r="A842" s="670"/>
      <c r="B842" s="655"/>
    </row>
    <row r="843" spans="1:2">
      <c r="A843" s="670"/>
      <c r="B843" s="655"/>
    </row>
    <row r="844" spans="1:2">
      <c r="A844" s="670"/>
      <c r="B844" s="655"/>
    </row>
    <row r="845" spans="1:2">
      <c r="A845" s="670"/>
      <c r="B845" s="655"/>
    </row>
    <row r="846" spans="1:2">
      <c r="A846" s="670"/>
      <c r="B846" s="655"/>
    </row>
    <row r="847" spans="1:2">
      <c r="A847" s="670"/>
      <c r="B847" s="655"/>
    </row>
    <row r="848" spans="1:2">
      <c r="A848" s="670"/>
      <c r="B848" s="655"/>
    </row>
    <row r="849" spans="1:2">
      <c r="A849" s="670"/>
      <c r="B849" s="655"/>
    </row>
    <row r="850" spans="1:2">
      <c r="A850" s="670"/>
      <c r="B850" s="655"/>
    </row>
    <row r="851" spans="1:2">
      <c r="A851" s="670"/>
      <c r="B851" s="655"/>
    </row>
    <row r="852" spans="1:2">
      <c r="A852" s="670"/>
      <c r="B852" s="655"/>
    </row>
    <row r="853" spans="1:2">
      <c r="A853" s="670"/>
      <c r="B853" s="655"/>
    </row>
    <row r="854" spans="1:2">
      <c r="A854" s="670"/>
      <c r="B854" s="655"/>
    </row>
    <row r="855" spans="1:2">
      <c r="A855" s="670"/>
      <c r="B855" s="655"/>
    </row>
    <row r="856" spans="1:2">
      <c r="A856" s="670"/>
      <c r="B856" s="655"/>
    </row>
    <row r="857" spans="1:2">
      <c r="A857" s="670"/>
      <c r="B857" s="655"/>
    </row>
    <row r="858" spans="1:2">
      <c r="A858" s="670"/>
      <c r="B858" s="655"/>
    </row>
    <row r="859" spans="1:2">
      <c r="A859" s="670"/>
      <c r="B859" s="655"/>
    </row>
    <row r="860" spans="1:2">
      <c r="A860" s="670"/>
      <c r="B860" s="655"/>
    </row>
    <row r="861" spans="1:2">
      <c r="A861" s="670"/>
      <c r="B861" s="655"/>
    </row>
    <row r="862" spans="1:2">
      <c r="A862" s="670"/>
      <c r="B862" s="655"/>
    </row>
    <row r="863" spans="1:2">
      <c r="A863" s="670"/>
      <c r="B863" s="655"/>
    </row>
    <row r="864" spans="1:2">
      <c r="A864" s="670"/>
      <c r="B864" s="655"/>
    </row>
    <row r="865" spans="1:2">
      <c r="A865" s="670"/>
      <c r="B865" s="655"/>
    </row>
    <row r="866" spans="1:2">
      <c r="A866" s="670"/>
      <c r="B866" s="655"/>
    </row>
    <row r="867" spans="1:2">
      <c r="A867" s="670"/>
      <c r="B867" s="655"/>
    </row>
    <row r="868" spans="1:2">
      <c r="A868" s="670"/>
      <c r="B868" s="655"/>
    </row>
    <row r="869" spans="1:2">
      <c r="A869" s="670"/>
      <c r="B869" s="655"/>
    </row>
    <row r="870" spans="1:2">
      <c r="A870" s="670"/>
      <c r="B870" s="655"/>
    </row>
    <row r="871" spans="1:2">
      <c r="A871" s="670"/>
      <c r="B871" s="655"/>
    </row>
    <row r="872" spans="1:2">
      <c r="A872" s="670"/>
      <c r="B872" s="655"/>
    </row>
    <row r="873" spans="1:2">
      <c r="A873" s="670"/>
      <c r="B873" s="655"/>
    </row>
    <row r="874" spans="1:2">
      <c r="A874" s="670"/>
      <c r="B874" s="655"/>
    </row>
    <row r="875" spans="1:2">
      <c r="A875" s="670"/>
      <c r="B875" s="655"/>
    </row>
    <row r="876" spans="1:2">
      <c r="A876" s="670"/>
      <c r="B876" s="655"/>
    </row>
    <row r="877" spans="1:2">
      <c r="A877" s="670"/>
      <c r="B877" s="655"/>
    </row>
    <row r="878" spans="1:2">
      <c r="A878" s="670"/>
      <c r="B878" s="655"/>
    </row>
    <row r="879" spans="1:2">
      <c r="A879" s="670"/>
      <c r="B879" s="655"/>
    </row>
    <row r="880" spans="1:2">
      <c r="A880" s="670"/>
      <c r="B880" s="655"/>
    </row>
    <row r="881" spans="1:2">
      <c r="A881" s="670"/>
      <c r="B881" s="655"/>
    </row>
    <row r="882" spans="1:2">
      <c r="A882" s="670"/>
      <c r="B882" s="655"/>
    </row>
    <row r="883" spans="1:2">
      <c r="A883" s="670"/>
      <c r="B883" s="655"/>
    </row>
    <row r="884" spans="1:2">
      <c r="A884" s="670"/>
      <c r="B884" s="655"/>
    </row>
    <row r="885" spans="1:2">
      <c r="A885" s="670"/>
      <c r="B885" s="655"/>
    </row>
    <row r="886" spans="1:2">
      <c r="A886" s="670"/>
      <c r="B886" s="655"/>
    </row>
    <row r="887" spans="1:2">
      <c r="A887" s="670"/>
      <c r="B887" s="655"/>
    </row>
    <row r="888" spans="1:2">
      <c r="A888" s="670"/>
      <c r="B888" s="655"/>
    </row>
    <row r="889" spans="1:2">
      <c r="A889" s="670"/>
      <c r="B889" s="655"/>
    </row>
    <row r="890" spans="1:2">
      <c r="A890" s="670"/>
      <c r="B890" s="655"/>
    </row>
    <row r="891" spans="1:2">
      <c r="A891" s="670"/>
      <c r="B891" s="655"/>
    </row>
    <row r="892" spans="1:2">
      <c r="A892" s="670"/>
      <c r="B892" s="655"/>
    </row>
    <row r="893" spans="1:2">
      <c r="A893" s="670"/>
      <c r="B893" s="655"/>
    </row>
    <row r="894" spans="1:2">
      <c r="A894" s="670"/>
      <c r="B894" s="655"/>
    </row>
    <row r="895" spans="1:2">
      <c r="A895" s="670"/>
      <c r="B895" s="655"/>
    </row>
    <row r="896" spans="1:2">
      <c r="A896" s="670"/>
      <c r="B896" s="655"/>
    </row>
    <row r="897" spans="1:2">
      <c r="A897" s="670"/>
      <c r="B897" s="655"/>
    </row>
    <row r="898" spans="1:2">
      <c r="A898" s="670"/>
      <c r="B898" s="655"/>
    </row>
    <row r="899" spans="1:2">
      <c r="A899" s="670"/>
      <c r="B899" s="655"/>
    </row>
    <row r="900" spans="1:2">
      <c r="A900" s="670"/>
      <c r="B900" s="655"/>
    </row>
    <row r="901" spans="1:2">
      <c r="A901" s="670"/>
      <c r="B901" s="655"/>
    </row>
    <row r="902" spans="1:2">
      <c r="A902" s="670"/>
      <c r="B902" s="655"/>
    </row>
    <row r="903" spans="1:2">
      <c r="A903" s="670"/>
      <c r="B903" s="655"/>
    </row>
    <row r="904" spans="1:2">
      <c r="A904" s="670"/>
      <c r="B904" s="655"/>
    </row>
    <row r="905" spans="1:2">
      <c r="A905" s="670"/>
      <c r="B905" s="655"/>
    </row>
    <row r="906" spans="1:2">
      <c r="A906" s="670"/>
      <c r="B906" s="655"/>
    </row>
    <row r="907" spans="1:2">
      <c r="A907" s="670"/>
      <c r="B907" s="655"/>
    </row>
    <row r="908" spans="1:2">
      <c r="A908" s="670"/>
      <c r="B908" s="655"/>
    </row>
    <row r="909" spans="1:2">
      <c r="A909" s="670"/>
      <c r="B909" s="655"/>
    </row>
    <row r="910" spans="1:2">
      <c r="A910" s="670"/>
      <c r="B910" s="655"/>
    </row>
    <row r="911" spans="1:2">
      <c r="A911" s="670"/>
      <c r="B911" s="655"/>
    </row>
    <row r="912" spans="1:2">
      <c r="A912" s="670"/>
      <c r="B912" s="655"/>
    </row>
    <row r="913" spans="1:2">
      <c r="A913" s="670"/>
      <c r="B913" s="655"/>
    </row>
    <row r="914" spans="1:2">
      <c r="A914" s="670"/>
      <c r="B914" s="655"/>
    </row>
    <row r="915" spans="1:2">
      <c r="A915" s="670"/>
      <c r="B915" s="655"/>
    </row>
    <row r="916" spans="1:2">
      <c r="A916" s="670"/>
      <c r="B916" s="655"/>
    </row>
    <row r="917" spans="1:2">
      <c r="A917" s="670"/>
      <c r="B917" s="655"/>
    </row>
    <row r="918" spans="1:2">
      <c r="A918" s="670"/>
      <c r="B918" s="655"/>
    </row>
    <row r="919" spans="1:2">
      <c r="A919" s="670"/>
      <c r="B919" s="655"/>
    </row>
    <row r="920" spans="1:2">
      <c r="A920" s="670"/>
      <c r="B920" s="655"/>
    </row>
    <row r="921" spans="1:2">
      <c r="A921" s="670"/>
      <c r="B921" s="655"/>
    </row>
    <row r="922" spans="1:2">
      <c r="A922" s="670"/>
      <c r="B922" s="655"/>
    </row>
    <row r="923" spans="1:2">
      <c r="A923" s="670"/>
      <c r="B923" s="655"/>
    </row>
    <row r="924" spans="1:2">
      <c r="A924" s="670"/>
      <c r="B924" s="655"/>
    </row>
    <row r="925" spans="1:2">
      <c r="A925" s="670"/>
      <c r="B925" s="655"/>
    </row>
    <row r="926" spans="1:2">
      <c r="A926" s="670"/>
      <c r="B926" s="655"/>
    </row>
    <row r="927" spans="1:2">
      <c r="A927" s="670"/>
      <c r="B927" s="655"/>
    </row>
    <row r="928" spans="1:2">
      <c r="A928" s="670"/>
      <c r="B928" s="655"/>
    </row>
    <row r="929" spans="1:2">
      <c r="A929" s="670"/>
      <c r="B929" s="655"/>
    </row>
    <row r="930" spans="1:2">
      <c r="A930" s="670"/>
      <c r="B930" s="655"/>
    </row>
    <row r="931" spans="1:2">
      <c r="A931" s="670"/>
      <c r="B931" s="655"/>
    </row>
    <row r="932" spans="1:2">
      <c r="A932" s="670"/>
      <c r="B932" s="655"/>
    </row>
    <row r="933" spans="1:2">
      <c r="A933" s="670"/>
      <c r="B933" s="655"/>
    </row>
    <row r="934" spans="1:2">
      <c r="A934" s="670"/>
      <c r="B934" s="655"/>
    </row>
    <row r="935" spans="1:2">
      <c r="A935" s="670"/>
      <c r="B935" s="655"/>
    </row>
    <row r="936" spans="1:2">
      <c r="A936" s="670"/>
      <c r="B936" s="655"/>
    </row>
    <row r="937" spans="1:2">
      <c r="A937" s="670"/>
      <c r="B937" s="655"/>
    </row>
    <row r="938" spans="1:2">
      <c r="A938" s="670"/>
      <c r="B938" s="655"/>
    </row>
    <row r="939" spans="1:2">
      <c r="A939" s="670"/>
      <c r="B939" s="655"/>
    </row>
    <row r="940" spans="1:2">
      <c r="A940" s="670"/>
      <c r="B940" s="655"/>
    </row>
    <row r="941" spans="1:2">
      <c r="A941" s="670"/>
      <c r="B941" s="655"/>
    </row>
    <row r="942" spans="1:2">
      <c r="A942" s="670"/>
      <c r="B942" s="655"/>
    </row>
    <row r="943" spans="1:2">
      <c r="A943" s="670"/>
      <c r="B943" s="655"/>
    </row>
    <row r="944" spans="1:2">
      <c r="A944" s="670"/>
      <c r="B944" s="655"/>
    </row>
    <row r="945" spans="1:2">
      <c r="A945" s="670"/>
      <c r="B945" s="655"/>
    </row>
    <row r="946" spans="1:2">
      <c r="A946" s="670"/>
      <c r="B946" s="655"/>
    </row>
    <row r="947" spans="1:2">
      <c r="A947" s="670"/>
      <c r="B947" s="655"/>
    </row>
    <row r="948" spans="1:2">
      <c r="A948" s="670"/>
      <c r="B948" s="655"/>
    </row>
    <row r="949" spans="1:2">
      <c r="A949" s="670"/>
      <c r="B949" s="655"/>
    </row>
    <row r="950" spans="1:2">
      <c r="A950" s="670"/>
      <c r="B950" s="655"/>
    </row>
    <row r="951" spans="1:2">
      <c r="A951" s="670"/>
      <c r="B951" s="655"/>
    </row>
    <row r="952" spans="1:2">
      <c r="A952" s="670"/>
      <c r="B952" s="655"/>
    </row>
    <row r="953" spans="1:2">
      <c r="A953" s="670"/>
      <c r="B953" s="655"/>
    </row>
    <row r="954" spans="1:2">
      <c r="A954" s="670"/>
      <c r="B954" s="655"/>
    </row>
    <row r="955" spans="1:2">
      <c r="A955" s="670"/>
      <c r="B955" s="655"/>
    </row>
    <row r="956" spans="1:2">
      <c r="A956" s="670"/>
      <c r="B956" s="655"/>
    </row>
    <row r="957" spans="1:2">
      <c r="A957" s="670"/>
      <c r="B957" s="655"/>
    </row>
    <row r="958" spans="1:2">
      <c r="A958" s="670"/>
      <c r="B958" s="655"/>
    </row>
    <row r="959" spans="1:2">
      <c r="A959" s="670"/>
      <c r="B959" s="655"/>
    </row>
    <row r="960" spans="1:2">
      <c r="A960" s="670"/>
      <c r="B960" s="655"/>
    </row>
    <row r="961" spans="1:2">
      <c r="A961" s="670"/>
      <c r="B961" s="655"/>
    </row>
    <row r="962" spans="1:2">
      <c r="A962" s="670"/>
      <c r="B962" s="655"/>
    </row>
    <row r="963" spans="1:2">
      <c r="A963" s="670"/>
      <c r="B963" s="655"/>
    </row>
    <row r="964" spans="1:2">
      <c r="A964" s="670"/>
      <c r="B964" s="655"/>
    </row>
    <row r="965" spans="1:2">
      <c r="A965" s="670"/>
      <c r="B965" s="655"/>
    </row>
    <row r="966" spans="1:2">
      <c r="A966" s="670"/>
      <c r="B966" s="655"/>
    </row>
    <row r="967" spans="1:2">
      <c r="A967" s="670"/>
      <c r="B967" s="655"/>
    </row>
    <row r="968" spans="1:2">
      <c r="A968" s="670"/>
      <c r="B968" s="655"/>
    </row>
    <row r="969" spans="1:2">
      <c r="A969" s="670"/>
      <c r="B969" s="655"/>
    </row>
    <row r="970" spans="1:2">
      <c r="A970" s="670"/>
      <c r="B970" s="655"/>
    </row>
    <row r="971" spans="1:2">
      <c r="A971" s="670"/>
      <c r="B971" s="655"/>
    </row>
    <row r="972" spans="1:2">
      <c r="A972" s="670"/>
      <c r="B972" s="655"/>
    </row>
    <row r="973" spans="1:2">
      <c r="A973" s="670"/>
      <c r="B973" s="655"/>
    </row>
    <row r="974" spans="1:2">
      <c r="A974" s="670"/>
      <c r="B974" s="655"/>
    </row>
    <row r="975" spans="1:2">
      <c r="A975" s="670"/>
      <c r="B975" s="655"/>
    </row>
    <row r="976" spans="1:2">
      <c r="A976" s="670"/>
      <c r="B976" s="655"/>
    </row>
    <row r="977" spans="1:2">
      <c r="A977" s="670"/>
      <c r="B977" s="655"/>
    </row>
    <row r="978" spans="1:2">
      <c r="A978" s="670"/>
      <c r="B978" s="655"/>
    </row>
    <row r="979" spans="1:2">
      <c r="A979" s="670"/>
      <c r="B979" s="655"/>
    </row>
    <row r="980" spans="1:2">
      <c r="A980" s="670"/>
      <c r="B980" s="655"/>
    </row>
    <row r="981" spans="1:2">
      <c r="A981" s="670"/>
      <c r="B981" s="655"/>
    </row>
    <row r="982" spans="1:2">
      <c r="A982" s="670"/>
      <c r="B982" s="655"/>
    </row>
    <row r="983" spans="1:2">
      <c r="A983" s="670"/>
      <c r="B983" s="655"/>
    </row>
    <row r="984" spans="1:2">
      <c r="A984" s="670"/>
      <c r="B984" s="655"/>
    </row>
    <row r="985" spans="1:2">
      <c r="A985" s="670"/>
      <c r="B985" s="655"/>
    </row>
    <row r="986" spans="1:2">
      <c r="A986" s="670"/>
      <c r="B986" s="655"/>
    </row>
    <row r="987" spans="1:2">
      <c r="A987" s="670"/>
      <c r="B987" s="655"/>
    </row>
    <row r="988" spans="1:2">
      <c r="A988" s="670"/>
      <c r="B988" s="655"/>
    </row>
    <row r="989" spans="1:2">
      <c r="A989" s="670"/>
      <c r="B989" s="655"/>
    </row>
    <row r="990" spans="1:2">
      <c r="A990" s="670"/>
      <c r="B990" s="655"/>
    </row>
    <row r="991" spans="1:2">
      <c r="A991" s="670"/>
      <c r="B991" s="655"/>
    </row>
    <row r="992" spans="1:2">
      <c r="A992" s="670"/>
      <c r="B992" s="655"/>
    </row>
    <row r="993" spans="1:2">
      <c r="A993" s="670"/>
      <c r="B993" s="655"/>
    </row>
    <row r="994" spans="1:2">
      <c r="A994" s="670"/>
      <c r="B994" s="655"/>
    </row>
    <row r="995" spans="1:2">
      <c r="A995" s="670"/>
      <c r="B995" s="655"/>
    </row>
    <row r="996" spans="1:2">
      <c r="A996" s="670"/>
      <c r="B996" s="655"/>
    </row>
    <row r="997" spans="1:2">
      <c r="A997" s="670"/>
      <c r="B997" s="655"/>
    </row>
    <row r="998" spans="1:2">
      <c r="A998" s="670"/>
      <c r="B998" s="655"/>
    </row>
    <row r="999" spans="1:2">
      <c r="A999" s="670"/>
      <c r="B999" s="655"/>
    </row>
    <row r="1000" spans="1:2">
      <c r="A1000" s="670"/>
      <c r="B1000" s="655"/>
    </row>
    <row r="1001" spans="1:2">
      <c r="A1001" s="670"/>
      <c r="B1001" s="655"/>
    </row>
    <row r="1002" spans="1:2">
      <c r="A1002" s="670"/>
      <c r="B1002" s="655"/>
    </row>
    <row r="1003" spans="1:2">
      <c r="A1003" s="670"/>
      <c r="B1003" s="655"/>
    </row>
    <row r="1004" spans="1:2">
      <c r="A1004" s="670"/>
      <c r="B1004" s="655"/>
    </row>
    <row r="1005" spans="1:2">
      <c r="A1005" s="670"/>
      <c r="B1005" s="655"/>
    </row>
    <row r="1006" spans="1:2">
      <c r="A1006" s="670"/>
      <c r="B1006" s="655"/>
    </row>
    <row r="1007" spans="1:2">
      <c r="A1007" s="670"/>
      <c r="B1007" s="655"/>
    </row>
    <row r="1008" spans="1:2">
      <c r="A1008" s="670"/>
      <c r="B1008" s="655"/>
    </row>
    <row r="1009" spans="1:2">
      <c r="A1009" s="670"/>
      <c r="B1009" s="655"/>
    </row>
    <row r="1010" spans="1:2">
      <c r="A1010" s="670"/>
      <c r="B1010" s="655"/>
    </row>
    <row r="1011" spans="1:2">
      <c r="A1011" s="670"/>
      <c r="B1011" s="655"/>
    </row>
    <row r="1012" spans="1:2">
      <c r="A1012" s="670"/>
      <c r="B1012" s="655"/>
    </row>
    <row r="1013" spans="1:2">
      <c r="A1013" s="670"/>
      <c r="B1013" s="655"/>
    </row>
    <row r="1014" spans="1:2">
      <c r="A1014" s="670"/>
      <c r="B1014" s="655"/>
    </row>
    <row r="1015" spans="1:2">
      <c r="A1015" s="670"/>
      <c r="B1015" s="655"/>
    </row>
    <row r="1016" spans="1:2">
      <c r="A1016" s="670"/>
      <c r="B1016" s="655"/>
    </row>
    <row r="1017" spans="1:2">
      <c r="A1017" s="670"/>
      <c r="B1017" s="655"/>
    </row>
    <row r="1018" spans="1:2">
      <c r="A1018" s="670"/>
      <c r="B1018" s="655"/>
    </row>
    <row r="1019" spans="1:2">
      <c r="A1019" s="670"/>
      <c r="B1019" s="655"/>
    </row>
    <row r="1020" spans="1:2">
      <c r="A1020" s="670"/>
      <c r="B1020" s="655"/>
    </row>
    <row r="1021" spans="1:2">
      <c r="A1021" s="670"/>
      <c r="B1021" s="655"/>
    </row>
    <row r="1022" spans="1:2">
      <c r="A1022" s="670"/>
      <c r="B1022" s="655"/>
    </row>
    <row r="1023" spans="1:2">
      <c r="A1023" s="670"/>
      <c r="B1023" s="655"/>
    </row>
    <row r="1024" spans="1:2">
      <c r="A1024" s="670"/>
      <c r="B1024" s="655"/>
    </row>
    <row r="1025" spans="1:2">
      <c r="A1025" s="670"/>
      <c r="B1025" s="655"/>
    </row>
    <row r="1026" spans="1:2">
      <c r="A1026" s="670"/>
      <c r="B1026" s="655"/>
    </row>
    <row r="1027" spans="1:2">
      <c r="A1027" s="670"/>
      <c r="B1027" s="655"/>
    </row>
    <row r="1028" spans="1:2">
      <c r="A1028" s="670"/>
      <c r="B1028" s="655"/>
    </row>
    <row r="1029" spans="1:2">
      <c r="A1029" s="670"/>
      <c r="B1029" s="655"/>
    </row>
    <row r="1030" spans="1:2">
      <c r="A1030" s="670"/>
      <c r="B1030" s="655"/>
    </row>
    <row r="1031" spans="1:2">
      <c r="A1031" s="670"/>
      <c r="B1031" s="655"/>
    </row>
    <row r="1032" spans="1:2">
      <c r="A1032" s="670"/>
      <c r="B1032" s="655"/>
    </row>
    <row r="1033" spans="1:2">
      <c r="A1033" s="670"/>
      <c r="B1033" s="655"/>
    </row>
    <row r="1034" spans="1:2">
      <c r="A1034" s="670"/>
      <c r="B1034" s="655"/>
    </row>
    <row r="1035" spans="1:2">
      <c r="A1035" s="670"/>
      <c r="B1035" s="655"/>
    </row>
    <row r="1036" spans="1:2">
      <c r="A1036" s="670"/>
      <c r="B1036" s="655"/>
    </row>
    <row r="1037" spans="1:2">
      <c r="A1037" s="670"/>
      <c r="B1037" s="655"/>
    </row>
    <row r="1038" spans="1:2">
      <c r="A1038" s="670"/>
      <c r="B1038" s="655"/>
    </row>
    <row r="1039" spans="1:2">
      <c r="A1039" s="670"/>
      <c r="B1039" s="655"/>
    </row>
    <row r="1040" spans="1:2">
      <c r="A1040" s="670"/>
      <c r="B1040" s="655"/>
    </row>
    <row r="1041" spans="1:2">
      <c r="A1041" s="670"/>
      <c r="B1041" s="655"/>
    </row>
    <row r="1042" spans="1:2">
      <c r="A1042" s="670"/>
      <c r="B1042" s="655"/>
    </row>
    <row r="1043" spans="1:2">
      <c r="A1043" s="670"/>
      <c r="B1043" s="655"/>
    </row>
    <row r="1044" spans="1:2">
      <c r="A1044" s="670"/>
      <c r="B1044" s="655"/>
    </row>
    <row r="1045" spans="1:2">
      <c r="A1045" s="670"/>
      <c r="B1045" s="655"/>
    </row>
    <row r="1046" spans="1:2">
      <c r="A1046" s="670"/>
      <c r="B1046" s="655"/>
    </row>
    <row r="1047" spans="1:2">
      <c r="A1047" s="670"/>
      <c r="B1047" s="655"/>
    </row>
    <row r="1048" spans="1:2">
      <c r="A1048" s="670"/>
      <c r="B1048" s="655"/>
    </row>
    <row r="1049" spans="1:2">
      <c r="A1049" s="670"/>
      <c r="B1049" s="655"/>
    </row>
    <row r="1050" spans="1:2">
      <c r="A1050" s="670"/>
      <c r="B1050" s="655"/>
    </row>
    <row r="1051" spans="1:2">
      <c r="A1051" s="670"/>
      <c r="B1051" s="655"/>
    </row>
    <row r="1052" spans="1:2">
      <c r="A1052" s="670"/>
      <c r="B1052" s="655"/>
    </row>
    <row r="1053" spans="1:2">
      <c r="A1053" s="670"/>
      <c r="B1053" s="655"/>
    </row>
    <row r="1054" spans="1:2">
      <c r="A1054" s="670"/>
      <c r="B1054" s="655"/>
    </row>
    <row r="1055" spans="1:2">
      <c r="A1055" s="670"/>
      <c r="B1055" s="655"/>
    </row>
    <row r="1056" spans="1:2">
      <c r="A1056" s="670"/>
      <c r="B1056" s="655"/>
    </row>
    <row r="1057" spans="1:2">
      <c r="A1057" s="670"/>
      <c r="B1057" s="655"/>
    </row>
    <row r="1058" spans="1:2">
      <c r="A1058" s="670"/>
      <c r="B1058" s="655"/>
    </row>
    <row r="1059" spans="1:2">
      <c r="A1059" s="670"/>
      <c r="B1059" s="655"/>
    </row>
    <row r="1060" spans="1:2">
      <c r="A1060" s="670"/>
      <c r="B1060" s="655"/>
    </row>
    <row r="1061" spans="1:2">
      <c r="A1061" s="670"/>
      <c r="B1061" s="655"/>
    </row>
    <row r="1062" spans="1:2">
      <c r="A1062" s="670"/>
      <c r="B1062" s="655"/>
    </row>
    <row r="1063" spans="1:2">
      <c r="A1063" s="670"/>
      <c r="B1063" s="655"/>
    </row>
    <row r="1064" spans="1:2">
      <c r="A1064" s="670"/>
      <c r="B1064" s="655"/>
    </row>
    <row r="1065" spans="1:2">
      <c r="A1065" s="670"/>
      <c r="B1065" s="655"/>
    </row>
    <row r="1066" spans="1:2">
      <c r="A1066" s="670"/>
      <c r="B1066" s="655"/>
    </row>
    <row r="1067" spans="1:2">
      <c r="A1067" s="670"/>
      <c r="B1067" s="655"/>
    </row>
    <row r="1068" spans="1:2">
      <c r="A1068" s="670"/>
      <c r="B1068" s="655"/>
    </row>
    <row r="1069" spans="1:2">
      <c r="A1069" s="670"/>
      <c r="B1069" s="655"/>
    </row>
    <row r="1070" spans="1:2">
      <c r="A1070" s="670"/>
      <c r="B1070" s="655"/>
    </row>
    <row r="1071" spans="1:2">
      <c r="A1071" s="670"/>
      <c r="B1071" s="655"/>
    </row>
    <row r="1072" spans="1:2">
      <c r="A1072" s="670"/>
      <c r="B1072" s="655"/>
    </row>
    <row r="1073" spans="1:2">
      <c r="A1073" s="670"/>
      <c r="B1073" s="655"/>
    </row>
    <row r="1074" spans="1:2">
      <c r="A1074" s="670"/>
      <c r="B1074" s="655"/>
    </row>
    <row r="1075" spans="1:2">
      <c r="A1075" s="670"/>
      <c r="B1075" s="655"/>
    </row>
    <row r="1076" spans="1:2">
      <c r="A1076" s="670"/>
      <c r="B1076" s="655"/>
    </row>
    <row r="1077" spans="1:2">
      <c r="A1077" s="670"/>
      <c r="B1077" s="655"/>
    </row>
    <row r="1078" spans="1:2">
      <c r="A1078" s="670"/>
      <c r="B1078" s="655"/>
    </row>
    <row r="1079" spans="1:2">
      <c r="A1079" s="670"/>
      <c r="B1079" s="655"/>
    </row>
    <row r="1080" spans="1:2">
      <c r="A1080" s="670"/>
      <c r="B1080" s="655"/>
    </row>
    <row r="1081" spans="1:2">
      <c r="A1081" s="670"/>
      <c r="B1081" s="655"/>
    </row>
    <row r="1082" spans="1:2">
      <c r="A1082" s="670"/>
      <c r="B1082" s="655"/>
    </row>
    <row r="1083" spans="1:2">
      <c r="A1083" s="670"/>
      <c r="B1083" s="655"/>
    </row>
    <row r="1084" spans="1:2">
      <c r="A1084" s="670"/>
      <c r="B1084" s="655"/>
    </row>
    <row r="1085" spans="1:2">
      <c r="A1085" s="670"/>
      <c r="B1085" s="655"/>
    </row>
    <row r="1086" spans="1:2">
      <c r="A1086" s="670"/>
      <c r="B1086" s="655"/>
    </row>
    <row r="1087" spans="1:2">
      <c r="A1087" s="670"/>
      <c r="B1087" s="655"/>
    </row>
    <row r="1088" spans="1:2">
      <c r="A1088" s="670"/>
      <c r="B1088" s="655"/>
    </row>
    <row r="1089" spans="1:2">
      <c r="A1089" s="670"/>
      <c r="B1089" s="655"/>
    </row>
    <row r="1090" spans="1:2">
      <c r="A1090" s="670"/>
      <c r="B1090" s="655"/>
    </row>
    <row r="1091" spans="1:2">
      <c r="A1091" s="670"/>
      <c r="B1091" s="655"/>
    </row>
    <row r="1092" spans="1:2">
      <c r="A1092" s="670"/>
      <c r="B1092" s="655"/>
    </row>
    <row r="1093" spans="1:2">
      <c r="A1093" s="670"/>
      <c r="B1093" s="655"/>
    </row>
    <row r="1094" spans="1:2">
      <c r="A1094" s="670"/>
      <c r="B1094" s="655"/>
    </row>
    <row r="1095" spans="1:2">
      <c r="A1095" s="670"/>
      <c r="B1095" s="655"/>
    </row>
    <row r="1096" spans="1:2">
      <c r="A1096" s="670"/>
      <c r="B1096" s="655"/>
    </row>
    <row r="1097" spans="1:2">
      <c r="A1097" s="670"/>
      <c r="B1097" s="655"/>
    </row>
    <row r="1098" spans="1:2">
      <c r="A1098" s="670"/>
      <c r="B1098" s="655"/>
    </row>
    <row r="1099" spans="1:2">
      <c r="A1099" s="670"/>
      <c r="B1099" s="655"/>
    </row>
    <row r="1100" spans="1:2">
      <c r="A1100" s="670"/>
      <c r="B1100" s="655"/>
    </row>
    <row r="1101" spans="1:2">
      <c r="A1101" s="670"/>
      <c r="B1101" s="655"/>
    </row>
    <row r="1102" spans="1:2">
      <c r="A1102" s="670"/>
      <c r="B1102" s="655"/>
    </row>
    <row r="1103" spans="1:2">
      <c r="A1103" s="670"/>
      <c r="B1103" s="655"/>
    </row>
    <row r="1104" spans="1:2">
      <c r="A1104" s="670"/>
      <c r="B1104" s="655"/>
    </row>
    <row r="1105" spans="1:2">
      <c r="A1105" s="670"/>
      <c r="B1105" s="655"/>
    </row>
    <row r="1106" spans="1:2">
      <c r="A1106" s="670"/>
      <c r="B1106" s="655"/>
    </row>
    <row r="1107" spans="1:2">
      <c r="A1107" s="670"/>
      <c r="B1107" s="655"/>
    </row>
    <row r="1108" spans="1:2">
      <c r="A1108" s="670"/>
      <c r="B1108" s="655"/>
    </row>
    <row r="1109" spans="1:2">
      <c r="A1109" s="670"/>
      <c r="B1109" s="655"/>
    </row>
    <row r="1110" spans="1:2">
      <c r="A1110" s="670"/>
      <c r="B1110" s="655"/>
    </row>
    <row r="1111" spans="1:2">
      <c r="A1111" s="670"/>
      <c r="B1111" s="655"/>
    </row>
    <row r="1112" spans="1:2">
      <c r="A1112" s="670"/>
      <c r="B1112" s="655"/>
    </row>
    <row r="1113" spans="1:2">
      <c r="A1113" s="670"/>
      <c r="B1113" s="655"/>
    </row>
    <row r="1114" spans="1:2">
      <c r="A1114" s="670"/>
      <c r="B1114" s="655"/>
    </row>
    <row r="1115" spans="1:2">
      <c r="A1115" s="670"/>
      <c r="B1115" s="655"/>
    </row>
    <row r="1116" spans="1:2">
      <c r="A1116" s="670"/>
      <c r="B1116" s="655"/>
    </row>
    <row r="1117" spans="1:2">
      <c r="A1117" s="670"/>
      <c r="B1117" s="655"/>
    </row>
    <row r="1118" spans="1:2">
      <c r="A1118" s="670"/>
      <c r="B1118" s="655"/>
    </row>
    <row r="1119" spans="1:2">
      <c r="A1119" s="670"/>
      <c r="B1119" s="655"/>
    </row>
    <row r="1120" spans="1:2">
      <c r="A1120" s="670"/>
      <c r="B1120" s="655"/>
    </row>
    <row r="1121" spans="1:2">
      <c r="A1121" s="670"/>
      <c r="B1121" s="655"/>
    </row>
    <row r="1122" spans="1:2">
      <c r="A1122" s="670"/>
      <c r="B1122" s="655"/>
    </row>
    <row r="1123" spans="1:2">
      <c r="A1123" s="670"/>
      <c r="B1123" s="655"/>
    </row>
    <row r="1124" spans="1:2">
      <c r="A1124" s="670"/>
      <c r="B1124" s="655"/>
    </row>
    <row r="1125" spans="1:2">
      <c r="A1125" s="670"/>
      <c r="B1125" s="655"/>
    </row>
    <row r="1126" spans="1:2">
      <c r="A1126" s="670"/>
      <c r="B1126" s="655"/>
    </row>
    <row r="1127" spans="1:2">
      <c r="A1127" s="670"/>
      <c r="B1127" s="655"/>
    </row>
    <row r="1128" spans="1:2">
      <c r="A1128" s="670"/>
      <c r="B1128" s="655"/>
    </row>
    <row r="1129" spans="1:2">
      <c r="A1129" s="670"/>
      <c r="B1129" s="655"/>
    </row>
    <row r="1130" spans="1:2">
      <c r="A1130" s="670"/>
      <c r="B1130" s="655"/>
    </row>
    <row r="1131" spans="1:2">
      <c r="A1131" s="670"/>
      <c r="B1131" s="655"/>
    </row>
    <row r="1132" spans="1:2">
      <c r="A1132" s="670"/>
      <c r="B1132" s="655"/>
    </row>
    <row r="1133" spans="1:2">
      <c r="A1133" s="670"/>
      <c r="B1133" s="655"/>
    </row>
    <row r="1134" spans="1:2">
      <c r="A1134" s="670"/>
      <c r="B1134" s="655"/>
    </row>
    <row r="1135" spans="1:2">
      <c r="A1135" s="670"/>
      <c r="B1135" s="655"/>
    </row>
    <row r="1136" spans="1:2">
      <c r="A1136" s="670"/>
      <c r="B1136" s="655"/>
    </row>
    <row r="1137" spans="1:2">
      <c r="A1137" s="670"/>
      <c r="B1137" s="655"/>
    </row>
    <row r="1138" spans="1:2">
      <c r="A1138" s="670"/>
      <c r="B1138" s="655"/>
    </row>
    <row r="1139" spans="1:2">
      <c r="A1139" s="670"/>
      <c r="B1139" s="655"/>
    </row>
    <row r="1140" spans="1:2">
      <c r="A1140" s="670"/>
      <c r="B1140" s="655"/>
    </row>
    <row r="1141" spans="1:2">
      <c r="A1141" s="670"/>
      <c r="B1141" s="655"/>
    </row>
    <row r="1142" spans="1:2">
      <c r="A1142" s="670"/>
      <c r="B1142" s="655"/>
    </row>
    <row r="1143" spans="1:2">
      <c r="A1143" s="670"/>
      <c r="B1143" s="655"/>
    </row>
    <row r="1144" spans="1:2">
      <c r="A1144" s="670"/>
      <c r="B1144" s="655"/>
    </row>
    <row r="1145" spans="1:2">
      <c r="A1145" s="670"/>
      <c r="B1145" s="655"/>
    </row>
    <row r="1146" spans="1:2">
      <c r="A1146" s="670"/>
      <c r="B1146" s="655"/>
    </row>
    <row r="1147" spans="1:2">
      <c r="A1147" s="670"/>
      <c r="B1147" s="655"/>
    </row>
    <row r="1148" spans="1:2">
      <c r="A1148" s="670"/>
      <c r="B1148" s="655"/>
    </row>
    <row r="1149" spans="1:2">
      <c r="A1149" s="670"/>
      <c r="B1149" s="655"/>
    </row>
    <row r="1150" spans="1:2">
      <c r="A1150" s="670"/>
      <c r="B1150" s="655"/>
    </row>
    <row r="1151" spans="1:2">
      <c r="A1151" s="670"/>
      <c r="B1151" s="655"/>
    </row>
    <row r="1152" spans="1:2">
      <c r="A1152" s="670"/>
      <c r="B1152" s="655"/>
    </row>
    <row r="1153" spans="1:2">
      <c r="A1153" s="670"/>
      <c r="B1153" s="655"/>
    </row>
    <row r="1154" spans="1:2">
      <c r="A1154" s="670"/>
      <c r="B1154" s="655"/>
    </row>
    <row r="1155" spans="1:2">
      <c r="A1155" s="670"/>
      <c r="B1155" s="655"/>
    </row>
    <row r="1156" spans="1:2">
      <c r="A1156" s="670"/>
      <c r="B1156" s="655"/>
    </row>
    <row r="1157" spans="1:2">
      <c r="A1157" s="670"/>
      <c r="B1157" s="655"/>
    </row>
    <row r="1158" spans="1:2">
      <c r="A1158" s="670"/>
      <c r="B1158" s="655"/>
    </row>
    <row r="1159" spans="1:2">
      <c r="A1159" s="670"/>
      <c r="B1159" s="655"/>
    </row>
    <row r="1160" spans="1:2">
      <c r="A1160" s="670"/>
      <c r="B1160" s="655"/>
    </row>
    <row r="1161" spans="1:2">
      <c r="A1161" s="670"/>
      <c r="B1161" s="655"/>
    </row>
    <row r="1162" spans="1:2">
      <c r="A1162" s="670"/>
      <c r="B1162" s="655"/>
    </row>
    <row r="1163" spans="1:2">
      <c r="A1163" s="670"/>
      <c r="B1163" s="655"/>
    </row>
    <row r="1164" spans="1:2">
      <c r="A1164" s="670"/>
      <c r="B1164" s="655"/>
    </row>
    <row r="1165" spans="1:2">
      <c r="A1165" s="670"/>
      <c r="B1165" s="655"/>
    </row>
    <row r="1166" spans="1:2">
      <c r="A1166" s="670"/>
      <c r="B1166" s="655"/>
    </row>
    <row r="1167" spans="1:2">
      <c r="A1167" s="670"/>
      <c r="B1167" s="655"/>
    </row>
    <row r="1168" spans="1:2">
      <c r="A1168" s="670"/>
      <c r="B1168" s="655"/>
    </row>
    <row r="1169" spans="1:2">
      <c r="A1169" s="670"/>
      <c r="B1169" s="655"/>
    </row>
    <row r="1170" spans="1:2">
      <c r="A1170" s="670"/>
      <c r="B1170" s="655"/>
    </row>
    <row r="1171" spans="1:2">
      <c r="A1171" s="670"/>
      <c r="B1171" s="655"/>
    </row>
    <row r="1172" spans="1:2">
      <c r="A1172" s="670"/>
      <c r="B1172" s="655"/>
    </row>
    <row r="1173" spans="1:2">
      <c r="A1173" s="670"/>
      <c r="B1173" s="655"/>
    </row>
    <row r="1174" spans="1:2">
      <c r="A1174" s="670"/>
      <c r="B1174" s="655"/>
    </row>
    <row r="1175" spans="1:2">
      <c r="A1175" s="670"/>
      <c r="B1175" s="655"/>
    </row>
    <row r="1176" spans="1:2">
      <c r="A1176" s="670"/>
      <c r="B1176" s="655"/>
    </row>
    <row r="1177" spans="1:2">
      <c r="A1177" s="670"/>
      <c r="B1177" s="655"/>
    </row>
    <row r="1178" spans="1:2">
      <c r="A1178" s="670"/>
      <c r="B1178" s="655"/>
    </row>
    <row r="1179" spans="1:2">
      <c r="A1179" s="670"/>
      <c r="B1179" s="655"/>
    </row>
    <row r="1180" spans="1:2">
      <c r="A1180" s="670"/>
      <c r="B1180" s="655"/>
    </row>
    <row r="1181" spans="1:2">
      <c r="A1181" s="670"/>
      <c r="B1181" s="655"/>
    </row>
    <row r="1182" spans="1:2">
      <c r="A1182" s="670"/>
      <c r="B1182" s="655"/>
    </row>
    <row r="1183" spans="1:2">
      <c r="A1183" s="670"/>
      <c r="B1183" s="655"/>
    </row>
    <row r="1184" spans="1:2">
      <c r="A1184" s="670"/>
      <c r="B1184" s="655"/>
    </row>
    <row r="1185" spans="1:2">
      <c r="A1185" s="670"/>
      <c r="B1185" s="655"/>
    </row>
    <row r="1186" spans="1:2">
      <c r="A1186" s="670"/>
      <c r="B1186" s="655"/>
    </row>
    <row r="1187" spans="1:2">
      <c r="A1187" s="670"/>
      <c r="B1187" s="655"/>
    </row>
    <row r="1188" spans="1:2">
      <c r="A1188" s="670"/>
      <c r="B1188" s="655"/>
    </row>
    <row r="1189" spans="1:2">
      <c r="A1189" s="670"/>
      <c r="B1189" s="655"/>
    </row>
    <row r="1190" spans="1:2">
      <c r="A1190" s="670"/>
      <c r="B1190" s="655"/>
    </row>
    <row r="1191" spans="1:2">
      <c r="A1191" s="670"/>
      <c r="B1191" s="655"/>
    </row>
    <row r="1192" spans="1:2">
      <c r="A1192" s="670"/>
      <c r="B1192" s="655"/>
    </row>
    <row r="1193" spans="1:2">
      <c r="A1193" s="670"/>
      <c r="B1193" s="655"/>
    </row>
    <row r="1194" spans="1:2">
      <c r="A1194" s="670"/>
      <c r="B1194" s="655"/>
    </row>
    <row r="1195" spans="1:2">
      <c r="A1195" s="670"/>
      <c r="B1195" s="655"/>
    </row>
    <row r="1196" spans="1:2">
      <c r="A1196" s="670"/>
      <c r="B1196" s="655"/>
    </row>
    <row r="1197" spans="1:2">
      <c r="A1197" s="670"/>
      <c r="B1197" s="655"/>
    </row>
    <row r="1198" spans="1:2">
      <c r="A1198" s="670"/>
      <c r="B1198" s="655"/>
    </row>
    <row r="1199" spans="1:2">
      <c r="A1199" s="670"/>
      <c r="B1199" s="655"/>
    </row>
    <row r="1200" spans="1:2">
      <c r="A1200" s="670"/>
      <c r="B1200" s="655"/>
    </row>
    <row r="1201" spans="1:2">
      <c r="A1201" s="670"/>
      <c r="B1201" s="655"/>
    </row>
    <row r="1202" spans="1:2">
      <c r="A1202" s="670"/>
      <c r="B1202" s="655"/>
    </row>
    <row r="1203" spans="1:2">
      <c r="A1203" s="670"/>
      <c r="B1203" s="655"/>
    </row>
    <row r="1204" spans="1:2">
      <c r="A1204" s="670"/>
      <c r="B1204" s="655"/>
    </row>
    <row r="1205" spans="1:2">
      <c r="A1205" s="670"/>
      <c r="B1205" s="655"/>
    </row>
    <row r="1206" spans="1:2">
      <c r="A1206" s="670"/>
      <c r="B1206" s="655"/>
    </row>
    <row r="1207" spans="1:2">
      <c r="A1207" s="670"/>
      <c r="B1207" s="655"/>
    </row>
    <row r="1208" spans="1:2">
      <c r="A1208" s="670"/>
      <c r="B1208" s="655"/>
    </row>
    <row r="1209" spans="1:2">
      <c r="A1209" s="670"/>
      <c r="B1209" s="655"/>
    </row>
    <row r="1210" spans="1:2">
      <c r="A1210" s="670"/>
      <c r="B1210" s="655"/>
    </row>
    <row r="1211" spans="1:2">
      <c r="A1211" s="670"/>
      <c r="B1211" s="655"/>
    </row>
    <row r="1212" spans="1:2">
      <c r="A1212" s="670"/>
      <c r="B1212" s="655"/>
    </row>
    <row r="1213" spans="1:2">
      <c r="A1213" s="670"/>
      <c r="B1213" s="655"/>
    </row>
    <row r="1214" spans="1:2">
      <c r="A1214" s="670"/>
      <c r="B1214" s="655"/>
    </row>
    <row r="1215" spans="1:2">
      <c r="A1215" s="670"/>
      <c r="B1215" s="655"/>
    </row>
    <row r="1216" spans="1:2">
      <c r="A1216" s="670"/>
      <c r="B1216" s="655"/>
    </row>
    <row r="1217" spans="1:2">
      <c r="A1217" s="670"/>
      <c r="B1217" s="655"/>
    </row>
    <row r="1218" spans="1:2">
      <c r="A1218" s="670"/>
      <c r="B1218" s="655"/>
    </row>
    <row r="1219" spans="1:2">
      <c r="A1219" s="670"/>
      <c r="B1219" s="655"/>
    </row>
    <row r="1220" spans="1:2">
      <c r="A1220" s="670"/>
      <c r="B1220" s="655"/>
    </row>
    <row r="1221" spans="1:2">
      <c r="A1221" s="670"/>
      <c r="B1221" s="655"/>
    </row>
    <row r="1222" spans="1:2">
      <c r="A1222" s="670"/>
      <c r="B1222" s="655"/>
    </row>
    <row r="1223" spans="1:2">
      <c r="A1223" s="670"/>
      <c r="B1223" s="655"/>
    </row>
    <row r="1224" spans="1:2">
      <c r="A1224" s="670"/>
      <c r="B1224" s="655"/>
    </row>
    <row r="1225" spans="1:2">
      <c r="A1225" s="670"/>
      <c r="B1225" s="655"/>
    </row>
    <row r="1226" spans="1:2">
      <c r="A1226" s="670"/>
      <c r="B1226" s="655"/>
    </row>
    <row r="1227" spans="1:2">
      <c r="A1227" s="670"/>
      <c r="B1227" s="655"/>
    </row>
    <row r="1228" spans="1:2">
      <c r="A1228" s="670"/>
      <c r="B1228" s="655"/>
    </row>
    <row r="1229" spans="1:2">
      <c r="A1229" s="670"/>
      <c r="B1229" s="655"/>
    </row>
    <row r="1230" spans="1:2">
      <c r="A1230" s="670"/>
      <c r="B1230" s="655"/>
    </row>
    <row r="1231" spans="1:2">
      <c r="A1231" s="670"/>
      <c r="B1231" s="655"/>
    </row>
    <row r="1232" spans="1:2">
      <c r="A1232" s="670"/>
      <c r="B1232" s="655"/>
    </row>
    <row r="1233" spans="1:2">
      <c r="A1233" s="670"/>
      <c r="B1233" s="655"/>
    </row>
    <row r="1234" spans="1:2">
      <c r="A1234" s="670"/>
      <c r="B1234" s="655"/>
    </row>
    <row r="1235" spans="1:2">
      <c r="A1235" s="670"/>
      <c r="B1235" s="655"/>
    </row>
    <row r="1236" spans="1:2">
      <c r="A1236" s="670"/>
      <c r="B1236" s="655"/>
    </row>
    <row r="1237" spans="1:2">
      <c r="A1237" s="670"/>
      <c r="B1237" s="655"/>
    </row>
    <row r="1238" spans="1:2">
      <c r="A1238" s="670"/>
      <c r="B1238" s="655"/>
    </row>
    <row r="1239" spans="1:2">
      <c r="A1239" s="670"/>
      <c r="B1239" s="655"/>
    </row>
    <row r="1240" spans="1:2">
      <c r="A1240" s="670"/>
      <c r="B1240" s="655"/>
    </row>
    <row r="1241" spans="1:2">
      <c r="A1241" s="670"/>
      <c r="B1241" s="655"/>
    </row>
    <row r="1242" spans="1:2">
      <c r="A1242" s="670"/>
      <c r="B1242" s="655"/>
    </row>
    <row r="1243" spans="1:2">
      <c r="A1243" s="670"/>
      <c r="B1243" s="655"/>
    </row>
    <row r="1244" spans="1:2">
      <c r="A1244" s="670"/>
      <c r="B1244" s="655"/>
    </row>
    <row r="1245" spans="1:2">
      <c r="A1245" s="670"/>
      <c r="B1245" s="655"/>
    </row>
    <row r="1246" spans="1:2">
      <c r="A1246" s="670"/>
      <c r="B1246" s="655"/>
    </row>
    <row r="1247" spans="1:2">
      <c r="A1247" s="670"/>
      <c r="B1247" s="655"/>
    </row>
    <row r="1248" spans="1:2">
      <c r="A1248" s="670"/>
      <c r="B1248" s="655"/>
    </row>
    <row r="1249" spans="1:2">
      <c r="A1249" s="670"/>
      <c r="B1249" s="655"/>
    </row>
    <row r="1250" spans="1:2">
      <c r="A1250" s="670"/>
      <c r="B1250" s="655"/>
    </row>
    <row r="1251" spans="1:2">
      <c r="A1251" s="670"/>
      <c r="B1251" s="655"/>
    </row>
    <row r="1252" spans="1:2">
      <c r="A1252" s="670"/>
      <c r="B1252" s="655"/>
    </row>
    <row r="1253" spans="1:2">
      <c r="A1253" s="670"/>
      <c r="B1253" s="655"/>
    </row>
    <row r="1254" spans="1:2">
      <c r="A1254" s="670"/>
      <c r="B1254" s="655"/>
    </row>
    <row r="1255" spans="1:2">
      <c r="A1255" s="670"/>
      <c r="B1255" s="655"/>
    </row>
    <row r="1256" spans="1:2">
      <c r="A1256" s="670"/>
      <c r="B1256" s="655"/>
    </row>
    <row r="1257" spans="1:2">
      <c r="A1257" s="670"/>
      <c r="B1257" s="655"/>
    </row>
    <row r="1258" spans="1:2">
      <c r="A1258" s="670"/>
      <c r="B1258" s="655"/>
    </row>
    <row r="1259" spans="1:2">
      <c r="A1259" s="670"/>
      <c r="B1259" s="655"/>
    </row>
    <row r="1260" spans="1:2">
      <c r="A1260" s="670"/>
      <c r="B1260" s="655"/>
    </row>
    <row r="1261" spans="1:2">
      <c r="A1261" s="670"/>
      <c r="B1261" s="655"/>
    </row>
    <row r="1262" spans="1:2">
      <c r="A1262" s="670"/>
      <c r="B1262" s="655"/>
    </row>
    <row r="1263" spans="1:2">
      <c r="A1263" s="670"/>
      <c r="B1263" s="655"/>
    </row>
    <row r="1264" spans="1:2">
      <c r="A1264" s="670"/>
      <c r="B1264" s="655"/>
    </row>
    <row r="1265" spans="1:2">
      <c r="A1265" s="670"/>
      <c r="B1265" s="655"/>
    </row>
    <row r="1266" spans="1:2">
      <c r="A1266" s="670"/>
      <c r="B1266" s="655"/>
    </row>
    <row r="1267" spans="1:2">
      <c r="A1267" s="670"/>
      <c r="B1267" s="655"/>
    </row>
    <row r="1268" spans="1:2">
      <c r="A1268" s="670"/>
      <c r="B1268" s="655"/>
    </row>
    <row r="1269" spans="1:2">
      <c r="A1269" s="670"/>
      <c r="B1269" s="655"/>
    </row>
    <row r="1270" spans="1:2">
      <c r="A1270" s="670"/>
      <c r="B1270" s="655"/>
    </row>
    <row r="1271" spans="1:2">
      <c r="A1271" s="670"/>
      <c r="B1271" s="655"/>
    </row>
    <row r="1272" spans="1:2">
      <c r="A1272" s="670"/>
      <c r="B1272" s="655"/>
    </row>
    <row r="1273" spans="1:2">
      <c r="A1273" s="670"/>
      <c r="B1273" s="655"/>
    </row>
    <row r="1274" spans="1:2">
      <c r="A1274" s="670"/>
      <c r="B1274" s="655"/>
    </row>
    <row r="1275" spans="1:2">
      <c r="A1275" s="670"/>
      <c r="B1275" s="655"/>
    </row>
    <row r="1276" spans="1:2">
      <c r="A1276" s="670"/>
      <c r="B1276" s="655"/>
    </row>
    <row r="1277" spans="1:2">
      <c r="A1277" s="670"/>
      <c r="B1277" s="655"/>
    </row>
    <row r="1278" spans="1:2">
      <c r="A1278" s="670"/>
      <c r="B1278" s="655"/>
    </row>
    <row r="1279" spans="1:2">
      <c r="A1279" s="670"/>
      <c r="B1279" s="655"/>
    </row>
    <row r="1280" spans="1:2">
      <c r="A1280" s="670"/>
      <c r="B1280" s="655"/>
    </row>
    <row r="1281" spans="1:2">
      <c r="A1281" s="670"/>
      <c r="B1281" s="655"/>
    </row>
    <row r="1282" spans="1:2">
      <c r="A1282" s="670"/>
      <c r="B1282" s="655"/>
    </row>
    <row r="1283" spans="1:2">
      <c r="A1283" s="670"/>
      <c r="B1283" s="655"/>
    </row>
    <row r="1284" spans="1:2">
      <c r="A1284" s="670"/>
      <c r="B1284" s="655"/>
    </row>
    <row r="1285" spans="1:2">
      <c r="A1285" s="670"/>
      <c r="B1285" s="655"/>
    </row>
    <row r="1286" spans="1:2">
      <c r="A1286" s="670"/>
      <c r="B1286" s="655"/>
    </row>
    <row r="1287" spans="1:2">
      <c r="A1287" s="670"/>
      <c r="B1287" s="655"/>
    </row>
    <row r="1288" spans="1:2">
      <c r="A1288" s="670"/>
      <c r="B1288" s="655"/>
    </row>
    <row r="1289" spans="1:2">
      <c r="A1289" s="670"/>
      <c r="B1289" s="655"/>
    </row>
    <row r="1290" spans="1:2">
      <c r="A1290" s="670"/>
      <c r="B1290" s="655"/>
    </row>
    <row r="1291" spans="1:2">
      <c r="A1291" s="670"/>
      <c r="B1291" s="655"/>
    </row>
    <row r="1292" spans="1:2">
      <c r="A1292" s="670"/>
      <c r="B1292" s="655"/>
    </row>
    <row r="1293" spans="1:2">
      <c r="A1293" s="670"/>
      <c r="B1293" s="655"/>
    </row>
    <row r="1294" spans="1:2">
      <c r="A1294" s="670"/>
      <c r="B1294" s="655"/>
    </row>
    <row r="1295" spans="1:2">
      <c r="A1295" s="670"/>
      <c r="B1295" s="655"/>
    </row>
    <row r="1296" spans="1:2">
      <c r="A1296" s="670"/>
      <c r="B1296" s="655"/>
    </row>
    <row r="1297" spans="1:2">
      <c r="A1297" s="670"/>
      <c r="B1297" s="655"/>
    </row>
    <row r="1298" spans="1:2">
      <c r="A1298" s="670"/>
      <c r="B1298" s="655"/>
    </row>
    <row r="1299" spans="1:2">
      <c r="A1299" s="670"/>
      <c r="B1299" s="655"/>
    </row>
    <row r="1300" spans="1:2">
      <c r="A1300" s="670"/>
      <c r="B1300" s="655"/>
    </row>
    <row r="1301" spans="1:2">
      <c r="A1301" s="670"/>
      <c r="B1301" s="655"/>
    </row>
    <row r="1302" spans="1:2">
      <c r="A1302" s="670"/>
      <c r="B1302" s="655"/>
    </row>
    <row r="1303" spans="1:2">
      <c r="A1303" s="670"/>
      <c r="B1303" s="655"/>
    </row>
    <row r="1304" spans="1:2">
      <c r="A1304" s="670"/>
      <c r="B1304" s="655"/>
    </row>
    <row r="1305" spans="1:2">
      <c r="A1305" s="670"/>
      <c r="B1305" s="655"/>
    </row>
    <row r="1306" spans="1:2">
      <c r="A1306" s="670"/>
      <c r="B1306" s="655"/>
    </row>
    <row r="1307" spans="1:2">
      <c r="A1307" s="670"/>
      <c r="B1307" s="655"/>
    </row>
    <row r="1308" spans="1:2">
      <c r="A1308" s="670"/>
      <c r="B1308" s="655"/>
    </row>
    <row r="1309" spans="1:2">
      <c r="A1309" s="670"/>
      <c r="B1309" s="655"/>
    </row>
    <row r="1310" spans="1:2">
      <c r="A1310" s="670"/>
      <c r="B1310" s="655"/>
    </row>
    <row r="1311" spans="1:2">
      <c r="A1311" s="670"/>
      <c r="B1311" s="655"/>
    </row>
    <row r="1312" spans="1:2">
      <c r="A1312" s="670"/>
      <c r="B1312" s="655"/>
    </row>
    <row r="1313" spans="1:2">
      <c r="A1313" s="670"/>
      <c r="B1313" s="655"/>
    </row>
    <row r="1314" spans="1:2">
      <c r="A1314" s="670"/>
      <c r="B1314" s="655"/>
    </row>
    <row r="1315" spans="1:2">
      <c r="A1315" s="670"/>
      <c r="B1315" s="655"/>
    </row>
    <row r="1316" spans="1:2">
      <c r="A1316" s="670"/>
      <c r="B1316" s="655"/>
    </row>
    <row r="1317" spans="1:2">
      <c r="A1317" s="670"/>
      <c r="B1317" s="655"/>
    </row>
    <row r="1318" spans="1:2">
      <c r="A1318" s="670"/>
      <c r="B1318" s="655"/>
    </row>
    <row r="1319" spans="1:2">
      <c r="A1319" s="670"/>
      <c r="B1319" s="655"/>
    </row>
    <row r="1320" spans="1:2">
      <c r="A1320" s="670"/>
      <c r="B1320" s="655"/>
    </row>
    <row r="1321" spans="1:2">
      <c r="A1321" s="670"/>
      <c r="B1321" s="655"/>
    </row>
    <row r="1322" spans="1:2">
      <c r="A1322" s="670"/>
      <c r="B1322" s="655"/>
    </row>
    <row r="1323" spans="1:2">
      <c r="A1323" s="670"/>
      <c r="B1323" s="655"/>
    </row>
    <row r="1324" spans="1:2">
      <c r="A1324" s="670"/>
      <c r="B1324" s="655"/>
    </row>
    <row r="1325" spans="1:2">
      <c r="A1325" s="670"/>
      <c r="B1325" s="655"/>
    </row>
    <row r="1326" spans="1:2">
      <c r="A1326" s="670"/>
      <c r="B1326" s="655"/>
    </row>
    <row r="1327" spans="1:2">
      <c r="A1327" s="670"/>
      <c r="B1327" s="655"/>
    </row>
    <row r="1328" spans="1:2">
      <c r="A1328" s="670"/>
      <c r="B1328" s="655"/>
    </row>
    <row r="1329" spans="1:2">
      <c r="A1329" s="670"/>
      <c r="B1329" s="655"/>
    </row>
    <row r="1330" spans="1:2">
      <c r="A1330" s="670"/>
      <c r="B1330" s="655"/>
    </row>
    <row r="1331" spans="1:2">
      <c r="A1331" s="670"/>
      <c r="B1331" s="655"/>
    </row>
    <row r="1332" spans="1:2">
      <c r="A1332" s="670"/>
      <c r="B1332" s="655"/>
    </row>
    <row r="1333" spans="1:2">
      <c r="A1333" s="670"/>
      <c r="B1333" s="655"/>
    </row>
    <row r="1334" spans="1:2">
      <c r="A1334" s="670"/>
      <c r="B1334" s="655"/>
    </row>
    <row r="1335" spans="1:2">
      <c r="A1335" s="670"/>
      <c r="B1335" s="655"/>
    </row>
    <row r="1336" spans="1:2">
      <c r="A1336" s="670"/>
      <c r="B1336" s="655"/>
    </row>
    <row r="1337" spans="1:2">
      <c r="A1337" s="670"/>
      <c r="B1337" s="655"/>
    </row>
    <row r="1338" spans="1:2">
      <c r="A1338" s="670"/>
      <c r="B1338" s="655"/>
    </row>
    <row r="1339" spans="1:2">
      <c r="A1339" s="670"/>
      <c r="B1339" s="655"/>
    </row>
    <row r="1340" spans="1:2">
      <c r="A1340" s="670"/>
      <c r="B1340" s="655"/>
    </row>
    <row r="1341" spans="1:2">
      <c r="A1341" s="670"/>
      <c r="B1341" s="655"/>
    </row>
    <row r="1342" spans="1:2">
      <c r="A1342" s="670"/>
      <c r="B1342" s="655"/>
    </row>
    <row r="1343" spans="1:2">
      <c r="A1343" s="670"/>
      <c r="B1343" s="655"/>
    </row>
    <row r="1344" spans="1:2">
      <c r="A1344" s="670"/>
      <c r="B1344" s="655"/>
    </row>
    <row r="1345" spans="1:2">
      <c r="A1345" s="670"/>
      <c r="B1345" s="655"/>
    </row>
    <row r="1346" spans="1:2">
      <c r="A1346" s="670"/>
      <c r="B1346" s="655"/>
    </row>
    <row r="1347" spans="1:2">
      <c r="A1347" s="670"/>
      <c r="B1347" s="655"/>
    </row>
    <row r="1348" spans="1:2">
      <c r="A1348" s="670"/>
      <c r="B1348" s="655"/>
    </row>
    <row r="1349" spans="1:2">
      <c r="A1349" s="670"/>
      <c r="B1349" s="655"/>
    </row>
    <row r="1350" spans="1:2">
      <c r="A1350" s="670"/>
      <c r="B1350" s="655"/>
    </row>
    <row r="1351" spans="1:2">
      <c r="A1351" s="670"/>
      <c r="B1351" s="655"/>
    </row>
    <row r="1352" spans="1:2">
      <c r="A1352" s="670"/>
      <c r="B1352" s="655"/>
    </row>
    <row r="1353" spans="1:2">
      <c r="A1353" s="670"/>
      <c r="B1353" s="655"/>
    </row>
    <row r="1354" spans="1:2">
      <c r="A1354" s="670"/>
      <c r="B1354" s="655"/>
    </row>
    <row r="1355" spans="1:2">
      <c r="A1355" s="670"/>
      <c r="B1355" s="655"/>
    </row>
    <row r="1356" spans="1:2">
      <c r="A1356" s="670"/>
      <c r="B1356" s="655"/>
    </row>
    <row r="1357" spans="1:2">
      <c r="A1357" s="670"/>
      <c r="B1357" s="655"/>
    </row>
    <row r="1358" spans="1:2">
      <c r="A1358" s="670"/>
      <c r="B1358" s="655"/>
    </row>
    <row r="1359" spans="1:2">
      <c r="A1359" s="670"/>
      <c r="B1359" s="655"/>
    </row>
    <row r="1360" spans="1:2">
      <c r="A1360" s="670"/>
      <c r="B1360" s="655"/>
    </row>
    <row r="1361" spans="1:2">
      <c r="A1361" s="670"/>
      <c r="B1361" s="655"/>
    </row>
    <row r="1362" spans="1:2">
      <c r="A1362" s="670"/>
      <c r="B1362" s="655"/>
    </row>
    <row r="1363" spans="1:2">
      <c r="A1363" s="670"/>
      <c r="B1363" s="655"/>
    </row>
    <row r="1364" spans="1:2">
      <c r="A1364" s="670"/>
      <c r="B1364" s="655"/>
    </row>
    <row r="1365" spans="1:2">
      <c r="A1365" s="670"/>
      <c r="B1365" s="655"/>
    </row>
    <row r="1366" spans="1:2">
      <c r="A1366" s="670"/>
      <c r="B1366" s="655"/>
    </row>
    <row r="1367" spans="1:2">
      <c r="A1367" s="670"/>
      <c r="B1367" s="655"/>
    </row>
    <row r="1368" spans="1:2">
      <c r="A1368" s="670"/>
      <c r="B1368" s="655"/>
    </row>
    <row r="1369" spans="1:2">
      <c r="A1369" s="670"/>
      <c r="B1369" s="655"/>
    </row>
    <row r="1370" spans="1:2">
      <c r="A1370" s="670"/>
      <c r="B1370" s="655"/>
    </row>
    <row r="1371" spans="1:2">
      <c r="A1371" s="670"/>
      <c r="B1371" s="655"/>
    </row>
    <row r="1372" spans="1:2">
      <c r="A1372" s="670"/>
      <c r="B1372" s="655"/>
    </row>
    <row r="1373" spans="1:2">
      <c r="A1373" s="670"/>
      <c r="B1373" s="655"/>
    </row>
    <row r="1374" spans="1:2">
      <c r="A1374" s="670"/>
      <c r="B1374" s="655"/>
    </row>
    <row r="1375" spans="1:2">
      <c r="A1375" s="670"/>
      <c r="B1375" s="655"/>
    </row>
    <row r="1376" spans="1:2">
      <c r="A1376" s="670"/>
      <c r="B1376" s="655"/>
    </row>
    <row r="1377" spans="1:2">
      <c r="A1377" s="670"/>
      <c r="B1377" s="655"/>
    </row>
    <row r="1378" spans="1:2">
      <c r="A1378" s="670"/>
      <c r="B1378" s="655"/>
    </row>
    <row r="1379" spans="1:2">
      <c r="A1379" s="670"/>
      <c r="B1379" s="655"/>
    </row>
    <row r="1380" spans="1:2">
      <c r="A1380" s="670"/>
      <c r="B1380" s="655"/>
    </row>
    <row r="1381" spans="1:2">
      <c r="A1381" s="670"/>
      <c r="B1381" s="655"/>
    </row>
    <row r="1382" spans="1:2">
      <c r="A1382" s="670"/>
      <c r="B1382" s="655"/>
    </row>
    <row r="1383" spans="1:2">
      <c r="A1383" s="670"/>
      <c r="B1383" s="655"/>
    </row>
    <row r="1384" spans="1:2">
      <c r="A1384" s="670"/>
      <c r="B1384" s="655"/>
    </row>
    <row r="1385" spans="1:2">
      <c r="A1385" s="670"/>
      <c r="B1385" s="655"/>
    </row>
    <row r="1386" spans="1:2">
      <c r="A1386" s="670"/>
      <c r="B1386" s="655"/>
    </row>
    <row r="1387" spans="1:2">
      <c r="A1387" s="670"/>
      <c r="B1387" s="655"/>
    </row>
    <row r="1388" spans="1:2">
      <c r="A1388" s="670"/>
      <c r="B1388" s="655"/>
    </row>
    <row r="1389" spans="1:2">
      <c r="A1389" s="670"/>
      <c r="B1389" s="655"/>
    </row>
    <row r="1390" spans="1:2">
      <c r="A1390" s="670"/>
      <c r="B1390" s="655"/>
    </row>
    <row r="1391" spans="1:2">
      <c r="A1391" s="670"/>
      <c r="B1391" s="655"/>
    </row>
    <row r="1392" spans="1:2">
      <c r="A1392" s="670"/>
      <c r="B1392" s="655"/>
    </row>
    <row r="1393" spans="1:2">
      <c r="A1393" s="670"/>
      <c r="B1393" s="655"/>
    </row>
    <row r="1394" spans="1:2">
      <c r="A1394" s="670"/>
      <c r="B1394" s="655"/>
    </row>
    <row r="1395" spans="1:2">
      <c r="A1395" s="670"/>
      <c r="B1395" s="655"/>
    </row>
    <row r="1396" spans="1:2">
      <c r="A1396" s="670"/>
      <c r="B1396" s="655"/>
    </row>
    <row r="1397" spans="1:2">
      <c r="A1397" s="670"/>
      <c r="B1397" s="655"/>
    </row>
    <row r="1398" spans="1:2">
      <c r="A1398" s="670"/>
      <c r="B1398" s="655"/>
    </row>
    <row r="1399" spans="1:2">
      <c r="A1399" s="670"/>
      <c r="B1399" s="655"/>
    </row>
    <row r="1400" spans="1:2">
      <c r="A1400" s="670"/>
      <c r="B1400" s="655"/>
    </row>
    <row r="1401" spans="1:2">
      <c r="A1401" s="670"/>
      <c r="B1401" s="655"/>
    </row>
    <row r="1402" spans="1:2">
      <c r="A1402" s="670"/>
      <c r="B1402" s="655"/>
    </row>
    <row r="1403" spans="1:2">
      <c r="A1403" s="670"/>
      <c r="B1403" s="655"/>
    </row>
    <row r="1404" spans="1:2">
      <c r="A1404" s="670"/>
      <c r="B1404" s="655"/>
    </row>
    <row r="1405" spans="1:2">
      <c r="A1405" s="670"/>
      <c r="B1405" s="655"/>
    </row>
    <row r="1406" spans="1:2">
      <c r="A1406" s="670"/>
      <c r="B1406" s="655"/>
    </row>
    <row r="1407" spans="1:2">
      <c r="A1407" s="670"/>
      <c r="B1407" s="655"/>
    </row>
    <row r="1408" spans="1:2">
      <c r="A1408" s="670"/>
      <c r="B1408" s="655"/>
    </row>
    <row r="1409" spans="1:2">
      <c r="A1409" s="670"/>
      <c r="B1409" s="655"/>
    </row>
    <row r="1410" spans="1:2">
      <c r="A1410" s="670"/>
      <c r="B1410" s="655"/>
    </row>
    <row r="1411" spans="1:2">
      <c r="A1411" s="670"/>
      <c r="B1411" s="655"/>
    </row>
    <row r="1412" spans="1:2">
      <c r="A1412" s="670"/>
      <c r="B1412" s="655"/>
    </row>
    <row r="1413" spans="1:2">
      <c r="A1413" s="670"/>
      <c r="B1413" s="655"/>
    </row>
    <row r="1414" spans="1:2">
      <c r="A1414" s="670"/>
      <c r="B1414" s="655"/>
    </row>
    <row r="1415" spans="1:2">
      <c r="A1415" s="670"/>
      <c r="B1415" s="655"/>
    </row>
    <row r="1416" spans="1:2">
      <c r="A1416" s="670"/>
      <c r="B1416" s="655"/>
    </row>
    <row r="1417" spans="1:2">
      <c r="A1417" s="670"/>
      <c r="B1417" s="655"/>
    </row>
    <row r="1418" spans="1:2">
      <c r="A1418" s="670"/>
      <c r="B1418" s="655"/>
    </row>
    <row r="1419" spans="1:2">
      <c r="A1419" s="670"/>
      <c r="B1419" s="655"/>
    </row>
    <row r="1420" spans="1:2">
      <c r="A1420" s="670"/>
      <c r="B1420" s="655"/>
    </row>
    <row r="1421" spans="1:2">
      <c r="A1421" s="670"/>
      <c r="B1421" s="655"/>
    </row>
    <row r="1422" spans="1:2">
      <c r="A1422" s="670"/>
      <c r="B1422" s="655"/>
    </row>
    <row r="1423" spans="1:2">
      <c r="A1423" s="670"/>
      <c r="B1423" s="655"/>
    </row>
    <row r="1424" spans="1:2">
      <c r="A1424" s="670"/>
      <c r="B1424" s="655"/>
    </row>
    <row r="1425" spans="1:2">
      <c r="A1425" s="670"/>
      <c r="B1425" s="655"/>
    </row>
    <row r="1426" spans="1:2">
      <c r="A1426" s="670"/>
      <c r="B1426" s="655"/>
    </row>
    <row r="1427" spans="1:2">
      <c r="A1427" s="670"/>
      <c r="B1427" s="655"/>
    </row>
    <row r="1428" spans="1:2">
      <c r="A1428" s="670"/>
      <c r="B1428" s="655"/>
    </row>
    <row r="1429" spans="1:2">
      <c r="A1429" s="670"/>
      <c r="B1429" s="655"/>
    </row>
    <row r="1430" spans="1:2">
      <c r="A1430" s="670"/>
      <c r="B1430" s="655"/>
    </row>
    <row r="1431" spans="1:2">
      <c r="A1431" s="670"/>
      <c r="B1431" s="655"/>
    </row>
    <row r="1432" spans="1:2">
      <c r="A1432" s="670"/>
      <c r="B1432" s="655"/>
    </row>
    <row r="1433" spans="1:2">
      <c r="A1433" s="670"/>
      <c r="B1433" s="655"/>
    </row>
    <row r="1434" spans="1:2">
      <c r="A1434" s="670"/>
      <c r="B1434" s="655"/>
    </row>
    <row r="1435" spans="1:2">
      <c r="A1435" s="670"/>
      <c r="B1435" s="655"/>
    </row>
    <row r="1436" spans="1:2">
      <c r="A1436" s="670"/>
      <c r="B1436" s="655"/>
    </row>
    <row r="1437" spans="1:2">
      <c r="A1437" s="670"/>
      <c r="B1437" s="655"/>
    </row>
    <row r="1438" spans="1:2">
      <c r="A1438" s="670"/>
      <c r="B1438" s="655"/>
    </row>
    <row r="1439" spans="1:2">
      <c r="A1439" s="670"/>
      <c r="B1439" s="655"/>
    </row>
    <row r="1440" spans="1:2">
      <c r="A1440" s="670"/>
      <c r="B1440" s="655"/>
    </row>
    <row r="1441" spans="1:2">
      <c r="A1441" s="670"/>
      <c r="B1441" s="655"/>
    </row>
    <row r="1442" spans="1:2">
      <c r="A1442" s="670"/>
      <c r="B1442" s="655"/>
    </row>
    <row r="1443" spans="1:2">
      <c r="A1443" s="670"/>
      <c r="B1443" s="655"/>
    </row>
    <row r="1444" spans="1:2">
      <c r="A1444" s="670"/>
      <c r="B1444" s="655"/>
    </row>
    <row r="1445" spans="1:2">
      <c r="A1445" s="670"/>
      <c r="B1445" s="655"/>
    </row>
    <row r="1446" spans="1:2">
      <c r="A1446" s="670"/>
      <c r="B1446" s="655"/>
    </row>
    <row r="1447" spans="1:2">
      <c r="A1447" s="670"/>
      <c r="B1447" s="655"/>
    </row>
    <row r="1448" spans="1:2">
      <c r="A1448" s="670"/>
      <c r="B1448" s="655"/>
    </row>
    <row r="1449" spans="1:2">
      <c r="A1449" s="670"/>
      <c r="B1449" s="655"/>
    </row>
    <row r="1450" spans="1:2">
      <c r="A1450" s="670"/>
      <c r="B1450" s="655"/>
    </row>
    <row r="1451" spans="1:2">
      <c r="A1451" s="670"/>
      <c r="B1451" s="655"/>
    </row>
    <row r="1452" spans="1:2">
      <c r="A1452" s="670"/>
      <c r="B1452" s="655"/>
    </row>
    <row r="1453" spans="1:2">
      <c r="A1453" s="670"/>
      <c r="B1453" s="655"/>
    </row>
    <row r="1454" spans="1:2">
      <c r="A1454" s="670"/>
      <c r="B1454" s="655"/>
    </row>
    <row r="1455" spans="1:2">
      <c r="A1455" s="670"/>
      <c r="B1455" s="655"/>
    </row>
    <row r="1456" spans="1:2">
      <c r="A1456" s="670"/>
      <c r="B1456" s="655"/>
    </row>
    <row r="1457" spans="1:2">
      <c r="A1457" s="670"/>
      <c r="B1457" s="655"/>
    </row>
    <row r="1458" spans="1:2">
      <c r="A1458" s="670"/>
      <c r="B1458" s="655"/>
    </row>
    <row r="1459" spans="1:2">
      <c r="A1459" s="670"/>
      <c r="B1459" s="655"/>
    </row>
    <row r="1460" spans="1:2">
      <c r="A1460" s="670"/>
      <c r="B1460" s="655"/>
    </row>
    <row r="1461" spans="1:2">
      <c r="A1461" s="670"/>
      <c r="B1461" s="655"/>
    </row>
    <row r="1462" spans="1:2">
      <c r="A1462" s="670"/>
      <c r="B1462" s="655"/>
    </row>
    <row r="1463" spans="1:2">
      <c r="A1463" s="670"/>
      <c r="B1463" s="655"/>
    </row>
    <row r="1464" spans="1:2">
      <c r="A1464" s="670"/>
      <c r="B1464" s="655"/>
    </row>
    <row r="1465" spans="1:2">
      <c r="A1465" s="670"/>
      <c r="B1465" s="655"/>
    </row>
    <row r="1466" spans="1:2">
      <c r="A1466" s="670"/>
      <c r="B1466" s="655"/>
    </row>
    <row r="1467" spans="1:2">
      <c r="A1467" s="670"/>
      <c r="B1467" s="655"/>
    </row>
    <row r="1468" spans="1:2">
      <c r="A1468" s="670"/>
      <c r="B1468" s="655"/>
    </row>
    <row r="1469" spans="1:2">
      <c r="A1469" s="670"/>
      <c r="B1469" s="655"/>
    </row>
    <row r="1470" spans="1:2">
      <c r="A1470" s="670"/>
      <c r="B1470" s="655"/>
    </row>
    <row r="1471" spans="1:2">
      <c r="A1471" s="670"/>
      <c r="B1471" s="655"/>
    </row>
    <row r="1472" spans="1:2">
      <c r="A1472" s="670"/>
      <c r="B1472" s="655"/>
    </row>
    <row r="1473" spans="1:2">
      <c r="A1473" s="670"/>
      <c r="B1473" s="655"/>
    </row>
    <row r="1474" spans="1:2">
      <c r="A1474" s="670"/>
      <c r="B1474" s="655"/>
    </row>
    <row r="1475" spans="1:2">
      <c r="A1475" s="670"/>
      <c r="B1475" s="655"/>
    </row>
    <row r="1476" spans="1:2">
      <c r="A1476" s="670"/>
      <c r="B1476" s="655"/>
    </row>
    <row r="1477" spans="1:2">
      <c r="A1477" s="670"/>
      <c r="B1477" s="655"/>
    </row>
    <row r="1478" spans="1:2">
      <c r="A1478" s="670"/>
      <c r="B1478" s="655"/>
    </row>
    <row r="1479" spans="1:2">
      <c r="A1479" s="670"/>
      <c r="B1479" s="655"/>
    </row>
    <row r="1480" spans="1:2">
      <c r="A1480" s="670"/>
      <c r="B1480" s="655"/>
    </row>
    <row r="1481" spans="1:2">
      <c r="A1481" s="670"/>
      <c r="B1481" s="655"/>
    </row>
    <row r="1482" spans="1:2">
      <c r="A1482" s="670"/>
      <c r="B1482" s="655"/>
    </row>
    <row r="1483" spans="1:2">
      <c r="A1483" s="670"/>
      <c r="B1483" s="655"/>
    </row>
    <row r="1484" spans="1:2">
      <c r="A1484" s="670"/>
      <c r="B1484" s="655"/>
    </row>
    <row r="1485" spans="1:2">
      <c r="A1485" s="670"/>
      <c r="B1485" s="655"/>
    </row>
    <row r="1486" spans="1:2">
      <c r="A1486" s="670"/>
      <c r="B1486" s="655"/>
    </row>
    <row r="1487" spans="1:2">
      <c r="A1487" s="670"/>
      <c r="B1487" s="655"/>
    </row>
    <row r="1488" spans="1:2">
      <c r="A1488" s="670"/>
      <c r="B1488" s="655"/>
    </row>
    <row r="1489" spans="1:2">
      <c r="A1489" s="670"/>
      <c r="B1489" s="655"/>
    </row>
    <row r="1490" spans="1:2">
      <c r="A1490" s="670"/>
      <c r="B1490" s="655"/>
    </row>
    <row r="1491" spans="1:2">
      <c r="A1491" s="670"/>
      <c r="B1491" s="655"/>
    </row>
    <row r="1492" spans="1:2">
      <c r="A1492" s="670"/>
      <c r="B1492" s="655"/>
    </row>
    <row r="1493" spans="1:2">
      <c r="A1493" s="670"/>
      <c r="B1493" s="655"/>
    </row>
    <row r="1494" spans="1:2">
      <c r="A1494" s="670"/>
      <c r="B1494" s="655"/>
    </row>
    <row r="1495" spans="1:2">
      <c r="A1495" s="670"/>
      <c r="B1495" s="655"/>
    </row>
    <row r="1496" spans="1:2">
      <c r="A1496" s="670"/>
      <c r="B1496" s="655"/>
    </row>
    <row r="1497" spans="1:2">
      <c r="A1497" s="670"/>
      <c r="B1497" s="655"/>
    </row>
    <row r="1498" spans="1:2">
      <c r="A1498" s="670"/>
      <c r="B1498" s="655"/>
    </row>
    <row r="1499" spans="1:2">
      <c r="A1499" s="670"/>
      <c r="B1499" s="655"/>
    </row>
    <row r="1500" spans="1:2">
      <c r="A1500" s="670"/>
      <c r="B1500" s="655"/>
    </row>
    <row r="1501" spans="1:2">
      <c r="A1501" s="670"/>
      <c r="B1501" s="655"/>
    </row>
    <row r="1502" spans="1:2">
      <c r="A1502" s="670"/>
      <c r="B1502" s="655"/>
    </row>
    <row r="1503" spans="1:2">
      <c r="A1503" s="670"/>
      <c r="B1503" s="655"/>
    </row>
    <row r="1504" spans="1:2">
      <c r="A1504" s="670"/>
      <c r="B1504" s="655"/>
    </row>
    <row r="1505" spans="1:2">
      <c r="A1505" s="670"/>
      <c r="B1505" s="655"/>
    </row>
    <row r="1506" spans="1:2">
      <c r="A1506" s="670"/>
      <c r="B1506" s="655"/>
    </row>
    <row r="1507" spans="1:2">
      <c r="A1507" s="670"/>
      <c r="B1507" s="655"/>
    </row>
    <row r="1508" spans="1:2">
      <c r="A1508" s="670"/>
      <c r="B1508" s="655"/>
    </row>
    <row r="1509" spans="1:2">
      <c r="A1509" s="670"/>
      <c r="B1509" s="655"/>
    </row>
    <row r="1510" spans="1:2">
      <c r="A1510" s="670"/>
      <c r="B1510" s="655"/>
    </row>
    <row r="1511" spans="1:2">
      <c r="A1511" s="670"/>
      <c r="B1511" s="655"/>
    </row>
    <row r="1512" spans="1:2">
      <c r="A1512" s="670"/>
      <c r="B1512" s="655"/>
    </row>
    <row r="1513" spans="1:2">
      <c r="A1513" s="670"/>
      <c r="B1513" s="655"/>
    </row>
    <row r="1514" spans="1:2">
      <c r="A1514" s="670"/>
      <c r="B1514" s="655"/>
    </row>
    <row r="1515" spans="1:2">
      <c r="A1515" s="670"/>
      <c r="B1515" s="655"/>
    </row>
    <row r="1516" spans="1:2">
      <c r="A1516" s="670"/>
      <c r="B1516" s="655"/>
    </row>
    <row r="1517" spans="1:2">
      <c r="A1517" s="670"/>
      <c r="B1517" s="655"/>
    </row>
    <row r="1518" spans="1:2">
      <c r="A1518" s="670"/>
      <c r="B1518" s="655"/>
    </row>
    <row r="1519" spans="1:2">
      <c r="A1519" s="670"/>
      <c r="B1519" s="655"/>
    </row>
    <row r="1520" spans="1:2">
      <c r="A1520" s="670"/>
      <c r="B1520" s="655"/>
    </row>
    <row r="1521" spans="1:2">
      <c r="A1521" s="670"/>
      <c r="B1521" s="655"/>
    </row>
    <row r="1522" spans="1:2">
      <c r="A1522" s="670"/>
      <c r="B1522" s="655"/>
    </row>
    <row r="1523" spans="1:2">
      <c r="A1523" s="670"/>
      <c r="B1523" s="655"/>
    </row>
    <row r="1524" spans="1:2">
      <c r="A1524" s="670"/>
      <c r="B1524" s="655"/>
    </row>
    <row r="1525" spans="1:2">
      <c r="A1525" s="670"/>
      <c r="B1525" s="655"/>
    </row>
    <row r="1526" spans="1:2">
      <c r="A1526" s="670"/>
      <c r="B1526" s="655"/>
    </row>
    <row r="1527" spans="1:2">
      <c r="A1527" s="670"/>
      <c r="B1527" s="655"/>
    </row>
    <row r="1528" spans="1:2">
      <c r="A1528" s="670"/>
      <c r="B1528" s="655"/>
    </row>
    <row r="1529" spans="1:2">
      <c r="A1529" s="670"/>
      <c r="B1529" s="655"/>
    </row>
    <row r="1530" spans="1:2">
      <c r="A1530" s="670"/>
      <c r="B1530" s="655"/>
    </row>
    <row r="1531" spans="1:2">
      <c r="A1531" s="670"/>
      <c r="B1531" s="655"/>
    </row>
    <row r="1532" spans="1:2">
      <c r="A1532" s="670"/>
      <c r="B1532" s="655"/>
    </row>
    <row r="1533" spans="1:2">
      <c r="A1533" s="670"/>
      <c r="B1533" s="655"/>
    </row>
    <row r="1534" spans="1:2">
      <c r="A1534" s="670"/>
      <c r="B1534" s="655"/>
    </row>
    <row r="1535" spans="1:2">
      <c r="A1535" s="670"/>
      <c r="B1535" s="655"/>
    </row>
    <row r="1536" spans="1:2">
      <c r="A1536" s="670"/>
      <c r="B1536" s="655"/>
    </row>
    <row r="1537" spans="1:2">
      <c r="A1537" s="670"/>
      <c r="B1537" s="655"/>
    </row>
    <row r="1538" spans="1:2">
      <c r="A1538" s="670"/>
      <c r="B1538" s="655"/>
    </row>
    <row r="1539" spans="1:2">
      <c r="A1539" s="670"/>
      <c r="B1539" s="655"/>
    </row>
    <row r="1540" spans="1:2">
      <c r="A1540" s="670"/>
      <c r="B1540" s="655"/>
    </row>
    <row r="1541" spans="1:2">
      <c r="A1541" s="670"/>
      <c r="B1541" s="655"/>
    </row>
    <row r="1542" spans="1:2">
      <c r="A1542" s="670"/>
      <c r="B1542" s="655"/>
    </row>
    <row r="1543" spans="1:2">
      <c r="A1543" s="670"/>
      <c r="B1543" s="655"/>
    </row>
    <row r="1544" spans="1:2">
      <c r="A1544" s="670"/>
      <c r="B1544" s="655"/>
    </row>
    <row r="1545" spans="1:2">
      <c r="A1545" s="670"/>
      <c r="B1545" s="655"/>
    </row>
    <row r="1546" spans="1:2">
      <c r="A1546" s="670"/>
      <c r="B1546" s="655"/>
    </row>
    <row r="1547" spans="1:2">
      <c r="A1547" s="670"/>
      <c r="B1547" s="655"/>
    </row>
    <row r="1548" spans="1:2">
      <c r="A1548" s="670"/>
      <c r="B1548" s="655"/>
    </row>
    <row r="1549" spans="1:2">
      <c r="A1549" s="670"/>
      <c r="B1549" s="655"/>
    </row>
    <row r="1550" spans="1:2">
      <c r="A1550" s="670"/>
      <c r="B1550" s="655"/>
    </row>
    <row r="1551" spans="1:2">
      <c r="A1551" s="670"/>
      <c r="B1551" s="655"/>
    </row>
    <row r="1552" spans="1:2">
      <c r="A1552" s="670"/>
      <c r="B1552" s="655"/>
    </row>
    <row r="1553" spans="1:2">
      <c r="A1553" s="670"/>
      <c r="B1553" s="655"/>
    </row>
    <row r="1554" spans="1:2">
      <c r="A1554" s="670"/>
      <c r="B1554" s="655"/>
    </row>
    <row r="1555" spans="1:2">
      <c r="A1555" s="670"/>
      <c r="B1555" s="655"/>
    </row>
    <row r="1556" spans="1:2">
      <c r="A1556" s="670"/>
      <c r="B1556" s="655"/>
    </row>
    <row r="1557" spans="1:2">
      <c r="A1557" s="670"/>
      <c r="B1557" s="655"/>
    </row>
    <row r="1558" spans="1:2">
      <c r="A1558" s="670"/>
      <c r="B1558" s="655"/>
    </row>
    <row r="1559" spans="1:2">
      <c r="A1559" s="670"/>
      <c r="B1559" s="655"/>
    </row>
    <row r="1560" spans="1:2">
      <c r="A1560" s="670"/>
      <c r="B1560" s="655"/>
    </row>
    <row r="1561" spans="1:2">
      <c r="A1561" s="670"/>
      <c r="B1561" s="655"/>
    </row>
    <row r="1562" spans="1:2">
      <c r="A1562" s="670"/>
      <c r="B1562" s="655"/>
    </row>
    <row r="1563" spans="1:2">
      <c r="A1563" s="670"/>
      <c r="B1563" s="655"/>
    </row>
    <row r="1564" spans="1:2">
      <c r="A1564" s="670"/>
      <c r="B1564" s="655"/>
    </row>
    <row r="1565" spans="1:2">
      <c r="A1565" s="670"/>
      <c r="B1565" s="655"/>
    </row>
    <row r="1566" spans="1:2">
      <c r="A1566" s="670"/>
      <c r="B1566" s="655"/>
    </row>
    <row r="1567" spans="1:2">
      <c r="A1567" s="670"/>
      <c r="B1567" s="655"/>
    </row>
    <row r="1568" spans="1:2">
      <c r="A1568" s="670"/>
      <c r="B1568" s="655"/>
    </row>
    <row r="1569" spans="1:2">
      <c r="A1569" s="670"/>
      <c r="B1569" s="655"/>
    </row>
    <row r="1570" spans="1:2">
      <c r="A1570" s="670"/>
      <c r="B1570" s="655"/>
    </row>
    <row r="1571" spans="1:2">
      <c r="A1571" s="670"/>
      <c r="B1571" s="655"/>
    </row>
    <row r="1572" spans="1:2">
      <c r="A1572" s="670"/>
      <c r="B1572" s="655"/>
    </row>
    <row r="1573" spans="1:2">
      <c r="A1573" s="670"/>
      <c r="B1573" s="655"/>
    </row>
    <row r="1574" spans="1:2">
      <c r="A1574" s="670"/>
      <c r="B1574" s="655"/>
    </row>
    <row r="1575" spans="1:2">
      <c r="A1575" s="670"/>
      <c r="B1575" s="655"/>
    </row>
    <row r="1576" spans="1:2">
      <c r="A1576" s="670"/>
      <c r="B1576" s="655"/>
    </row>
    <row r="1577" spans="1:2">
      <c r="A1577" s="670"/>
      <c r="B1577" s="655"/>
    </row>
    <row r="1578" spans="1:2">
      <c r="A1578" s="670"/>
      <c r="B1578" s="655"/>
    </row>
    <row r="1579" spans="1:2">
      <c r="A1579" s="670"/>
      <c r="B1579" s="655"/>
    </row>
    <row r="1580" spans="1:2">
      <c r="A1580" s="670"/>
      <c r="B1580" s="655"/>
    </row>
    <row r="1581" spans="1:2">
      <c r="A1581" s="670"/>
      <c r="B1581" s="655"/>
    </row>
    <row r="1582" spans="1:2">
      <c r="A1582" s="670"/>
      <c r="B1582" s="655"/>
    </row>
    <row r="1583" spans="1:2">
      <c r="A1583" s="670"/>
      <c r="B1583" s="655"/>
    </row>
    <row r="1584" spans="1:2">
      <c r="A1584" s="670"/>
      <c r="B1584" s="655"/>
    </row>
    <row r="1585" spans="1:2">
      <c r="A1585" s="670"/>
      <c r="B1585" s="655"/>
    </row>
    <row r="1586" spans="1:2">
      <c r="A1586" s="670"/>
      <c r="B1586" s="655"/>
    </row>
    <row r="1587" spans="1:2">
      <c r="A1587" s="670"/>
      <c r="B1587" s="655"/>
    </row>
    <row r="1588" spans="1:2">
      <c r="A1588" s="670"/>
      <c r="B1588" s="655"/>
    </row>
    <row r="1589" spans="1:2">
      <c r="A1589" s="670"/>
      <c r="B1589" s="655"/>
    </row>
    <row r="1590" spans="1:2">
      <c r="A1590" s="670"/>
      <c r="B1590" s="655"/>
    </row>
    <row r="1591" spans="1:2">
      <c r="A1591" s="670"/>
      <c r="B1591" s="655"/>
    </row>
    <row r="1592" spans="1:2">
      <c r="A1592" s="670"/>
      <c r="B1592" s="655"/>
    </row>
    <row r="1593" spans="1:2">
      <c r="A1593" s="670"/>
      <c r="B1593" s="655"/>
    </row>
    <row r="1594" spans="1:2">
      <c r="A1594" s="670"/>
      <c r="B1594" s="655"/>
    </row>
    <row r="1595" spans="1:2">
      <c r="A1595" s="670"/>
      <c r="B1595" s="655"/>
    </row>
    <row r="1596" spans="1:2">
      <c r="A1596" s="670"/>
      <c r="B1596" s="655"/>
    </row>
    <row r="1597" spans="1:2">
      <c r="A1597" s="670"/>
      <c r="B1597" s="655"/>
    </row>
    <row r="1598" spans="1:2">
      <c r="A1598" s="670"/>
      <c r="B1598" s="655"/>
    </row>
    <row r="1599" spans="1:2">
      <c r="A1599" s="670"/>
      <c r="B1599" s="655"/>
    </row>
    <row r="1600" spans="1:2">
      <c r="A1600" s="670"/>
      <c r="B1600" s="655"/>
    </row>
    <row r="1601" spans="1:2">
      <c r="A1601" s="670"/>
      <c r="B1601" s="655"/>
    </row>
    <row r="1602" spans="1:2">
      <c r="A1602" s="670"/>
      <c r="B1602" s="655"/>
    </row>
    <row r="1603" spans="1:2">
      <c r="A1603" s="670"/>
      <c r="B1603" s="655"/>
    </row>
    <row r="1604" spans="1:2">
      <c r="A1604" s="670"/>
      <c r="B1604" s="655"/>
    </row>
    <row r="1605" spans="1:2">
      <c r="A1605" s="670"/>
      <c r="B1605" s="655"/>
    </row>
    <row r="1606" spans="1:2">
      <c r="A1606" s="670"/>
      <c r="B1606" s="655"/>
    </row>
    <row r="1607" spans="1:2">
      <c r="A1607" s="670"/>
      <c r="B1607" s="655"/>
    </row>
    <row r="1608" spans="1:2">
      <c r="A1608" s="670"/>
      <c r="B1608" s="655"/>
    </row>
    <row r="1609" spans="1:2">
      <c r="A1609" s="670"/>
      <c r="B1609" s="655"/>
    </row>
    <row r="1610" spans="1:2">
      <c r="A1610" s="670"/>
      <c r="B1610" s="655"/>
    </row>
    <row r="1611" spans="1:2">
      <c r="A1611" s="670"/>
      <c r="B1611" s="655"/>
    </row>
    <row r="1612" spans="1:2">
      <c r="A1612" s="670"/>
      <c r="B1612" s="655"/>
    </row>
    <row r="1613" spans="1:2">
      <c r="A1613" s="670"/>
      <c r="B1613" s="655"/>
    </row>
    <row r="1614" spans="1:2">
      <c r="A1614" s="670"/>
      <c r="B1614" s="655"/>
    </row>
    <row r="1615" spans="1:2">
      <c r="A1615" s="670"/>
      <c r="B1615" s="655"/>
    </row>
    <row r="1616" spans="1:2">
      <c r="A1616" s="670"/>
      <c r="B1616" s="655"/>
    </row>
    <row r="1617" spans="1:2">
      <c r="A1617" s="670"/>
      <c r="B1617" s="655"/>
    </row>
    <row r="1618" spans="1:2">
      <c r="A1618" s="670"/>
      <c r="B1618" s="655"/>
    </row>
    <row r="1619" spans="1:2">
      <c r="A1619" s="670"/>
      <c r="B1619" s="655"/>
    </row>
    <row r="1620" spans="1:2">
      <c r="A1620" s="670"/>
      <c r="B1620" s="655"/>
    </row>
    <row r="1621" spans="1:2">
      <c r="A1621" s="670"/>
      <c r="B1621" s="655"/>
    </row>
    <row r="1622" spans="1:2">
      <c r="A1622" s="670"/>
      <c r="B1622" s="655"/>
    </row>
    <row r="1623" spans="1:2">
      <c r="A1623" s="670"/>
      <c r="B1623" s="655"/>
    </row>
    <row r="1624" spans="1:2">
      <c r="A1624" s="670"/>
      <c r="B1624" s="655"/>
    </row>
    <row r="1625" spans="1:2">
      <c r="A1625" s="670"/>
      <c r="B1625" s="655"/>
    </row>
    <row r="1626" spans="1:2">
      <c r="A1626" s="670"/>
      <c r="B1626" s="655"/>
    </row>
    <row r="1627" spans="1:2">
      <c r="A1627" s="670"/>
      <c r="B1627" s="655"/>
    </row>
    <row r="1628" spans="1:2">
      <c r="A1628" s="670"/>
      <c r="B1628" s="655"/>
    </row>
    <row r="1629" spans="1:2">
      <c r="A1629" s="670"/>
      <c r="B1629" s="655"/>
    </row>
    <row r="1630" spans="1:2">
      <c r="A1630" s="670"/>
      <c r="B1630" s="655"/>
    </row>
    <row r="1631" spans="1:2">
      <c r="A1631" s="670"/>
      <c r="B1631" s="655"/>
    </row>
    <row r="1632" spans="1:2">
      <c r="A1632" s="670"/>
      <c r="B1632" s="655"/>
    </row>
    <row r="1633" spans="1:2">
      <c r="A1633" s="670"/>
      <c r="B1633" s="655"/>
    </row>
    <row r="1634" spans="1:2">
      <c r="A1634" s="670"/>
      <c r="B1634" s="655"/>
    </row>
    <row r="1635" spans="1:2">
      <c r="A1635" s="670"/>
      <c r="B1635" s="655"/>
    </row>
    <row r="1636" spans="1:2">
      <c r="A1636" s="670"/>
      <c r="B1636" s="655"/>
    </row>
    <row r="1637" spans="1:2">
      <c r="A1637" s="670"/>
      <c r="B1637" s="655"/>
    </row>
    <row r="1638" spans="1:2">
      <c r="A1638" s="670"/>
      <c r="B1638" s="655"/>
    </row>
    <row r="1639" spans="1:2">
      <c r="A1639" s="670"/>
      <c r="B1639" s="655"/>
    </row>
    <row r="1640" spans="1:2">
      <c r="A1640" s="670"/>
      <c r="B1640" s="655"/>
    </row>
    <row r="1641" spans="1:2">
      <c r="A1641" s="670"/>
      <c r="B1641" s="655"/>
    </row>
    <row r="1642" spans="1:2">
      <c r="A1642" s="670"/>
      <c r="B1642" s="655"/>
    </row>
    <row r="1643" spans="1:2">
      <c r="A1643" s="670"/>
      <c r="B1643" s="655"/>
    </row>
    <row r="1644" spans="1:2">
      <c r="A1644" s="670"/>
      <c r="B1644" s="655"/>
    </row>
    <row r="1645" spans="1:2">
      <c r="A1645" s="670"/>
      <c r="B1645" s="655"/>
    </row>
    <row r="1646" spans="1:2">
      <c r="A1646" s="670"/>
      <c r="B1646" s="655"/>
    </row>
    <row r="1647" spans="1:2">
      <c r="A1647" s="670"/>
      <c r="B1647" s="655"/>
    </row>
    <row r="1648" spans="1:2">
      <c r="A1648" s="670"/>
      <c r="B1648" s="655"/>
    </row>
    <row r="1649" spans="1:2">
      <c r="A1649" s="670"/>
      <c r="B1649" s="655"/>
    </row>
    <row r="1650" spans="1:2">
      <c r="A1650" s="670"/>
      <c r="B1650" s="655"/>
    </row>
    <row r="1651" spans="1:2">
      <c r="A1651" s="670"/>
      <c r="B1651" s="655"/>
    </row>
    <row r="1652" spans="1:2">
      <c r="A1652" s="670"/>
      <c r="B1652" s="655"/>
    </row>
    <row r="1653" spans="1:2">
      <c r="A1653" s="670"/>
      <c r="B1653" s="655"/>
    </row>
    <row r="1654" spans="1:2">
      <c r="A1654" s="670"/>
      <c r="B1654" s="655"/>
    </row>
    <row r="1655" spans="1:2">
      <c r="A1655" s="670"/>
      <c r="B1655" s="655"/>
    </row>
    <row r="1656" spans="1:2">
      <c r="A1656" s="670"/>
      <c r="B1656" s="655"/>
    </row>
    <row r="1657" spans="1:2">
      <c r="A1657" s="670"/>
      <c r="B1657" s="655"/>
    </row>
    <row r="1658" spans="1:2">
      <c r="A1658" s="670"/>
      <c r="B1658" s="655"/>
    </row>
    <row r="1659" spans="1:2">
      <c r="A1659" s="670"/>
      <c r="B1659" s="655"/>
    </row>
    <row r="1660" spans="1:2">
      <c r="A1660" s="670"/>
      <c r="B1660" s="655"/>
    </row>
    <row r="1661" spans="1:2">
      <c r="A1661" s="670"/>
      <c r="B1661" s="655"/>
    </row>
    <row r="1662" spans="1:2">
      <c r="A1662" s="670"/>
      <c r="B1662" s="655"/>
    </row>
    <row r="1663" spans="1:2">
      <c r="A1663" s="670"/>
      <c r="B1663" s="655"/>
    </row>
    <row r="1664" spans="1:2">
      <c r="A1664" s="670"/>
      <c r="B1664" s="655"/>
    </row>
    <row r="1665" spans="1:2">
      <c r="A1665" s="670"/>
      <c r="B1665" s="655"/>
    </row>
    <row r="1666" spans="1:2">
      <c r="A1666" s="670"/>
      <c r="B1666" s="655"/>
    </row>
    <row r="1667" spans="1:2">
      <c r="A1667" s="670"/>
      <c r="B1667" s="655"/>
    </row>
    <row r="1668" spans="1:2">
      <c r="A1668" s="670"/>
      <c r="B1668" s="655"/>
    </row>
    <row r="1669" spans="1:2">
      <c r="A1669" s="670"/>
      <c r="B1669" s="655"/>
    </row>
    <row r="1670" spans="1:2">
      <c r="A1670" s="670"/>
      <c r="B1670" s="655"/>
    </row>
    <row r="1671" spans="1:2">
      <c r="A1671" s="670"/>
      <c r="B1671" s="655"/>
    </row>
    <row r="1672" spans="1:2">
      <c r="A1672" s="670"/>
      <c r="B1672" s="655"/>
    </row>
    <row r="1673" spans="1:2">
      <c r="A1673" s="670"/>
      <c r="B1673" s="655"/>
    </row>
    <row r="1674" spans="1:2">
      <c r="A1674" s="670"/>
      <c r="B1674" s="655"/>
    </row>
    <row r="1675" spans="1:2">
      <c r="A1675" s="670"/>
      <c r="B1675" s="655"/>
    </row>
    <row r="1676" spans="1:2">
      <c r="A1676" s="670"/>
      <c r="B1676" s="655"/>
    </row>
    <row r="1677" spans="1:2">
      <c r="A1677" s="670"/>
      <c r="B1677" s="655"/>
    </row>
    <row r="1678" spans="1:2">
      <c r="A1678" s="670"/>
      <c r="B1678" s="655"/>
    </row>
    <row r="1679" spans="1:2">
      <c r="A1679" s="670"/>
      <c r="B1679" s="655"/>
    </row>
    <row r="1680" spans="1:2">
      <c r="A1680" s="670"/>
      <c r="B1680" s="655"/>
    </row>
    <row r="1681" spans="1:2">
      <c r="A1681" s="670"/>
      <c r="B1681" s="655"/>
    </row>
    <row r="1682" spans="1:2">
      <c r="A1682" s="670"/>
      <c r="B1682" s="655"/>
    </row>
    <row r="1683" spans="1:2">
      <c r="A1683" s="670"/>
      <c r="B1683" s="655"/>
    </row>
    <row r="1684" spans="1:2">
      <c r="A1684" s="670"/>
      <c r="B1684" s="655"/>
    </row>
    <row r="1685" spans="1:2">
      <c r="A1685" s="670"/>
      <c r="B1685" s="655"/>
    </row>
    <row r="1686" spans="1:2">
      <c r="A1686" s="670"/>
      <c r="B1686" s="655"/>
    </row>
    <row r="1687" spans="1:2">
      <c r="A1687" s="670"/>
      <c r="B1687" s="655"/>
    </row>
    <row r="1688" spans="1:2">
      <c r="A1688" s="670"/>
      <c r="B1688" s="655"/>
    </row>
    <row r="1689" spans="1:2">
      <c r="A1689" s="670"/>
      <c r="B1689" s="655"/>
    </row>
    <row r="1690" spans="1:2">
      <c r="A1690" s="670"/>
      <c r="B1690" s="655"/>
    </row>
    <row r="1691" spans="1:2">
      <c r="A1691" s="670"/>
      <c r="B1691" s="655"/>
    </row>
    <row r="1692" spans="1:2">
      <c r="A1692" s="670"/>
      <c r="B1692" s="655"/>
    </row>
    <row r="1693" spans="1:2">
      <c r="A1693" s="670"/>
      <c r="B1693" s="655"/>
    </row>
    <row r="1694" spans="1:2">
      <c r="A1694" s="670"/>
      <c r="B1694" s="655"/>
    </row>
    <row r="1695" spans="1:2">
      <c r="A1695" s="670"/>
      <c r="B1695" s="655"/>
    </row>
    <row r="1696" spans="1:2">
      <c r="A1696" s="670"/>
      <c r="B1696" s="655"/>
    </row>
    <row r="1697" spans="1:2">
      <c r="A1697" s="670"/>
      <c r="B1697" s="655"/>
    </row>
    <row r="1698" spans="1:2">
      <c r="A1698" s="670"/>
      <c r="B1698" s="655"/>
    </row>
    <row r="1699" spans="1:2">
      <c r="A1699" s="670"/>
      <c r="B1699" s="655"/>
    </row>
    <row r="1700" spans="1:2">
      <c r="A1700" s="670"/>
      <c r="B1700" s="655"/>
    </row>
    <row r="1701" spans="1:2">
      <c r="A1701" s="670"/>
      <c r="B1701" s="655"/>
    </row>
    <row r="1702" spans="1:2">
      <c r="A1702" s="670"/>
      <c r="B1702" s="655"/>
    </row>
    <row r="1703" spans="1:2">
      <c r="A1703" s="670"/>
      <c r="B1703" s="655"/>
    </row>
    <row r="1704" spans="1:2">
      <c r="A1704" s="670"/>
      <c r="B1704" s="655"/>
    </row>
    <row r="1705" spans="1:2">
      <c r="A1705" s="670"/>
      <c r="B1705" s="655"/>
    </row>
    <row r="1706" spans="1:2">
      <c r="A1706" s="670"/>
      <c r="B1706" s="655"/>
    </row>
    <row r="1707" spans="1:2">
      <c r="A1707" s="670"/>
      <c r="B1707" s="655"/>
    </row>
    <row r="1708" spans="1:2">
      <c r="A1708" s="670"/>
      <c r="B1708" s="655"/>
    </row>
    <row r="1709" spans="1:2">
      <c r="A1709" s="670"/>
      <c r="B1709" s="655"/>
    </row>
    <row r="1710" spans="1:2">
      <c r="A1710" s="670"/>
      <c r="B1710" s="655"/>
    </row>
    <row r="1711" spans="1:2">
      <c r="A1711" s="670"/>
      <c r="B1711" s="655"/>
    </row>
    <row r="1712" spans="1:2">
      <c r="A1712" s="670"/>
      <c r="B1712" s="655"/>
    </row>
    <row r="1713" spans="1:2">
      <c r="A1713" s="670"/>
      <c r="B1713" s="655"/>
    </row>
    <row r="1714" spans="1:2">
      <c r="A1714" s="670"/>
      <c r="B1714" s="655"/>
    </row>
    <row r="1715" spans="1:2">
      <c r="A1715" s="670"/>
      <c r="B1715" s="655"/>
    </row>
    <row r="1716" spans="1:2">
      <c r="A1716" s="670"/>
      <c r="B1716" s="655"/>
    </row>
    <row r="1717" spans="1:2">
      <c r="A1717" s="670"/>
      <c r="B1717" s="655"/>
    </row>
    <row r="1718" spans="1:2">
      <c r="A1718" s="670"/>
      <c r="B1718" s="655"/>
    </row>
    <row r="1719" spans="1:2">
      <c r="A1719" s="670"/>
      <c r="B1719" s="655"/>
    </row>
    <row r="1720" spans="1:2">
      <c r="A1720" s="670"/>
      <c r="B1720" s="655"/>
    </row>
    <row r="1721" spans="1:2">
      <c r="A1721" s="670"/>
      <c r="B1721" s="655"/>
    </row>
    <row r="1722" spans="1:2">
      <c r="A1722" s="670"/>
      <c r="B1722" s="655"/>
    </row>
    <row r="1723" spans="1:2">
      <c r="A1723" s="670"/>
      <c r="B1723" s="655"/>
    </row>
    <row r="1724" spans="1:2">
      <c r="A1724" s="670"/>
      <c r="B1724" s="655"/>
    </row>
    <row r="1725" spans="1:2">
      <c r="A1725" s="670"/>
      <c r="B1725" s="655"/>
    </row>
    <row r="1726" spans="1:2">
      <c r="A1726" s="670"/>
      <c r="B1726" s="655"/>
    </row>
    <row r="1727" spans="1:2">
      <c r="A1727" s="670"/>
      <c r="B1727" s="655"/>
    </row>
    <row r="1728" spans="1:2">
      <c r="A1728" s="670"/>
      <c r="B1728" s="655"/>
    </row>
    <row r="1729" spans="1:2">
      <c r="A1729" s="670"/>
      <c r="B1729" s="655"/>
    </row>
    <row r="1730" spans="1:2">
      <c r="A1730" s="670"/>
      <c r="B1730" s="655"/>
    </row>
    <row r="1731" spans="1:2">
      <c r="A1731" s="670"/>
      <c r="B1731" s="655"/>
    </row>
    <row r="1732" spans="1:2">
      <c r="A1732" s="670"/>
      <c r="B1732" s="655"/>
    </row>
    <row r="1733" spans="1:2">
      <c r="A1733" s="670"/>
      <c r="B1733" s="655"/>
    </row>
    <row r="1734" spans="1:2">
      <c r="A1734" s="670"/>
      <c r="B1734" s="655"/>
    </row>
    <row r="1735" spans="1:2">
      <c r="A1735" s="670"/>
      <c r="B1735" s="655"/>
    </row>
    <row r="1736" spans="1:2">
      <c r="A1736" s="670"/>
      <c r="B1736" s="655"/>
    </row>
    <row r="1737" spans="1:2">
      <c r="A1737" s="670"/>
      <c r="B1737" s="655"/>
    </row>
    <row r="1738" spans="1:2">
      <c r="A1738" s="670"/>
      <c r="B1738" s="655"/>
    </row>
    <row r="1739" spans="1:2">
      <c r="A1739" s="670"/>
      <c r="B1739" s="655"/>
    </row>
    <row r="1740" spans="1:2">
      <c r="A1740" s="670"/>
      <c r="B1740" s="655"/>
    </row>
    <row r="1741" spans="1:2">
      <c r="A1741" s="670"/>
      <c r="B1741" s="655"/>
    </row>
    <row r="1742" spans="1:2">
      <c r="A1742" s="670"/>
      <c r="B1742" s="655"/>
    </row>
    <row r="1743" spans="1:2">
      <c r="A1743" s="670"/>
      <c r="B1743" s="655"/>
    </row>
    <row r="1744" spans="1:2">
      <c r="A1744" s="670"/>
      <c r="B1744" s="655"/>
    </row>
    <row r="1745" spans="1:2">
      <c r="A1745" s="670"/>
      <c r="B1745" s="655"/>
    </row>
    <row r="1746" spans="1:2">
      <c r="A1746" s="670"/>
      <c r="B1746" s="655"/>
    </row>
    <row r="1747" spans="1:2">
      <c r="A1747" s="670"/>
      <c r="B1747" s="655"/>
    </row>
    <row r="1748" spans="1:2">
      <c r="A1748" s="670"/>
      <c r="B1748" s="655"/>
    </row>
    <row r="1749" spans="1:2">
      <c r="A1749" s="670"/>
      <c r="B1749" s="655"/>
    </row>
    <row r="1750" spans="1:2">
      <c r="A1750" s="670"/>
      <c r="B1750" s="655"/>
    </row>
    <row r="1751" spans="1:2">
      <c r="A1751" s="670"/>
      <c r="B1751" s="655"/>
    </row>
    <row r="1752" spans="1:2">
      <c r="A1752" s="670"/>
      <c r="B1752" s="655"/>
    </row>
    <row r="1753" spans="1:2">
      <c r="A1753" s="670"/>
      <c r="B1753" s="655"/>
    </row>
    <row r="1754" spans="1:2">
      <c r="A1754" s="670"/>
      <c r="B1754" s="655"/>
    </row>
    <row r="1755" spans="1:2">
      <c r="A1755" s="670"/>
      <c r="B1755" s="655"/>
    </row>
    <row r="1756" spans="1:2">
      <c r="A1756" s="670"/>
      <c r="B1756" s="655"/>
    </row>
    <row r="1757" spans="1:2">
      <c r="A1757" s="670"/>
      <c r="B1757" s="655"/>
    </row>
    <row r="1758" spans="1:2">
      <c r="A1758" s="670"/>
      <c r="B1758" s="655"/>
    </row>
    <row r="1759" spans="1:2">
      <c r="A1759" s="670"/>
      <c r="B1759" s="655"/>
    </row>
    <row r="1760" spans="1:2">
      <c r="A1760" s="670"/>
      <c r="B1760" s="655"/>
    </row>
    <row r="1761" spans="1:2">
      <c r="A1761" s="670"/>
      <c r="B1761" s="655"/>
    </row>
    <row r="1762" spans="1:2">
      <c r="A1762" s="670"/>
      <c r="B1762" s="655"/>
    </row>
    <row r="1763" spans="1:2">
      <c r="A1763" s="670"/>
      <c r="B1763" s="655"/>
    </row>
    <row r="1764" spans="1:2">
      <c r="A1764" s="670"/>
      <c r="B1764" s="655"/>
    </row>
    <row r="1765" spans="1:2">
      <c r="A1765" s="670"/>
      <c r="B1765" s="655"/>
    </row>
    <row r="1766" spans="1:2">
      <c r="A1766" s="670"/>
      <c r="B1766" s="655"/>
    </row>
    <row r="1767" spans="1:2">
      <c r="A1767" s="670"/>
      <c r="B1767" s="655"/>
    </row>
    <row r="1768" spans="1:2">
      <c r="A1768" s="670"/>
      <c r="B1768" s="655"/>
    </row>
    <row r="1769" spans="1:2">
      <c r="A1769" s="670"/>
      <c r="B1769" s="655"/>
    </row>
    <row r="1770" spans="1:2">
      <c r="A1770" s="670"/>
      <c r="B1770" s="655"/>
    </row>
    <row r="1771" spans="1:2">
      <c r="A1771" s="670"/>
      <c r="B1771" s="655"/>
    </row>
    <row r="1772" spans="1:2">
      <c r="A1772" s="670"/>
      <c r="B1772" s="655"/>
    </row>
    <row r="1773" spans="1:2">
      <c r="A1773" s="670"/>
      <c r="B1773" s="655"/>
    </row>
    <row r="1774" spans="1:2">
      <c r="A1774" s="670"/>
      <c r="B1774" s="655"/>
    </row>
    <row r="1775" spans="1:2">
      <c r="A1775" s="670"/>
      <c r="B1775" s="655"/>
    </row>
    <row r="1776" spans="1:2">
      <c r="A1776" s="670"/>
      <c r="B1776" s="655"/>
    </row>
    <row r="1777" spans="1:2">
      <c r="A1777" s="670"/>
      <c r="B1777" s="655"/>
    </row>
    <row r="1778" spans="1:2">
      <c r="A1778" s="670"/>
      <c r="B1778" s="655"/>
    </row>
    <row r="1779" spans="1:2">
      <c r="A1779" s="670"/>
      <c r="B1779" s="655"/>
    </row>
    <row r="1780" spans="1:2">
      <c r="A1780" s="670"/>
      <c r="B1780" s="655"/>
    </row>
    <row r="1781" spans="1:2">
      <c r="A1781" s="670"/>
      <c r="B1781" s="655"/>
    </row>
    <row r="1782" spans="1:2">
      <c r="A1782" s="670"/>
      <c r="B1782" s="655"/>
    </row>
    <row r="1783" spans="1:2">
      <c r="A1783" s="670"/>
      <c r="B1783" s="655"/>
    </row>
    <row r="1784" spans="1:2">
      <c r="A1784" s="670"/>
      <c r="B1784" s="655"/>
    </row>
    <row r="1785" spans="1:2">
      <c r="A1785" s="670"/>
      <c r="B1785" s="655"/>
    </row>
    <row r="1786" spans="1:2">
      <c r="A1786" s="670"/>
      <c r="B1786" s="655"/>
    </row>
    <row r="1787" spans="1:2">
      <c r="A1787" s="670"/>
      <c r="B1787" s="655"/>
    </row>
    <row r="1788" spans="1:2">
      <c r="A1788" s="670"/>
      <c r="B1788" s="655"/>
    </row>
    <row r="1789" spans="1:2">
      <c r="A1789" s="670"/>
      <c r="B1789" s="655"/>
    </row>
    <row r="1790" spans="1:2">
      <c r="A1790" s="670"/>
      <c r="B1790" s="655"/>
    </row>
    <row r="1791" spans="1:2">
      <c r="A1791" s="670"/>
      <c r="B1791" s="655"/>
    </row>
    <row r="1792" spans="1:2">
      <c r="A1792" s="670"/>
      <c r="B1792" s="655"/>
    </row>
    <row r="1793" spans="1:2">
      <c r="A1793" s="670"/>
      <c r="B1793" s="655"/>
    </row>
    <row r="1794" spans="1:2">
      <c r="A1794" s="670"/>
      <c r="B1794" s="655"/>
    </row>
    <row r="1795" spans="1:2">
      <c r="A1795" s="670"/>
      <c r="B1795" s="655"/>
    </row>
    <row r="1796" spans="1:2">
      <c r="A1796" s="670"/>
      <c r="B1796" s="655"/>
    </row>
    <row r="1797" spans="1:2">
      <c r="A1797" s="670"/>
      <c r="B1797" s="655"/>
    </row>
    <row r="1798" spans="1:2">
      <c r="A1798" s="670"/>
      <c r="B1798" s="655"/>
    </row>
    <row r="1799" spans="1:2">
      <c r="A1799" s="670"/>
      <c r="B1799" s="655"/>
    </row>
    <row r="1800" spans="1:2">
      <c r="A1800" s="670"/>
      <c r="B1800" s="655"/>
    </row>
    <row r="1801" spans="1:2">
      <c r="A1801" s="670"/>
      <c r="B1801" s="655"/>
    </row>
    <row r="1802" spans="1:2">
      <c r="A1802" s="670"/>
      <c r="B1802" s="655"/>
    </row>
    <row r="1803" spans="1:2">
      <c r="A1803" s="670"/>
      <c r="B1803" s="655"/>
    </row>
    <row r="1804" spans="1:2">
      <c r="A1804" s="670"/>
      <c r="B1804" s="655"/>
    </row>
    <row r="1805" spans="1:2">
      <c r="A1805" s="670"/>
      <c r="B1805" s="655"/>
    </row>
    <row r="1806" spans="1:2">
      <c r="A1806" s="670"/>
      <c r="B1806" s="655"/>
    </row>
    <row r="1807" spans="1:2">
      <c r="A1807" s="670"/>
      <c r="B1807" s="655"/>
    </row>
    <row r="1808" spans="1:2">
      <c r="A1808" s="670"/>
      <c r="B1808" s="655"/>
    </row>
    <row r="1809" spans="1:2">
      <c r="A1809" s="670"/>
      <c r="B1809" s="655"/>
    </row>
    <row r="1810" spans="1:2">
      <c r="A1810" s="670"/>
      <c r="B1810" s="655"/>
    </row>
    <row r="1811" spans="1:2">
      <c r="A1811" s="670"/>
      <c r="B1811" s="655"/>
    </row>
    <row r="1812" spans="1:2">
      <c r="A1812" s="670"/>
      <c r="B1812" s="655"/>
    </row>
    <row r="1813" spans="1:2">
      <c r="A1813" s="670"/>
      <c r="B1813" s="655"/>
    </row>
    <row r="1814" spans="1:2">
      <c r="A1814" s="670"/>
      <c r="B1814" s="655"/>
    </row>
    <row r="1815" spans="1:2">
      <c r="A1815" s="670"/>
      <c r="B1815" s="655"/>
    </row>
    <row r="1816" spans="1:2">
      <c r="A1816" s="670"/>
      <c r="B1816" s="655"/>
    </row>
    <row r="1817" spans="1:2">
      <c r="A1817" s="670"/>
      <c r="B1817" s="655"/>
    </row>
    <row r="1818" spans="1:2">
      <c r="A1818" s="670"/>
      <c r="B1818" s="655"/>
    </row>
    <row r="1819" spans="1:2">
      <c r="A1819" s="670"/>
      <c r="B1819" s="655"/>
    </row>
    <row r="1820" spans="1:2">
      <c r="A1820" s="670"/>
      <c r="B1820" s="655"/>
    </row>
    <row r="1821" spans="1:2">
      <c r="A1821" s="670"/>
      <c r="B1821" s="655"/>
    </row>
    <row r="1822" spans="1:2">
      <c r="A1822" s="670"/>
      <c r="B1822" s="655"/>
    </row>
    <row r="1823" spans="1:2">
      <c r="A1823" s="670"/>
      <c r="B1823" s="655"/>
    </row>
    <row r="1824" spans="1:2">
      <c r="A1824" s="670"/>
      <c r="B1824" s="655"/>
    </row>
    <row r="1825" spans="1:2">
      <c r="A1825" s="670"/>
      <c r="B1825" s="655"/>
    </row>
    <row r="1826" spans="1:2">
      <c r="A1826" s="670"/>
      <c r="B1826" s="655"/>
    </row>
    <row r="1827" spans="1:2">
      <c r="A1827" s="670"/>
      <c r="B1827" s="655"/>
    </row>
    <row r="1828" spans="1:2">
      <c r="A1828" s="670"/>
      <c r="B1828" s="655"/>
    </row>
    <row r="1829" spans="1:2">
      <c r="A1829" s="670"/>
      <c r="B1829" s="655"/>
    </row>
    <row r="1830" spans="1:2">
      <c r="A1830" s="670"/>
      <c r="B1830" s="655"/>
    </row>
    <row r="1831" spans="1:2">
      <c r="A1831" s="670"/>
      <c r="B1831" s="655"/>
    </row>
    <row r="1832" spans="1:2">
      <c r="A1832" s="670"/>
      <c r="B1832" s="655"/>
    </row>
    <row r="1833" spans="1:2">
      <c r="A1833" s="670"/>
      <c r="B1833" s="655"/>
    </row>
    <row r="1834" spans="1:2">
      <c r="A1834" s="670"/>
      <c r="B1834" s="655"/>
    </row>
    <row r="1835" spans="1:2">
      <c r="A1835" s="670"/>
      <c r="B1835" s="655"/>
    </row>
    <row r="1836" spans="1:2">
      <c r="A1836" s="670"/>
      <c r="B1836" s="655"/>
    </row>
    <row r="1837" spans="1:2">
      <c r="A1837" s="670"/>
      <c r="B1837" s="655"/>
    </row>
    <row r="1838" spans="1:2">
      <c r="A1838" s="670"/>
      <c r="B1838" s="655"/>
    </row>
    <row r="1839" spans="1:2">
      <c r="A1839" s="670"/>
      <c r="B1839" s="655"/>
    </row>
    <row r="1840" spans="1:2">
      <c r="A1840" s="670"/>
      <c r="B1840" s="655"/>
    </row>
    <row r="1841" spans="1:2">
      <c r="A1841" s="670"/>
      <c r="B1841" s="655"/>
    </row>
    <row r="1842" spans="1:2">
      <c r="A1842" s="670"/>
      <c r="B1842" s="655"/>
    </row>
    <row r="1843" spans="1:2">
      <c r="A1843" s="670"/>
      <c r="B1843" s="655"/>
    </row>
    <row r="1844" spans="1:2">
      <c r="A1844" s="670"/>
      <c r="B1844" s="655"/>
    </row>
    <row r="1845" spans="1:2">
      <c r="A1845" s="670"/>
      <c r="B1845" s="655"/>
    </row>
    <row r="1846" spans="1:2">
      <c r="A1846" s="670"/>
      <c r="B1846" s="655"/>
    </row>
    <row r="1847" spans="1:2">
      <c r="A1847" s="670"/>
      <c r="B1847" s="655"/>
    </row>
    <row r="1848" spans="1:2">
      <c r="A1848" s="670"/>
      <c r="B1848" s="655"/>
    </row>
    <row r="1849" spans="1:2">
      <c r="A1849" s="670"/>
      <c r="B1849" s="655"/>
    </row>
    <row r="1850" spans="1:2">
      <c r="A1850" s="670"/>
      <c r="B1850" s="655"/>
    </row>
    <row r="1851" spans="1:2">
      <c r="A1851" s="670"/>
      <c r="B1851" s="655"/>
    </row>
    <row r="1852" spans="1:2">
      <c r="A1852" s="670"/>
      <c r="B1852" s="655"/>
    </row>
    <row r="1853" spans="1:2">
      <c r="A1853" s="670"/>
      <c r="B1853" s="655"/>
    </row>
    <row r="1854" spans="1:2">
      <c r="A1854" s="670"/>
      <c r="B1854" s="655"/>
    </row>
    <row r="1855" spans="1:2">
      <c r="A1855" s="670"/>
      <c r="B1855" s="655"/>
    </row>
    <row r="1856" spans="1:2">
      <c r="A1856" s="670"/>
      <c r="B1856" s="655"/>
    </row>
    <row r="1857" spans="1:2">
      <c r="A1857" s="670"/>
      <c r="B1857" s="655"/>
    </row>
    <row r="1858" spans="1:2">
      <c r="A1858" s="670"/>
      <c r="B1858" s="655"/>
    </row>
    <row r="1859" spans="1:2">
      <c r="A1859" s="670"/>
      <c r="B1859" s="655"/>
    </row>
    <row r="1860" spans="1:2">
      <c r="A1860" s="670"/>
      <c r="B1860" s="655"/>
    </row>
    <row r="1861" spans="1:2">
      <c r="A1861" s="670"/>
      <c r="B1861" s="655"/>
    </row>
    <row r="1862" spans="1:2">
      <c r="A1862" s="670"/>
      <c r="B1862" s="655"/>
    </row>
    <row r="1863" spans="1:2">
      <c r="A1863" s="670"/>
      <c r="B1863" s="655"/>
    </row>
    <row r="1864" spans="1:2">
      <c r="A1864" s="670"/>
      <c r="B1864" s="655"/>
    </row>
    <row r="1865" spans="1:2">
      <c r="A1865" s="670"/>
      <c r="B1865" s="655"/>
    </row>
    <row r="1866" spans="1:2">
      <c r="A1866" s="670"/>
      <c r="B1866" s="655"/>
    </row>
    <row r="1867" spans="1:2">
      <c r="A1867" s="670"/>
      <c r="B1867" s="655"/>
    </row>
    <row r="1868" spans="1:2">
      <c r="A1868" s="670"/>
      <c r="B1868" s="655"/>
    </row>
    <row r="1869" spans="1:2">
      <c r="A1869" s="670"/>
      <c r="B1869" s="655"/>
    </row>
    <row r="1870" spans="1:2">
      <c r="A1870" s="670"/>
      <c r="B1870" s="655"/>
    </row>
    <row r="1871" spans="1:2">
      <c r="A1871" s="670"/>
      <c r="B1871" s="655"/>
    </row>
    <row r="1872" spans="1:2">
      <c r="A1872" s="670"/>
      <c r="B1872" s="655"/>
    </row>
    <row r="1873" spans="1:2">
      <c r="A1873" s="670"/>
      <c r="B1873" s="655"/>
    </row>
    <row r="1874" spans="1:2">
      <c r="A1874" s="670"/>
      <c r="B1874" s="655"/>
    </row>
    <row r="1875" spans="1:2">
      <c r="A1875" s="670"/>
      <c r="B1875" s="655"/>
    </row>
    <row r="1876" spans="1:2">
      <c r="A1876" s="670"/>
      <c r="B1876" s="655"/>
    </row>
    <row r="1877" spans="1:2">
      <c r="A1877" s="670"/>
      <c r="B1877" s="655"/>
    </row>
    <row r="1878" spans="1:2">
      <c r="A1878" s="670"/>
      <c r="B1878" s="655"/>
    </row>
    <row r="1879" spans="1:2">
      <c r="A1879" s="670"/>
      <c r="B1879" s="655"/>
    </row>
    <row r="1880" spans="1:2">
      <c r="A1880" s="670"/>
      <c r="B1880" s="655"/>
    </row>
    <row r="1881" spans="1:2">
      <c r="A1881" s="670"/>
      <c r="B1881" s="655"/>
    </row>
    <row r="1882" spans="1:2">
      <c r="A1882" s="670"/>
      <c r="B1882" s="655"/>
    </row>
    <row r="1883" spans="1:2">
      <c r="A1883" s="670"/>
      <c r="B1883" s="655"/>
    </row>
    <row r="1884" spans="1:2">
      <c r="A1884" s="670"/>
      <c r="B1884" s="655"/>
    </row>
    <row r="1885" spans="1:2">
      <c r="A1885" s="670"/>
      <c r="B1885" s="655"/>
    </row>
    <row r="1886" spans="1:2">
      <c r="A1886" s="670"/>
      <c r="B1886" s="655"/>
    </row>
    <row r="1887" spans="1:2">
      <c r="A1887" s="670"/>
      <c r="B1887" s="655"/>
    </row>
    <row r="1888" spans="1:2">
      <c r="A1888" s="670"/>
      <c r="B1888" s="655"/>
    </row>
    <row r="1889" spans="1:2">
      <c r="A1889" s="670"/>
      <c r="B1889" s="655"/>
    </row>
    <row r="1890" spans="1:2">
      <c r="A1890" s="670"/>
      <c r="B1890" s="655"/>
    </row>
    <row r="1891" spans="1:2">
      <c r="A1891" s="670"/>
      <c r="B1891" s="655"/>
    </row>
    <row r="1892" spans="1:2">
      <c r="A1892" s="670"/>
      <c r="B1892" s="655"/>
    </row>
    <row r="1893" spans="1:2">
      <c r="A1893" s="670"/>
      <c r="B1893" s="655"/>
    </row>
    <row r="1894" spans="1:2">
      <c r="A1894" s="670"/>
      <c r="B1894" s="655"/>
    </row>
    <row r="1895" spans="1:2">
      <c r="A1895" s="670"/>
      <c r="B1895" s="655"/>
    </row>
    <row r="1896" spans="1:2">
      <c r="A1896" s="670"/>
      <c r="B1896" s="655"/>
    </row>
    <row r="1897" spans="1:2">
      <c r="A1897" s="670"/>
      <c r="B1897" s="655"/>
    </row>
    <row r="1898" spans="1:2">
      <c r="A1898" s="670"/>
      <c r="B1898" s="655"/>
    </row>
    <row r="1899" spans="1:2">
      <c r="A1899" s="670"/>
      <c r="B1899" s="655"/>
    </row>
    <row r="1900" spans="1:2">
      <c r="A1900" s="670"/>
      <c r="B1900" s="655"/>
    </row>
    <row r="1901" spans="1:2">
      <c r="A1901" s="670"/>
      <c r="B1901" s="655"/>
    </row>
    <row r="1902" spans="1:2">
      <c r="A1902" s="670"/>
      <c r="B1902" s="655"/>
    </row>
    <row r="1903" spans="1:2">
      <c r="A1903" s="670"/>
      <c r="B1903" s="655"/>
    </row>
    <row r="1904" spans="1:2">
      <c r="A1904" s="670"/>
      <c r="B1904" s="655"/>
    </row>
    <row r="1905" spans="1:2">
      <c r="A1905" s="670"/>
      <c r="B1905" s="655"/>
    </row>
    <row r="1906" spans="1:2">
      <c r="A1906" s="670"/>
      <c r="B1906" s="655"/>
    </row>
    <row r="1907" spans="1:2">
      <c r="A1907" s="670"/>
      <c r="B1907" s="655"/>
    </row>
    <row r="1908" spans="1:2">
      <c r="A1908" s="670"/>
      <c r="B1908" s="655"/>
    </row>
    <row r="1909" spans="1:2">
      <c r="A1909" s="670"/>
      <c r="B1909" s="655"/>
    </row>
    <row r="1910" spans="1:2">
      <c r="A1910" s="670"/>
      <c r="B1910" s="655"/>
    </row>
    <row r="1911" spans="1:2">
      <c r="A1911" s="670"/>
      <c r="B1911" s="655"/>
    </row>
    <row r="1912" spans="1:2">
      <c r="A1912" s="670"/>
      <c r="B1912" s="655"/>
    </row>
    <row r="1913" spans="1:2">
      <c r="A1913" s="670"/>
      <c r="B1913" s="655"/>
    </row>
    <row r="1914" spans="1:2">
      <c r="A1914" s="670"/>
      <c r="B1914" s="655"/>
    </row>
    <row r="1915" spans="1:2">
      <c r="A1915" s="670"/>
      <c r="B1915" s="655"/>
    </row>
    <row r="1916" spans="1:2">
      <c r="A1916" s="670"/>
      <c r="B1916" s="655"/>
    </row>
    <row r="1917" spans="1:2">
      <c r="A1917" s="670"/>
      <c r="B1917" s="655"/>
    </row>
    <row r="1918" spans="1:2">
      <c r="A1918" s="670"/>
      <c r="B1918" s="655"/>
    </row>
    <row r="1919" spans="1:2">
      <c r="A1919" s="670"/>
      <c r="B1919" s="655"/>
    </row>
    <row r="1920" spans="1:2">
      <c r="A1920" s="670"/>
      <c r="B1920" s="655"/>
    </row>
    <row r="1921" spans="1:2">
      <c r="A1921" s="670"/>
      <c r="B1921" s="655"/>
    </row>
    <row r="1922" spans="1:2">
      <c r="A1922" s="670"/>
      <c r="B1922" s="655"/>
    </row>
    <row r="1923" spans="1:2">
      <c r="A1923" s="670"/>
      <c r="B1923" s="655"/>
    </row>
    <row r="1924" spans="1:2">
      <c r="A1924" s="670"/>
      <c r="B1924" s="655"/>
    </row>
    <row r="1925" spans="1:2">
      <c r="A1925" s="670"/>
      <c r="B1925" s="655"/>
    </row>
    <row r="1926" spans="1:2">
      <c r="A1926" s="670"/>
      <c r="B1926" s="655"/>
    </row>
    <row r="1927" spans="1:2">
      <c r="A1927" s="670"/>
      <c r="B1927" s="655"/>
    </row>
    <row r="1928" spans="1:2">
      <c r="A1928" s="670"/>
      <c r="B1928" s="655"/>
    </row>
    <row r="1929" spans="1:2">
      <c r="A1929" s="670"/>
      <c r="B1929" s="655"/>
    </row>
    <row r="1930" spans="1:2">
      <c r="A1930" s="670"/>
      <c r="B1930" s="655"/>
    </row>
    <row r="1931" spans="1:2">
      <c r="A1931" s="670"/>
      <c r="B1931" s="655"/>
    </row>
    <row r="1932" spans="1:2">
      <c r="A1932" s="670"/>
      <c r="B1932" s="655"/>
    </row>
    <row r="1933" spans="1:2">
      <c r="A1933" s="670"/>
      <c r="B1933" s="655"/>
    </row>
    <row r="1934" spans="1:2">
      <c r="A1934" s="670"/>
      <c r="B1934" s="655"/>
    </row>
    <row r="1935" spans="1:2">
      <c r="A1935" s="670"/>
      <c r="B1935" s="655"/>
    </row>
    <row r="1936" spans="1:2">
      <c r="A1936" s="670"/>
      <c r="B1936" s="655"/>
    </row>
    <row r="1937" spans="1:2">
      <c r="A1937" s="670"/>
      <c r="B1937" s="655"/>
    </row>
    <row r="1938" spans="1:2">
      <c r="A1938" s="670"/>
      <c r="B1938" s="655"/>
    </row>
    <row r="1939" spans="1:2">
      <c r="A1939" s="670"/>
      <c r="B1939" s="655"/>
    </row>
    <row r="1940" spans="1:2">
      <c r="A1940" s="670"/>
      <c r="B1940" s="655"/>
    </row>
    <row r="1941" spans="1:2">
      <c r="A1941" s="670"/>
      <c r="B1941" s="655"/>
    </row>
    <row r="1942" spans="1:2">
      <c r="A1942" s="670"/>
      <c r="B1942" s="655"/>
    </row>
    <row r="1943" spans="1:2">
      <c r="A1943" s="670"/>
      <c r="B1943" s="655"/>
    </row>
    <row r="1944" spans="1:2">
      <c r="A1944" s="670"/>
      <c r="B1944" s="655"/>
    </row>
    <row r="1945" spans="1:2">
      <c r="A1945" s="670"/>
      <c r="B1945" s="655"/>
    </row>
    <row r="1946" spans="1:2">
      <c r="A1946" s="670"/>
      <c r="B1946" s="655"/>
    </row>
    <row r="1947" spans="1:2">
      <c r="A1947" s="670"/>
      <c r="B1947" s="655"/>
    </row>
    <row r="1948" spans="1:2">
      <c r="A1948" s="670"/>
      <c r="B1948" s="655"/>
    </row>
    <row r="1949" spans="1:2">
      <c r="A1949" s="670"/>
      <c r="B1949" s="655"/>
    </row>
    <row r="1950" spans="1:2">
      <c r="A1950" s="670"/>
      <c r="B1950" s="655"/>
    </row>
    <row r="1951" spans="1:2">
      <c r="A1951" s="670"/>
      <c r="B1951" s="655"/>
    </row>
    <row r="1952" spans="1:2">
      <c r="A1952" s="670"/>
      <c r="B1952" s="655"/>
    </row>
    <row r="1953" spans="1:2">
      <c r="A1953" s="670"/>
      <c r="B1953" s="655"/>
    </row>
    <row r="1954" spans="1:2">
      <c r="A1954" s="670"/>
      <c r="B1954" s="655"/>
    </row>
    <row r="1955" spans="1:2">
      <c r="A1955" s="670"/>
      <c r="B1955" s="655"/>
    </row>
    <row r="1956" spans="1:2">
      <c r="A1956" s="670"/>
      <c r="B1956" s="655"/>
    </row>
    <row r="1957" spans="1:2">
      <c r="A1957" s="670"/>
      <c r="B1957" s="655"/>
    </row>
    <row r="1958" spans="1:2">
      <c r="A1958" s="670"/>
      <c r="B1958" s="655"/>
    </row>
    <row r="1959" spans="1:2">
      <c r="A1959" s="670"/>
      <c r="B1959" s="655"/>
    </row>
    <row r="1960" spans="1:2">
      <c r="A1960" s="670"/>
      <c r="B1960" s="655"/>
    </row>
    <row r="1961" spans="1:2">
      <c r="A1961" s="670"/>
      <c r="B1961" s="655"/>
    </row>
    <row r="1962" spans="1:2">
      <c r="A1962" s="670"/>
      <c r="B1962" s="655"/>
    </row>
    <row r="1963" spans="1:2">
      <c r="A1963" s="670"/>
      <c r="B1963" s="655"/>
    </row>
    <row r="1964" spans="1:2">
      <c r="A1964" s="670"/>
      <c r="B1964" s="655"/>
    </row>
    <row r="1965" spans="1:2">
      <c r="A1965" s="670"/>
      <c r="B1965" s="655"/>
    </row>
    <row r="1966" spans="1:2">
      <c r="A1966" s="670"/>
      <c r="B1966" s="655"/>
    </row>
    <row r="1967" spans="1:2">
      <c r="A1967" s="670"/>
      <c r="B1967" s="655"/>
    </row>
    <row r="1968" spans="1:2">
      <c r="A1968" s="670"/>
      <c r="B1968" s="655"/>
    </row>
    <row r="1969" spans="1:2">
      <c r="A1969" s="670"/>
      <c r="B1969" s="655"/>
    </row>
    <row r="1970" spans="1:2">
      <c r="A1970" s="670"/>
      <c r="B1970" s="655"/>
    </row>
    <row r="1971" spans="1:2">
      <c r="A1971" s="670"/>
      <c r="B1971" s="655"/>
    </row>
    <row r="1972" spans="1:2">
      <c r="A1972" s="670"/>
      <c r="B1972" s="655"/>
    </row>
    <row r="1973" spans="1:2">
      <c r="A1973" s="670"/>
      <c r="B1973" s="655"/>
    </row>
    <row r="1974" spans="1:2">
      <c r="A1974" s="670"/>
      <c r="B1974" s="655"/>
    </row>
    <row r="1975" spans="1:2">
      <c r="A1975" s="670"/>
      <c r="B1975" s="655"/>
    </row>
    <row r="1976" spans="1:2">
      <c r="A1976" s="670"/>
      <c r="B1976" s="655"/>
    </row>
    <row r="1977" spans="1:2">
      <c r="A1977" s="670"/>
      <c r="B1977" s="655"/>
    </row>
    <row r="1978" spans="1:2">
      <c r="A1978" s="670"/>
      <c r="B1978" s="655"/>
    </row>
    <row r="1979" spans="1:2">
      <c r="A1979" s="670"/>
      <c r="B1979" s="655"/>
    </row>
    <row r="1980" spans="1:2">
      <c r="A1980" s="670"/>
      <c r="B1980" s="655"/>
    </row>
    <row r="1981" spans="1:2">
      <c r="A1981" s="670"/>
      <c r="B1981" s="655"/>
    </row>
    <row r="1982" spans="1:2">
      <c r="A1982" s="670"/>
      <c r="B1982" s="655"/>
    </row>
    <row r="1983" spans="1:2">
      <c r="A1983" s="670"/>
      <c r="B1983" s="655"/>
    </row>
    <row r="1984" spans="1:2">
      <c r="A1984" s="670"/>
      <c r="B1984" s="655"/>
    </row>
    <row r="1985" spans="1:2">
      <c r="A1985" s="670"/>
      <c r="B1985" s="655"/>
    </row>
    <row r="1986" spans="1:2">
      <c r="A1986" s="670"/>
      <c r="B1986" s="655"/>
    </row>
    <row r="1987" spans="1:2">
      <c r="A1987" s="670"/>
      <c r="B1987" s="655"/>
    </row>
    <row r="1988" spans="1:2">
      <c r="A1988" s="670"/>
      <c r="B1988" s="655"/>
    </row>
    <row r="1989" spans="1:2">
      <c r="A1989" s="670"/>
      <c r="B1989" s="655"/>
    </row>
    <row r="1990" spans="1:2">
      <c r="A1990" s="670"/>
      <c r="B1990" s="655"/>
    </row>
    <row r="1991" spans="1:2">
      <c r="A1991" s="670"/>
      <c r="B1991" s="655"/>
    </row>
    <row r="1992" spans="1:2">
      <c r="A1992" s="670"/>
      <c r="B1992" s="655"/>
    </row>
    <row r="1993" spans="1:2">
      <c r="A1993" s="670"/>
      <c r="B1993" s="655"/>
    </row>
    <row r="1994" spans="1:2">
      <c r="A1994" s="670"/>
      <c r="B1994" s="655"/>
    </row>
    <row r="1995" spans="1:2">
      <c r="A1995" s="670"/>
      <c r="B1995" s="655"/>
    </row>
    <row r="1996" spans="1:2">
      <c r="A1996" s="670"/>
      <c r="B1996" s="655"/>
    </row>
    <row r="1997" spans="1:2">
      <c r="A1997" s="670"/>
      <c r="B1997" s="655"/>
    </row>
    <row r="1998" spans="1:2">
      <c r="A1998" s="670"/>
      <c r="B1998" s="655"/>
    </row>
    <row r="1999" spans="1:2">
      <c r="A1999" s="670"/>
      <c r="B1999" s="655"/>
    </row>
    <row r="2000" spans="1:2">
      <c r="A2000" s="670"/>
      <c r="B2000" s="655"/>
    </row>
    <row r="2001" spans="1:2">
      <c r="A2001" s="670"/>
      <c r="B2001" s="655"/>
    </row>
    <row r="2002" spans="1:2">
      <c r="A2002" s="670"/>
      <c r="B2002" s="655"/>
    </row>
    <row r="2003" spans="1:2">
      <c r="A2003" s="670"/>
      <c r="B2003" s="655"/>
    </row>
    <row r="2004" spans="1:2">
      <c r="A2004" s="670"/>
      <c r="B2004" s="655"/>
    </row>
    <row r="2005" spans="1:2">
      <c r="A2005" s="670"/>
      <c r="B2005" s="655"/>
    </row>
    <row r="2006" spans="1:2">
      <c r="A2006" s="670"/>
      <c r="B2006" s="655"/>
    </row>
    <row r="2007" spans="1:2">
      <c r="A2007" s="670"/>
      <c r="B2007" s="655"/>
    </row>
    <row r="2008" spans="1:2">
      <c r="A2008" s="670"/>
      <c r="B2008" s="655"/>
    </row>
    <row r="2009" spans="1:2">
      <c r="A2009" s="670"/>
      <c r="B2009" s="655"/>
    </row>
    <row r="2010" spans="1:2">
      <c r="A2010" s="670"/>
      <c r="B2010" s="655"/>
    </row>
    <row r="2011" spans="1:2">
      <c r="A2011" s="670"/>
      <c r="B2011" s="655"/>
    </row>
    <row r="2012" spans="1:2">
      <c r="A2012" s="670"/>
      <c r="B2012" s="655"/>
    </row>
    <row r="2013" spans="1:2">
      <c r="A2013" s="670"/>
      <c r="B2013" s="655"/>
    </row>
    <row r="2014" spans="1:2">
      <c r="A2014" s="670"/>
      <c r="B2014" s="655"/>
    </row>
    <row r="2015" spans="1:2">
      <c r="A2015" s="670"/>
      <c r="B2015" s="655"/>
    </row>
    <row r="2016" spans="1:2">
      <c r="A2016" s="670"/>
      <c r="B2016" s="655"/>
    </row>
    <row r="2017" spans="1:2">
      <c r="A2017" s="670"/>
      <c r="B2017" s="655"/>
    </row>
    <row r="2018" spans="1:2">
      <c r="A2018" s="670"/>
      <c r="B2018" s="655"/>
    </row>
    <row r="2019" spans="1:2">
      <c r="A2019" s="670"/>
      <c r="B2019" s="655"/>
    </row>
    <row r="2020" spans="1:2">
      <c r="A2020" s="670"/>
      <c r="B2020" s="655"/>
    </row>
    <row r="2021" spans="1:2">
      <c r="A2021" s="670"/>
      <c r="B2021" s="655"/>
    </row>
    <row r="2022" spans="1:2">
      <c r="A2022" s="670"/>
      <c r="B2022" s="655"/>
    </row>
    <row r="2023" spans="1:2">
      <c r="A2023" s="670"/>
      <c r="B2023" s="655"/>
    </row>
    <row r="2024" spans="1:2">
      <c r="A2024" s="670"/>
      <c r="B2024" s="655"/>
    </row>
    <row r="2025" spans="1:2">
      <c r="A2025" s="670"/>
      <c r="B2025" s="655"/>
    </row>
    <row r="2026" spans="1:2">
      <c r="A2026" s="670"/>
      <c r="B2026" s="655"/>
    </row>
    <row r="2027" spans="1:2">
      <c r="A2027" s="670"/>
      <c r="B2027" s="655"/>
    </row>
    <row r="2028" spans="1:2">
      <c r="A2028" s="670"/>
      <c r="B2028" s="655"/>
    </row>
    <row r="2029" spans="1:2">
      <c r="A2029" s="670"/>
      <c r="B2029" s="655"/>
    </row>
    <row r="2030" spans="1:2">
      <c r="A2030" s="670"/>
      <c r="B2030" s="655"/>
    </row>
    <row r="2031" spans="1:2">
      <c r="A2031" s="670"/>
      <c r="B2031" s="655"/>
    </row>
    <row r="2032" spans="1:2">
      <c r="A2032" s="670"/>
      <c r="B2032" s="655"/>
    </row>
    <row r="2033" spans="1:2">
      <c r="A2033" s="670"/>
      <c r="B2033" s="655"/>
    </row>
    <row r="2034" spans="1:2">
      <c r="A2034" s="670"/>
      <c r="B2034" s="655"/>
    </row>
    <row r="2035" spans="1:2">
      <c r="A2035" s="670"/>
      <c r="B2035" s="655"/>
    </row>
    <row r="2036" spans="1:2">
      <c r="A2036" s="670"/>
      <c r="B2036" s="655"/>
    </row>
    <row r="2037" spans="1:2">
      <c r="A2037" s="670"/>
      <c r="B2037" s="655"/>
    </row>
    <row r="2038" spans="1:2">
      <c r="A2038" s="670"/>
      <c r="B2038" s="655"/>
    </row>
    <row r="2039" spans="1:2">
      <c r="A2039" s="670"/>
      <c r="B2039" s="655"/>
    </row>
    <row r="2040" spans="1:2">
      <c r="A2040" s="670"/>
      <c r="B2040" s="655"/>
    </row>
    <row r="2041" spans="1:2">
      <c r="A2041" s="670"/>
      <c r="B2041" s="655"/>
    </row>
    <row r="2042" spans="1:2">
      <c r="A2042" s="670"/>
      <c r="B2042" s="655"/>
    </row>
    <row r="2043" spans="1:2">
      <c r="A2043" s="670"/>
      <c r="B2043" s="655"/>
    </row>
    <row r="2044" spans="1:2">
      <c r="A2044" s="670"/>
      <c r="B2044" s="655"/>
    </row>
    <row r="2045" spans="1:2">
      <c r="A2045" s="670"/>
      <c r="B2045" s="655"/>
    </row>
    <row r="2046" spans="1:2">
      <c r="A2046" s="670"/>
      <c r="B2046" s="655"/>
    </row>
    <row r="2047" spans="1:2">
      <c r="A2047" s="670"/>
      <c r="B2047" s="655"/>
    </row>
    <row r="2048" spans="1:2">
      <c r="A2048" s="670"/>
      <c r="B2048" s="655"/>
    </row>
    <row r="2049" spans="1:2">
      <c r="A2049" s="670"/>
      <c r="B2049" s="655"/>
    </row>
    <row r="2050" spans="1:2">
      <c r="A2050" s="670"/>
      <c r="B2050" s="655"/>
    </row>
    <row r="2051" spans="1:2">
      <c r="A2051" s="670"/>
      <c r="B2051" s="655"/>
    </row>
    <row r="2052" spans="1:2">
      <c r="A2052" s="670"/>
      <c r="B2052" s="655"/>
    </row>
    <row r="2053" spans="1:2">
      <c r="A2053" s="670"/>
      <c r="B2053" s="655"/>
    </row>
    <row r="2054" spans="1:2">
      <c r="A2054" s="670"/>
      <c r="B2054" s="655"/>
    </row>
    <row r="2055" spans="1:2">
      <c r="A2055" s="670"/>
      <c r="B2055" s="655"/>
    </row>
    <row r="2056" spans="1:2">
      <c r="A2056" s="670"/>
      <c r="B2056" s="655"/>
    </row>
    <row r="2057" spans="1:2">
      <c r="A2057" s="670"/>
      <c r="B2057" s="655"/>
    </row>
    <row r="2058" spans="1:2">
      <c r="A2058" s="670"/>
      <c r="B2058" s="655"/>
    </row>
    <row r="2059" spans="1:2">
      <c r="A2059" s="670"/>
      <c r="B2059" s="655"/>
    </row>
    <row r="2060" spans="1:2">
      <c r="A2060" s="670"/>
      <c r="B2060" s="655"/>
    </row>
    <row r="2061" spans="1:2">
      <c r="A2061" s="670"/>
      <c r="B2061" s="655"/>
    </row>
    <row r="2062" spans="1:2">
      <c r="A2062" s="670"/>
      <c r="B2062" s="655"/>
    </row>
    <row r="2063" spans="1:2">
      <c r="A2063" s="670"/>
      <c r="B2063" s="655"/>
    </row>
    <row r="2064" spans="1:2">
      <c r="A2064" s="670"/>
      <c r="B2064" s="655"/>
    </row>
    <row r="2065" spans="1:2">
      <c r="A2065" s="670"/>
      <c r="B2065" s="655"/>
    </row>
    <row r="2066" spans="1:2">
      <c r="A2066" s="670"/>
      <c r="B2066" s="655"/>
    </row>
    <row r="2067" spans="1:2">
      <c r="A2067" s="670"/>
      <c r="B2067" s="655"/>
    </row>
    <row r="2068" spans="1:2">
      <c r="A2068" s="670"/>
      <c r="B2068" s="655"/>
    </row>
    <row r="2069" spans="1:2">
      <c r="A2069" s="670"/>
      <c r="B2069" s="655"/>
    </row>
    <row r="2070" spans="1:2">
      <c r="A2070" s="670"/>
      <c r="B2070" s="655"/>
    </row>
    <row r="2071" spans="1:2">
      <c r="A2071" s="670"/>
      <c r="B2071" s="655"/>
    </row>
    <row r="2072" spans="1:2">
      <c r="A2072" s="670"/>
      <c r="B2072" s="655"/>
    </row>
    <row r="2073" spans="1:2">
      <c r="A2073" s="670"/>
      <c r="B2073" s="655"/>
    </row>
    <row r="2074" spans="1:2">
      <c r="A2074" s="670"/>
      <c r="B2074" s="655"/>
    </row>
    <row r="2075" spans="1:2">
      <c r="A2075" s="670"/>
      <c r="B2075" s="655"/>
    </row>
    <row r="2076" spans="1:2">
      <c r="A2076" s="670"/>
      <c r="B2076" s="655"/>
    </row>
    <row r="2077" spans="1:2">
      <c r="A2077" s="670"/>
      <c r="B2077" s="655"/>
    </row>
    <row r="2078" spans="1:2">
      <c r="A2078" s="670"/>
      <c r="B2078" s="655"/>
    </row>
    <row r="2079" spans="1:2">
      <c r="A2079" s="670"/>
      <c r="B2079" s="655"/>
    </row>
    <row r="2080" spans="1:2">
      <c r="A2080" s="670"/>
      <c r="B2080" s="655"/>
    </row>
    <row r="2081" spans="1:2">
      <c r="A2081" s="670"/>
      <c r="B2081" s="655"/>
    </row>
    <row r="2082" spans="1:2">
      <c r="A2082" s="670"/>
      <c r="B2082" s="655"/>
    </row>
    <row r="2083" spans="1:2">
      <c r="A2083" s="670"/>
      <c r="B2083" s="655"/>
    </row>
    <row r="2084" spans="1:2">
      <c r="A2084" s="670"/>
      <c r="B2084" s="655"/>
    </row>
    <row r="2085" spans="1:2">
      <c r="A2085" s="670"/>
      <c r="B2085" s="655"/>
    </row>
    <row r="2086" spans="1:2">
      <c r="A2086" s="670"/>
      <c r="B2086" s="655"/>
    </row>
    <row r="2087" spans="1:2">
      <c r="A2087" s="670"/>
      <c r="B2087" s="655"/>
    </row>
    <row r="2088" spans="1:2">
      <c r="A2088" s="670"/>
      <c r="B2088" s="655"/>
    </row>
    <row r="2089" spans="1:2">
      <c r="A2089" s="670"/>
      <c r="B2089" s="655"/>
    </row>
    <row r="2090" spans="1:2">
      <c r="A2090" s="670"/>
      <c r="B2090" s="655"/>
    </row>
    <row r="2091" spans="1:2">
      <c r="A2091" s="670"/>
      <c r="B2091" s="655"/>
    </row>
    <row r="2092" spans="1:2">
      <c r="A2092" s="670"/>
      <c r="B2092" s="655"/>
    </row>
    <row r="2093" spans="1:2">
      <c r="A2093" s="670"/>
      <c r="B2093" s="655"/>
    </row>
    <row r="2094" spans="1:2">
      <c r="A2094" s="670"/>
      <c r="B2094" s="655"/>
    </row>
    <row r="2095" spans="1:2">
      <c r="A2095" s="670"/>
      <c r="B2095" s="655"/>
    </row>
    <row r="2096" spans="1:2">
      <c r="A2096" s="670"/>
      <c r="B2096" s="655"/>
    </row>
    <row r="2097" spans="1:2">
      <c r="A2097" s="670"/>
      <c r="B2097" s="655"/>
    </row>
    <row r="2098" spans="1:2">
      <c r="A2098" s="670"/>
      <c r="B2098" s="655"/>
    </row>
    <row r="2099" spans="1:2">
      <c r="A2099" s="670"/>
      <c r="B2099" s="655"/>
    </row>
    <row r="2100" spans="1:2">
      <c r="A2100" s="670"/>
      <c r="B2100" s="655"/>
    </row>
    <row r="2101" spans="1:2">
      <c r="A2101" s="670"/>
      <c r="B2101" s="655"/>
    </row>
    <row r="2102" spans="1:2">
      <c r="A2102" s="670"/>
      <c r="B2102" s="655"/>
    </row>
    <row r="2103" spans="1:2">
      <c r="A2103" s="670"/>
      <c r="B2103" s="655"/>
    </row>
    <row r="2104" spans="1:2">
      <c r="A2104" s="670"/>
      <c r="B2104" s="655"/>
    </row>
    <row r="2105" spans="1:2">
      <c r="A2105" s="670"/>
      <c r="B2105" s="655"/>
    </row>
    <row r="2106" spans="1:2">
      <c r="A2106" s="670"/>
      <c r="B2106" s="655"/>
    </row>
    <row r="2107" spans="1:2">
      <c r="A2107" s="670"/>
      <c r="B2107" s="655"/>
    </row>
    <row r="2108" spans="1:2">
      <c r="A2108" s="670"/>
      <c r="B2108" s="655"/>
    </row>
    <row r="2109" spans="1:2">
      <c r="A2109" s="670"/>
      <c r="B2109" s="655"/>
    </row>
    <row r="2110" spans="1:2">
      <c r="A2110" s="670"/>
      <c r="B2110" s="655"/>
    </row>
    <row r="2111" spans="1:2">
      <c r="A2111" s="670"/>
      <c r="B2111" s="655"/>
    </row>
    <row r="2112" spans="1:2">
      <c r="A2112" s="670"/>
      <c r="B2112" s="655"/>
    </row>
    <row r="2113" spans="1:2">
      <c r="A2113" s="670"/>
      <c r="B2113" s="655"/>
    </row>
    <row r="2114" spans="1:2">
      <c r="A2114" s="670"/>
      <c r="B2114" s="655"/>
    </row>
    <row r="2115" spans="1:2">
      <c r="A2115" s="670"/>
      <c r="B2115" s="655"/>
    </row>
    <row r="2116" spans="1:2">
      <c r="A2116" s="670"/>
      <c r="B2116" s="655"/>
    </row>
    <row r="2117" spans="1:2">
      <c r="A2117" s="670"/>
      <c r="B2117" s="655"/>
    </row>
    <row r="2118" spans="1:2">
      <c r="A2118" s="670"/>
      <c r="B2118" s="655"/>
    </row>
    <row r="2119" spans="1:2">
      <c r="A2119" s="670"/>
      <c r="B2119" s="655"/>
    </row>
    <row r="2120" spans="1:2">
      <c r="A2120" s="670"/>
      <c r="B2120" s="655"/>
    </row>
    <row r="2121" spans="1:2">
      <c r="A2121" s="670"/>
      <c r="B2121" s="655"/>
    </row>
    <row r="2122" spans="1:2">
      <c r="A2122" s="670"/>
      <c r="B2122" s="655"/>
    </row>
    <row r="2123" spans="1:2">
      <c r="A2123" s="670"/>
      <c r="B2123" s="655"/>
    </row>
    <row r="2124" spans="1:2">
      <c r="A2124" s="670"/>
      <c r="B2124" s="655"/>
    </row>
    <row r="2125" spans="1:2">
      <c r="A2125" s="670"/>
      <c r="B2125" s="655"/>
    </row>
    <row r="2126" spans="1:2">
      <c r="A2126" s="670"/>
      <c r="B2126" s="655"/>
    </row>
    <row r="2127" spans="1:2">
      <c r="A2127" s="670"/>
      <c r="B2127" s="655"/>
    </row>
    <row r="2128" spans="1:2">
      <c r="A2128" s="670"/>
      <c r="B2128" s="655"/>
    </row>
    <row r="2129" spans="1:2">
      <c r="A2129" s="670"/>
      <c r="B2129" s="655"/>
    </row>
    <row r="2130" spans="1:2">
      <c r="A2130" s="670"/>
      <c r="B2130" s="655"/>
    </row>
    <row r="2131" spans="1:2">
      <c r="A2131" s="670"/>
      <c r="B2131" s="655"/>
    </row>
    <row r="2132" spans="1:2">
      <c r="A2132" s="670"/>
      <c r="B2132" s="655"/>
    </row>
    <row r="2133" spans="1:2">
      <c r="A2133" s="670"/>
      <c r="B2133" s="655"/>
    </row>
    <row r="2134" spans="1:2">
      <c r="A2134" s="670"/>
      <c r="B2134" s="655"/>
    </row>
    <row r="2135" spans="1:2">
      <c r="A2135" s="670"/>
      <c r="B2135" s="655"/>
    </row>
    <row r="2136" spans="1:2">
      <c r="A2136" s="670"/>
      <c r="B2136" s="655"/>
    </row>
    <row r="2137" spans="1:2">
      <c r="A2137" s="670"/>
      <c r="B2137" s="655"/>
    </row>
    <row r="2138" spans="1:2">
      <c r="A2138" s="670"/>
      <c r="B2138" s="655"/>
    </row>
    <row r="2139" spans="1:2">
      <c r="A2139" s="670"/>
      <c r="B2139" s="655"/>
    </row>
    <row r="2140" spans="1:2">
      <c r="A2140" s="670"/>
      <c r="B2140" s="655"/>
    </row>
    <row r="2141" spans="1:2">
      <c r="A2141" s="670"/>
      <c r="B2141" s="655"/>
    </row>
    <row r="2142" spans="1:2">
      <c r="A2142" s="670"/>
      <c r="B2142" s="655"/>
    </row>
    <row r="2143" spans="1:2">
      <c r="A2143" s="670"/>
      <c r="B2143" s="655"/>
    </row>
    <row r="2144" spans="1:2">
      <c r="A2144" s="670"/>
      <c r="B2144" s="655"/>
    </row>
    <row r="2145" spans="1:2">
      <c r="A2145" s="670"/>
      <c r="B2145" s="655"/>
    </row>
    <row r="2146" spans="1:2">
      <c r="A2146" s="670"/>
      <c r="B2146" s="655"/>
    </row>
    <row r="2147" spans="1:2">
      <c r="A2147" s="670"/>
      <c r="B2147" s="655"/>
    </row>
    <row r="2148" spans="1:2">
      <c r="A2148" s="670"/>
      <c r="B2148" s="655"/>
    </row>
    <row r="2149" spans="1:2">
      <c r="A2149" s="670"/>
      <c r="B2149" s="655"/>
    </row>
    <row r="2150" spans="1:2">
      <c r="A2150" s="670"/>
      <c r="B2150" s="655"/>
    </row>
    <row r="2151" spans="1:2">
      <c r="A2151" s="670"/>
      <c r="B2151" s="655"/>
    </row>
    <row r="2152" spans="1:2">
      <c r="A2152" s="670"/>
      <c r="B2152" s="655"/>
    </row>
    <row r="2153" spans="1:2">
      <c r="A2153" s="670"/>
      <c r="B2153" s="655"/>
    </row>
    <row r="2154" spans="1:2">
      <c r="A2154" s="670"/>
      <c r="B2154" s="655"/>
    </row>
    <row r="2155" spans="1:2">
      <c r="A2155" s="670"/>
      <c r="B2155" s="655"/>
    </row>
    <row r="2156" spans="1:2">
      <c r="A2156" s="670"/>
      <c r="B2156" s="655"/>
    </row>
    <row r="2157" spans="1:2">
      <c r="A2157" s="670"/>
      <c r="B2157" s="655"/>
    </row>
    <row r="2158" spans="1:2">
      <c r="A2158" s="670"/>
      <c r="B2158" s="655"/>
    </row>
    <row r="2159" spans="1:2">
      <c r="A2159" s="670"/>
      <c r="B2159" s="655"/>
    </row>
    <row r="2160" spans="1:2">
      <c r="A2160" s="670"/>
      <c r="B2160" s="655"/>
    </row>
    <row r="2161" spans="1:2">
      <c r="A2161" s="670"/>
      <c r="B2161" s="655"/>
    </row>
    <row r="2162" spans="1:2">
      <c r="A2162" s="670"/>
      <c r="B2162" s="655"/>
    </row>
    <row r="2163" spans="1:2">
      <c r="A2163" s="670"/>
      <c r="B2163" s="655"/>
    </row>
    <row r="2164" spans="1:2">
      <c r="A2164" s="670"/>
      <c r="B2164" s="655"/>
    </row>
    <row r="2165" spans="1:2">
      <c r="A2165" s="670"/>
      <c r="B2165" s="655"/>
    </row>
    <row r="2166" spans="1:2">
      <c r="A2166" s="670"/>
      <c r="B2166" s="655"/>
    </row>
    <row r="2167" spans="1:2">
      <c r="A2167" s="670"/>
      <c r="B2167" s="655"/>
    </row>
    <row r="2168" spans="1:2">
      <c r="A2168" s="670"/>
      <c r="B2168" s="655"/>
    </row>
    <row r="2169" spans="1:2">
      <c r="A2169" s="670"/>
      <c r="B2169" s="655"/>
    </row>
    <row r="2170" spans="1:2">
      <c r="A2170" s="670"/>
      <c r="B2170" s="655"/>
    </row>
    <row r="2171" spans="1:2">
      <c r="A2171" s="670"/>
      <c r="B2171" s="655"/>
    </row>
    <row r="2172" spans="1:2">
      <c r="A2172" s="670"/>
      <c r="B2172" s="655"/>
    </row>
    <row r="2173" spans="1:2">
      <c r="A2173" s="670"/>
      <c r="B2173" s="655"/>
    </row>
    <row r="2174" spans="1:2">
      <c r="A2174" s="670"/>
      <c r="B2174" s="655"/>
    </row>
    <row r="2175" spans="1:2">
      <c r="A2175" s="670"/>
      <c r="B2175" s="655"/>
    </row>
    <row r="2176" spans="1:2">
      <c r="A2176" s="670"/>
      <c r="B2176" s="655"/>
    </row>
    <row r="2177" spans="1:2">
      <c r="A2177" s="670"/>
      <c r="B2177" s="655"/>
    </row>
    <row r="2178" spans="1:2">
      <c r="A2178" s="670"/>
      <c r="B2178" s="655"/>
    </row>
    <row r="2179" spans="1:2">
      <c r="A2179" s="670"/>
      <c r="B2179" s="655"/>
    </row>
    <row r="2180" spans="1:2">
      <c r="A2180" s="670"/>
      <c r="B2180" s="655"/>
    </row>
    <row r="2181" spans="1:2">
      <c r="A2181" s="670"/>
      <c r="B2181" s="655"/>
    </row>
    <row r="2182" spans="1:2">
      <c r="A2182" s="670"/>
      <c r="B2182" s="655"/>
    </row>
    <row r="2183" spans="1:2">
      <c r="A2183" s="670"/>
      <c r="B2183" s="655"/>
    </row>
    <row r="2184" spans="1:2">
      <c r="A2184" s="670"/>
      <c r="B2184" s="655"/>
    </row>
    <row r="2185" spans="1:2">
      <c r="A2185" s="670"/>
      <c r="B2185" s="655"/>
    </row>
    <row r="2186" spans="1:2">
      <c r="A2186" s="670"/>
      <c r="B2186" s="655"/>
    </row>
    <row r="2187" spans="1:2">
      <c r="A2187" s="670"/>
      <c r="B2187" s="655"/>
    </row>
    <row r="2188" spans="1:2">
      <c r="A2188" s="670"/>
      <c r="B2188" s="655"/>
    </row>
    <row r="2189" spans="1:2">
      <c r="A2189" s="670"/>
      <c r="B2189" s="655"/>
    </row>
    <row r="2190" spans="1:2">
      <c r="A2190" s="670"/>
      <c r="B2190" s="655"/>
    </row>
    <row r="2191" spans="1:2">
      <c r="A2191" s="670"/>
      <c r="B2191" s="655"/>
    </row>
    <row r="2192" spans="1:2">
      <c r="A2192" s="670"/>
      <c r="B2192" s="655"/>
    </row>
    <row r="2193" spans="1:2">
      <c r="A2193" s="670"/>
      <c r="B2193" s="655"/>
    </row>
    <row r="2194" spans="1:2">
      <c r="A2194" s="670"/>
      <c r="B2194" s="655"/>
    </row>
    <row r="2195" spans="1:2">
      <c r="A2195" s="670"/>
      <c r="B2195" s="655"/>
    </row>
    <row r="2196" spans="1:2">
      <c r="A2196" s="670"/>
      <c r="B2196" s="655"/>
    </row>
    <row r="2197" spans="1:2">
      <c r="A2197" s="670"/>
      <c r="B2197" s="655"/>
    </row>
    <row r="2198" spans="1:2">
      <c r="A2198" s="670"/>
      <c r="B2198" s="655"/>
    </row>
    <row r="2199" spans="1:2">
      <c r="A2199" s="670"/>
      <c r="B2199" s="655"/>
    </row>
    <row r="2200" spans="1:2">
      <c r="A2200" s="670"/>
      <c r="B2200" s="655"/>
    </row>
    <row r="2201" spans="1:2">
      <c r="A2201" s="670"/>
      <c r="B2201" s="655"/>
    </row>
    <row r="2202" spans="1:2">
      <c r="A2202" s="670"/>
      <c r="B2202" s="655"/>
    </row>
    <row r="2203" spans="1:2">
      <c r="A2203" s="670"/>
      <c r="B2203" s="655"/>
    </row>
    <row r="2204" spans="1:2">
      <c r="A2204" s="670"/>
      <c r="B2204" s="655"/>
    </row>
    <row r="2205" spans="1:2">
      <c r="A2205" s="670"/>
      <c r="B2205" s="655"/>
    </row>
    <row r="2206" spans="1:2">
      <c r="A2206" s="670"/>
      <c r="B2206" s="655"/>
    </row>
    <row r="2207" spans="1:2">
      <c r="A2207" s="670"/>
      <c r="B2207" s="655"/>
    </row>
    <row r="2208" spans="1:2">
      <c r="A2208" s="670"/>
      <c r="B2208" s="655"/>
    </row>
    <row r="2209" spans="1:2">
      <c r="A2209" s="670"/>
      <c r="B2209" s="655"/>
    </row>
    <row r="2210" spans="1:2">
      <c r="A2210" s="670"/>
      <c r="B2210" s="655"/>
    </row>
    <row r="2211" spans="1:2">
      <c r="A2211" s="670"/>
      <c r="B2211" s="655"/>
    </row>
    <row r="2212" spans="1:2">
      <c r="A2212" s="670"/>
      <c r="B2212" s="655"/>
    </row>
    <row r="2213" spans="1:2">
      <c r="A2213" s="670"/>
      <c r="B2213" s="655"/>
    </row>
    <row r="2214" spans="1:2">
      <c r="A2214" s="670"/>
      <c r="B2214" s="655"/>
    </row>
    <row r="2215" spans="1:2">
      <c r="A2215" s="670"/>
      <c r="B2215" s="655"/>
    </row>
    <row r="2216" spans="1:2">
      <c r="A2216" s="670"/>
      <c r="B2216" s="655"/>
    </row>
    <row r="2217" spans="1:2">
      <c r="A2217" s="670"/>
      <c r="B2217" s="655"/>
    </row>
    <row r="2218" spans="1:2">
      <c r="A2218" s="670"/>
      <c r="B2218" s="655"/>
    </row>
    <row r="2219" spans="1:2">
      <c r="A2219" s="670"/>
      <c r="B2219" s="655"/>
    </row>
    <row r="2220" spans="1:2">
      <c r="A2220" s="670"/>
      <c r="B2220" s="655"/>
    </row>
    <row r="2221" spans="1:2">
      <c r="A2221" s="670"/>
      <c r="B2221" s="655"/>
    </row>
    <row r="2222" spans="1:2">
      <c r="A2222" s="670"/>
      <c r="B2222" s="655"/>
    </row>
    <row r="2223" spans="1:2">
      <c r="A2223" s="670"/>
      <c r="B2223" s="655"/>
    </row>
    <row r="2224" spans="1:2">
      <c r="A2224" s="670"/>
      <c r="B2224" s="655"/>
    </row>
    <row r="2225" spans="1:2">
      <c r="A2225" s="670"/>
      <c r="B2225" s="655"/>
    </row>
    <row r="2226" spans="1:2">
      <c r="A2226" s="670"/>
      <c r="B2226" s="655"/>
    </row>
    <row r="2227" spans="1:2">
      <c r="A2227" s="670"/>
      <c r="B2227" s="655"/>
    </row>
    <row r="2228" spans="1:2">
      <c r="A2228" s="670"/>
      <c r="B2228" s="655"/>
    </row>
    <row r="2229" spans="1:2">
      <c r="A2229" s="670"/>
      <c r="B2229" s="655"/>
    </row>
    <row r="2230" spans="1:2">
      <c r="A2230" s="670"/>
      <c r="B2230" s="655"/>
    </row>
    <row r="2231" spans="1:2">
      <c r="A2231" s="670"/>
      <c r="B2231" s="655"/>
    </row>
    <row r="2232" spans="1:2">
      <c r="A2232" s="670"/>
      <c r="B2232" s="655"/>
    </row>
    <row r="2233" spans="1:2">
      <c r="A2233" s="670"/>
      <c r="B2233" s="655"/>
    </row>
    <row r="2234" spans="1:2">
      <c r="A2234" s="670"/>
      <c r="B2234" s="655"/>
    </row>
    <row r="2235" spans="1:2">
      <c r="A2235" s="670"/>
      <c r="B2235" s="655"/>
    </row>
    <row r="2236" spans="1:2">
      <c r="A2236" s="670"/>
      <c r="B2236" s="655"/>
    </row>
    <row r="2237" spans="1:2">
      <c r="A2237" s="670"/>
      <c r="B2237" s="655"/>
    </row>
    <row r="2238" spans="1:2">
      <c r="A2238" s="670"/>
      <c r="B2238" s="655"/>
    </row>
    <row r="2239" spans="1:2">
      <c r="A2239" s="670"/>
      <c r="B2239" s="655"/>
    </row>
    <row r="2240" spans="1:2">
      <c r="A2240" s="670"/>
      <c r="B2240" s="655"/>
    </row>
    <row r="2241" spans="1:2">
      <c r="A2241" s="670"/>
      <c r="B2241" s="655"/>
    </row>
    <row r="2242" spans="1:2">
      <c r="A2242" s="670"/>
      <c r="B2242" s="655"/>
    </row>
    <row r="2243" spans="1:2">
      <c r="A2243" s="670"/>
      <c r="B2243" s="655"/>
    </row>
    <row r="2244" spans="1:2">
      <c r="A2244" s="670"/>
      <c r="B2244" s="655"/>
    </row>
    <row r="2245" spans="1:2">
      <c r="A2245" s="670"/>
      <c r="B2245" s="655"/>
    </row>
    <row r="2246" spans="1:2">
      <c r="A2246" s="670"/>
      <c r="B2246" s="655"/>
    </row>
    <row r="2247" spans="1:2">
      <c r="A2247" s="670"/>
      <c r="B2247" s="655"/>
    </row>
    <row r="2248" spans="1:2">
      <c r="A2248" s="670"/>
      <c r="B2248" s="655"/>
    </row>
    <row r="2249" spans="1:2">
      <c r="A2249" s="670"/>
      <c r="B2249" s="655"/>
    </row>
    <row r="2250" spans="1:2">
      <c r="A2250" s="670"/>
      <c r="B2250" s="655"/>
    </row>
    <row r="2251" spans="1:2">
      <c r="A2251" s="670"/>
      <c r="B2251" s="655"/>
    </row>
    <row r="2252" spans="1:2">
      <c r="A2252" s="670"/>
      <c r="B2252" s="655"/>
    </row>
    <row r="2253" spans="1:2">
      <c r="A2253" s="670"/>
      <c r="B2253" s="655"/>
    </row>
    <row r="2254" spans="1:2">
      <c r="A2254" s="670"/>
      <c r="B2254" s="655"/>
    </row>
    <row r="2255" spans="1:2">
      <c r="A2255" s="670"/>
      <c r="B2255" s="655"/>
    </row>
    <row r="2256" spans="1:2">
      <c r="A2256" s="670"/>
      <c r="B2256" s="655"/>
    </row>
    <row r="2257" spans="1:2">
      <c r="A2257" s="670"/>
      <c r="B2257" s="655"/>
    </row>
    <row r="2258" spans="1:2">
      <c r="A2258" s="670"/>
      <c r="B2258" s="655"/>
    </row>
    <row r="2259" spans="1:2">
      <c r="A2259" s="670"/>
      <c r="B2259" s="655"/>
    </row>
    <row r="2260" spans="1:2">
      <c r="A2260" s="670"/>
      <c r="B2260" s="655"/>
    </row>
    <row r="2261" spans="1:2">
      <c r="A2261" s="670"/>
      <c r="B2261" s="655"/>
    </row>
    <row r="2262" spans="1:2">
      <c r="A2262" s="670"/>
      <c r="B2262" s="655"/>
    </row>
    <row r="2263" spans="1:2">
      <c r="A2263" s="670"/>
      <c r="B2263" s="655"/>
    </row>
    <row r="2264" spans="1:2">
      <c r="A2264" s="670"/>
      <c r="B2264" s="655"/>
    </row>
    <row r="2265" spans="1:2">
      <c r="A2265" s="670"/>
      <c r="B2265" s="655"/>
    </row>
    <row r="2266" spans="1:2">
      <c r="A2266" s="670"/>
      <c r="B2266" s="655"/>
    </row>
    <row r="2267" spans="1:2">
      <c r="A2267" s="670"/>
      <c r="B2267" s="655"/>
    </row>
    <row r="2268" spans="1:2">
      <c r="A2268" s="670"/>
      <c r="B2268" s="655"/>
    </row>
    <row r="2269" spans="1:2">
      <c r="A2269" s="670"/>
      <c r="B2269" s="655"/>
    </row>
    <row r="2270" spans="1:2">
      <c r="A2270" s="670"/>
      <c r="B2270" s="655"/>
    </row>
    <row r="2271" spans="1:2">
      <c r="A2271" s="670"/>
      <c r="B2271" s="655"/>
    </row>
    <row r="2272" spans="1:2">
      <c r="A2272" s="670"/>
      <c r="B2272" s="655"/>
    </row>
    <row r="2273" spans="1:2">
      <c r="A2273" s="670"/>
      <c r="B2273" s="655"/>
    </row>
    <row r="2274" spans="1:2">
      <c r="A2274" s="670"/>
      <c r="B2274" s="655"/>
    </row>
    <row r="2275" spans="1:2">
      <c r="A2275" s="670"/>
      <c r="B2275" s="655"/>
    </row>
    <row r="2276" spans="1:2">
      <c r="A2276" s="670"/>
      <c r="B2276" s="655"/>
    </row>
    <row r="2277" spans="1:2">
      <c r="A2277" s="670"/>
      <c r="B2277" s="655"/>
    </row>
    <row r="2278" spans="1:2">
      <c r="A2278" s="670"/>
      <c r="B2278" s="655"/>
    </row>
    <row r="2279" spans="1:2">
      <c r="A2279" s="670"/>
      <c r="B2279" s="655"/>
    </row>
    <row r="2280" spans="1:2">
      <c r="A2280" s="670"/>
      <c r="B2280" s="655"/>
    </row>
    <row r="2281" spans="1:2">
      <c r="A2281" s="670"/>
      <c r="B2281" s="655"/>
    </row>
    <row r="2282" spans="1:2">
      <c r="A2282" s="670"/>
      <c r="B2282" s="655"/>
    </row>
    <row r="2283" spans="1:2">
      <c r="A2283" s="670"/>
      <c r="B2283" s="655"/>
    </row>
    <row r="2284" spans="1:2">
      <c r="A2284" s="670"/>
      <c r="B2284" s="655"/>
    </row>
    <row r="2285" spans="1:2">
      <c r="A2285" s="670"/>
      <c r="B2285" s="655"/>
    </row>
    <row r="2286" spans="1:2">
      <c r="A2286" s="670"/>
      <c r="B2286" s="655"/>
    </row>
    <row r="2287" spans="1:2">
      <c r="A2287" s="670"/>
      <c r="B2287" s="655"/>
    </row>
    <row r="2288" spans="1:2">
      <c r="A2288" s="670"/>
      <c r="B2288" s="655"/>
    </row>
    <row r="2289" spans="1:2">
      <c r="A2289" s="670"/>
      <c r="B2289" s="655"/>
    </row>
    <row r="2290" spans="1:2">
      <c r="A2290" s="670"/>
      <c r="B2290" s="655"/>
    </row>
    <row r="2291" spans="1:2">
      <c r="A2291" s="670"/>
      <c r="B2291" s="655"/>
    </row>
    <row r="2292" spans="1:2">
      <c r="A2292" s="670"/>
      <c r="B2292" s="655"/>
    </row>
    <row r="2293" spans="1:2">
      <c r="A2293" s="670"/>
      <c r="B2293" s="655"/>
    </row>
    <row r="2294" spans="1:2">
      <c r="A2294" s="670"/>
      <c r="B2294" s="655"/>
    </row>
    <row r="2295" spans="1:2">
      <c r="A2295" s="670"/>
      <c r="B2295" s="655"/>
    </row>
    <row r="2296" spans="1:2">
      <c r="A2296" s="670"/>
      <c r="B2296" s="655"/>
    </row>
    <row r="2297" spans="1:2">
      <c r="A2297" s="670"/>
      <c r="B2297" s="655"/>
    </row>
    <row r="2298" spans="1:2">
      <c r="A2298" s="670"/>
      <c r="B2298" s="655"/>
    </row>
    <row r="2299" spans="1:2">
      <c r="A2299" s="670"/>
      <c r="B2299" s="655"/>
    </row>
    <row r="2300" spans="1:2">
      <c r="A2300" s="670"/>
      <c r="B2300" s="655"/>
    </row>
    <row r="2301" spans="1:2">
      <c r="A2301" s="670"/>
      <c r="B2301" s="655"/>
    </row>
    <row r="2302" spans="1:2">
      <c r="A2302" s="670"/>
      <c r="B2302" s="655"/>
    </row>
    <row r="2303" spans="1:2">
      <c r="A2303" s="670"/>
      <c r="B2303" s="655"/>
    </row>
    <row r="2304" spans="1:2">
      <c r="A2304" s="670"/>
      <c r="B2304" s="655"/>
    </row>
    <row r="2305" spans="1:2">
      <c r="A2305" s="670"/>
      <c r="B2305" s="655"/>
    </row>
    <row r="2306" spans="1:2">
      <c r="A2306" s="670"/>
      <c r="B2306" s="655"/>
    </row>
    <row r="2307" spans="1:2">
      <c r="A2307" s="670"/>
      <c r="B2307" s="655"/>
    </row>
    <row r="2308" spans="1:2">
      <c r="A2308" s="670"/>
      <c r="B2308" s="655"/>
    </row>
    <row r="2309" spans="1:2">
      <c r="A2309" s="670"/>
      <c r="B2309" s="655"/>
    </row>
    <row r="2310" spans="1:2">
      <c r="A2310" s="670"/>
      <c r="B2310" s="655"/>
    </row>
    <row r="2311" spans="1:2">
      <c r="A2311" s="670"/>
      <c r="B2311" s="655"/>
    </row>
    <row r="2312" spans="1:2">
      <c r="A2312" s="670"/>
      <c r="B2312" s="655"/>
    </row>
    <row r="2313" spans="1:2">
      <c r="A2313" s="670"/>
      <c r="B2313" s="655"/>
    </row>
    <row r="2314" spans="1:2">
      <c r="A2314" s="670"/>
      <c r="B2314" s="655"/>
    </row>
    <row r="2315" spans="1:2">
      <c r="A2315" s="670"/>
      <c r="B2315" s="655"/>
    </row>
    <row r="2316" spans="1:2">
      <c r="A2316" s="670"/>
      <c r="B2316" s="655"/>
    </row>
    <row r="2317" spans="1:2">
      <c r="A2317" s="670"/>
      <c r="B2317" s="655"/>
    </row>
    <row r="2318" spans="1:2">
      <c r="A2318" s="670"/>
      <c r="B2318" s="655"/>
    </row>
    <row r="2319" spans="1:2">
      <c r="A2319" s="670"/>
      <c r="B2319" s="655"/>
    </row>
    <row r="2320" spans="1:2">
      <c r="A2320" s="670"/>
      <c r="B2320" s="655"/>
    </row>
    <row r="2321" spans="1:2">
      <c r="A2321" s="670"/>
      <c r="B2321" s="655"/>
    </row>
    <row r="2322" spans="1:2">
      <c r="A2322" s="670"/>
      <c r="B2322" s="655"/>
    </row>
    <row r="2323" spans="1:2">
      <c r="A2323" s="670"/>
      <c r="B2323" s="655"/>
    </row>
    <row r="2324" spans="1:2">
      <c r="A2324" s="670"/>
      <c r="B2324" s="655"/>
    </row>
    <row r="2325" spans="1:2">
      <c r="A2325" s="670"/>
      <c r="B2325" s="655"/>
    </row>
    <row r="2326" spans="1:2">
      <c r="A2326" s="670"/>
      <c r="B2326" s="655"/>
    </row>
    <row r="2327" spans="1:2">
      <c r="A2327" s="670"/>
      <c r="B2327" s="655"/>
    </row>
    <row r="2328" spans="1:2">
      <c r="A2328" s="670"/>
      <c r="B2328" s="655"/>
    </row>
    <row r="2329" spans="1:2">
      <c r="A2329" s="670"/>
      <c r="B2329" s="655"/>
    </row>
    <row r="2330" spans="1:2">
      <c r="A2330" s="670"/>
      <c r="B2330" s="655"/>
    </row>
    <row r="2331" spans="1:2">
      <c r="A2331" s="670"/>
      <c r="B2331" s="655"/>
    </row>
    <row r="2332" spans="1:2">
      <c r="A2332" s="670"/>
      <c r="B2332" s="655"/>
    </row>
    <row r="2333" spans="1:2">
      <c r="A2333" s="670"/>
      <c r="B2333" s="655"/>
    </row>
    <row r="2334" spans="1:2">
      <c r="A2334" s="670"/>
      <c r="B2334" s="655"/>
    </row>
    <row r="2335" spans="1:2">
      <c r="A2335" s="670"/>
      <c r="B2335" s="655"/>
    </row>
    <row r="2336" spans="1:2">
      <c r="A2336" s="670"/>
      <c r="B2336" s="655"/>
    </row>
    <row r="2337" spans="1:2">
      <c r="A2337" s="670"/>
      <c r="B2337" s="655"/>
    </row>
    <row r="2338" spans="1:2">
      <c r="A2338" s="670"/>
      <c r="B2338" s="655"/>
    </row>
    <row r="2339" spans="1:2">
      <c r="A2339" s="670"/>
      <c r="B2339" s="655"/>
    </row>
    <row r="2340" spans="1:2">
      <c r="A2340" s="670"/>
      <c r="B2340" s="655"/>
    </row>
    <row r="2341" spans="1:2">
      <c r="A2341" s="670"/>
      <c r="B2341" s="655"/>
    </row>
    <row r="2342" spans="1:2">
      <c r="A2342" s="670"/>
      <c r="B2342" s="655"/>
    </row>
    <row r="2343" spans="1:2">
      <c r="A2343" s="670"/>
      <c r="B2343" s="655"/>
    </row>
    <row r="2344" spans="1:2">
      <c r="A2344" s="670"/>
      <c r="B2344" s="655"/>
    </row>
    <row r="2345" spans="1:2">
      <c r="A2345" s="670"/>
      <c r="B2345" s="655"/>
    </row>
    <row r="2346" spans="1:2">
      <c r="A2346" s="670"/>
      <c r="B2346" s="655"/>
    </row>
    <row r="2347" spans="1:2">
      <c r="A2347" s="670"/>
      <c r="B2347" s="655"/>
    </row>
    <row r="2348" spans="1:2">
      <c r="A2348" s="670"/>
      <c r="B2348" s="655"/>
    </row>
    <row r="2349" spans="1:2">
      <c r="A2349" s="670"/>
      <c r="B2349" s="655"/>
    </row>
    <row r="2350" spans="1:2">
      <c r="A2350" s="670"/>
      <c r="B2350" s="655"/>
    </row>
    <row r="2351" spans="1:2">
      <c r="A2351" s="670"/>
      <c r="B2351" s="655"/>
    </row>
    <row r="2352" spans="1:2">
      <c r="A2352" s="670"/>
      <c r="B2352" s="655"/>
    </row>
    <row r="2353" spans="1:2">
      <c r="A2353" s="670"/>
      <c r="B2353" s="655"/>
    </row>
    <row r="2354" spans="1:2">
      <c r="A2354" s="670"/>
      <c r="B2354" s="655"/>
    </row>
    <row r="2355" spans="1:2">
      <c r="A2355" s="670"/>
      <c r="B2355" s="655"/>
    </row>
    <row r="2356" spans="1:2">
      <c r="A2356" s="670"/>
      <c r="B2356" s="655"/>
    </row>
    <row r="2357" spans="1:2">
      <c r="A2357" s="670"/>
      <c r="B2357" s="655"/>
    </row>
    <row r="2358" spans="1:2">
      <c r="A2358" s="670"/>
      <c r="B2358" s="655"/>
    </row>
    <row r="2359" spans="1:2">
      <c r="A2359" s="670"/>
      <c r="B2359" s="655"/>
    </row>
    <row r="2360" spans="1:2">
      <c r="A2360" s="670"/>
      <c r="B2360" s="655"/>
    </row>
    <row r="2361" spans="1:2">
      <c r="A2361" s="670"/>
      <c r="B2361" s="655"/>
    </row>
    <row r="2362" spans="1:2">
      <c r="A2362" s="670"/>
      <c r="B2362" s="655"/>
    </row>
    <row r="2363" spans="1:2">
      <c r="A2363" s="670"/>
      <c r="B2363" s="655"/>
    </row>
    <row r="2364" spans="1:2">
      <c r="A2364" s="670"/>
      <c r="B2364" s="655"/>
    </row>
    <row r="2365" spans="1:2">
      <c r="A2365" s="670"/>
      <c r="B2365" s="655"/>
    </row>
    <row r="2366" spans="1:2">
      <c r="A2366" s="670"/>
      <c r="B2366" s="655"/>
    </row>
    <row r="2367" spans="1:2">
      <c r="A2367" s="670"/>
      <c r="B2367" s="655"/>
    </row>
    <row r="2368" spans="1:2">
      <c r="A2368" s="670"/>
      <c r="B2368" s="655"/>
    </row>
    <row r="2369" spans="1:2">
      <c r="A2369" s="670"/>
      <c r="B2369" s="655"/>
    </row>
    <row r="2370" spans="1:2">
      <c r="A2370" s="670"/>
      <c r="B2370" s="655"/>
    </row>
    <row r="2371" spans="1:2">
      <c r="A2371" s="670"/>
      <c r="B2371" s="655"/>
    </row>
    <row r="2372" spans="1:2">
      <c r="A2372" s="670"/>
      <c r="B2372" s="655"/>
    </row>
    <row r="2373" spans="1:2">
      <c r="A2373" s="670"/>
      <c r="B2373" s="655"/>
    </row>
    <row r="2374" spans="1:2">
      <c r="A2374" s="670"/>
      <c r="B2374" s="655"/>
    </row>
    <row r="2375" spans="1:2">
      <c r="A2375" s="670"/>
      <c r="B2375" s="655"/>
    </row>
    <row r="2376" spans="1:2">
      <c r="A2376" s="670"/>
      <c r="B2376" s="655"/>
    </row>
    <row r="2377" spans="1:2">
      <c r="A2377" s="670"/>
      <c r="B2377" s="655"/>
    </row>
    <row r="2378" spans="1:2">
      <c r="A2378" s="670"/>
      <c r="B2378" s="655"/>
    </row>
    <row r="2379" spans="1:2">
      <c r="A2379" s="670"/>
      <c r="B2379" s="655"/>
    </row>
    <row r="2380" spans="1:2">
      <c r="A2380" s="670"/>
      <c r="B2380" s="655"/>
    </row>
    <row r="2381" spans="1:2">
      <c r="A2381" s="670"/>
      <c r="B2381" s="655"/>
    </row>
    <row r="2382" spans="1:2">
      <c r="A2382" s="670"/>
      <c r="B2382" s="655"/>
    </row>
    <row r="2383" spans="1:2">
      <c r="A2383" s="670"/>
      <c r="B2383" s="655"/>
    </row>
    <row r="2384" spans="1:2">
      <c r="A2384" s="670"/>
      <c r="B2384" s="655"/>
    </row>
    <row r="2385" spans="1:2">
      <c r="A2385" s="670"/>
      <c r="B2385" s="655"/>
    </row>
    <row r="2386" spans="1:2">
      <c r="A2386" s="670"/>
      <c r="B2386" s="655"/>
    </row>
    <row r="2387" spans="1:2">
      <c r="A2387" s="670"/>
      <c r="B2387" s="655"/>
    </row>
    <row r="2388" spans="1:2">
      <c r="A2388" s="670"/>
      <c r="B2388" s="655"/>
    </row>
    <row r="2389" spans="1:2">
      <c r="A2389" s="670"/>
      <c r="B2389" s="655"/>
    </row>
    <row r="2390" spans="1:2">
      <c r="A2390" s="670"/>
      <c r="B2390" s="655"/>
    </row>
    <row r="2391" spans="1:2">
      <c r="A2391" s="670"/>
      <c r="B2391" s="655"/>
    </row>
    <row r="2392" spans="1:2">
      <c r="A2392" s="670"/>
      <c r="B2392" s="655"/>
    </row>
    <row r="2393" spans="1:2">
      <c r="A2393" s="670"/>
      <c r="B2393" s="655"/>
    </row>
    <row r="2394" spans="1:2">
      <c r="A2394" s="670"/>
      <c r="B2394" s="655"/>
    </row>
    <row r="2395" spans="1:2">
      <c r="A2395" s="670"/>
      <c r="B2395" s="655"/>
    </row>
    <row r="2396" spans="1:2">
      <c r="A2396" s="670"/>
      <c r="B2396" s="655"/>
    </row>
    <row r="2397" spans="1:2">
      <c r="A2397" s="670"/>
      <c r="B2397" s="655"/>
    </row>
    <row r="2398" spans="1:2">
      <c r="A2398" s="670"/>
      <c r="B2398" s="655"/>
    </row>
    <row r="2399" spans="1:2">
      <c r="A2399" s="670"/>
      <c r="B2399" s="655"/>
    </row>
    <row r="2400" spans="1:2">
      <c r="A2400" s="670"/>
      <c r="B2400" s="655"/>
    </row>
    <row r="2401" spans="1:2">
      <c r="A2401" s="670"/>
      <c r="B2401" s="655"/>
    </row>
    <row r="2402" spans="1:2">
      <c r="A2402" s="670"/>
      <c r="B2402" s="655"/>
    </row>
    <row r="2403" spans="1:2">
      <c r="A2403" s="670"/>
      <c r="B2403" s="655"/>
    </row>
    <row r="2404" spans="1:2">
      <c r="A2404" s="670"/>
      <c r="B2404" s="655"/>
    </row>
    <row r="2405" spans="1:2">
      <c r="A2405" s="670"/>
      <c r="B2405" s="655"/>
    </row>
    <row r="2406" spans="1:2">
      <c r="A2406" s="670"/>
      <c r="B2406" s="655"/>
    </row>
    <row r="2407" spans="1:2">
      <c r="A2407" s="670"/>
      <c r="B2407" s="655"/>
    </row>
    <row r="2408" spans="1:2">
      <c r="A2408" s="670"/>
      <c r="B2408" s="655"/>
    </row>
    <row r="2409" spans="1:2">
      <c r="A2409" s="670"/>
      <c r="B2409" s="655"/>
    </row>
    <row r="2410" spans="1:2">
      <c r="A2410" s="670"/>
      <c r="B2410" s="655"/>
    </row>
    <row r="2411" spans="1:2">
      <c r="A2411" s="670"/>
      <c r="B2411" s="655"/>
    </row>
    <row r="2412" spans="1:2">
      <c r="A2412" s="670"/>
      <c r="B2412" s="655"/>
    </row>
    <row r="2413" spans="1:2">
      <c r="A2413" s="670"/>
      <c r="B2413" s="655"/>
    </row>
    <row r="2414" spans="1:2">
      <c r="A2414" s="670"/>
      <c r="B2414" s="655"/>
    </row>
    <row r="2415" spans="1:2">
      <c r="A2415" s="670"/>
      <c r="B2415" s="655"/>
    </row>
    <row r="2416" spans="1:2">
      <c r="A2416" s="670"/>
      <c r="B2416" s="655"/>
    </row>
    <row r="2417" spans="1:2">
      <c r="A2417" s="670"/>
      <c r="B2417" s="655"/>
    </row>
    <row r="2418" spans="1:2">
      <c r="A2418" s="670"/>
      <c r="B2418" s="655"/>
    </row>
    <row r="2419" spans="1:2">
      <c r="A2419" s="670"/>
      <c r="B2419" s="655"/>
    </row>
    <row r="2420" spans="1:2">
      <c r="A2420" s="670"/>
      <c r="B2420" s="655"/>
    </row>
    <row r="2421" spans="1:2">
      <c r="A2421" s="670"/>
      <c r="B2421" s="655"/>
    </row>
    <row r="2422" spans="1:2">
      <c r="A2422" s="670"/>
      <c r="B2422" s="655"/>
    </row>
    <row r="2423" spans="1:2">
      <c r="A2423" s="670"/>
      <c r="B2423" s="655"/>
    </row>
    <row r="2424" spans="1:2">
      <c r="A2424" s="670"/>
      <c r="B2424" s="655"/>
    </row>
    <row r="2425" spans="1:2">
      <c r="A2425" s="670"/>
      <c r="B2425" s="655"/>
    </row>
    <row r="2426" spans="1:2">
      <c r="A2426" s="670"/>
      <c r="B2426" s="655"/>
    </row>
    <row r="2427" spans="1:2">
      <c r="A2427" s="670"/>
      <c r="B2427" s="655"/>
    </row>
    <row r="2428" spans="1:2">
      <c r="A2428" s="670"/>
      <c r="B2428" s="655"/>
    </row>
    <row r="2429" spans="1:2">
      <c r="A2429" s="670"/>
      <c r="B2429" s="655"/>
    </row>
    <row r="2430" spans="1:2">
      <c r="A2430" s="670"/>
      <c r="B2430" s="655"/>
    </row>
    <row r="2431" spans="1:2">
      <c r="A2431" s="670"/>
      <c r="B2431" s="655"/>
    </row>
    <row r="2432" spans="1:2">
      <c r="A2432" s="670"/>
      <c r="B2432" s="655"/>
    </row>
    <row r="2433" spans="1:2">
      <c r="A2433" s="670"/>
      <c r="B2433" s="655"/>
    </row>
    <row r="2434" spans="1:2">
      <c r="A2434" s="670"/>
      <c r="B2434" s="655"/>
    </row>
    <row r="2435" spans="1:2">
      <c r="A2435" s="670"/>
      <c r="B2435" s="655"/>
    </row>
    <row r="2436" spans="1:2">
      <c r="A2436" s="670"/>
      <c r="B2436" s="655"/>
    </row>
    <row r="2437" spans="1:2">
      <c r="A2437" s="670"/>
      <c r="B2437" s="655"/>
    </row>
    <row r="2438" spans="1:2">
      <c r="A2438" s="670"/>
      <c r="B2438" s="655"/>
    </row>
    <row r="2439" spans="1:2">
      <c r="A2439" s="670"/>
      <c r="B2439" s="655"/>
    </row>
    <row r="2440" spans="1:2">
      <c r="A2440" s="670"/>
      <c r="B2440" s="655"/>
    </row>
    <row r="2441" spans="1:2">
      <c r="A2441" s="670"/>
      <c r="B2441" s="655"/>
    </row>
    <row r="2442" spans="1:2">
      <c r="A2442" s="670"/>
      <c r="B2442" s="655"/>
    </row>
    <row r="2443" spans="1:2">
      <c r="A2443" s="670"/>
      <c r="B2443" s="655"/>
    </row>
    <row r="2444" spans="1:2">
      <c r="A2444" s="670"/>
      <c r="B2444" s="655"/>
    </row>
    <row r="2445" spans="1:2">
      <c r="A2445" s="670"/>
      <c r="B2445" s="655"/>
    </row>
    <row r="2446" spans="1:2">
      <c r="A2446" s="670"/>
      <c r="B2446" s="655"/>
    </row>
    <row r="2447" spans="1:2">
      <c r="A2447" s="670"/>
      <c r="B2447" s="655"/>
    </row>
    <row r="2448" spans="1:2">
      <c r="A2448" s="670"/>
      <c r="B2448" s="655"/>
    </row>
    <row r="2449" spans="1:2">
      <c r="A2449" s="670"/>
      <c r="B2449" s="655"/>
    </row>
    <row r="2450" spans="1:2">
      <c r="A2450" s="670"/>
      <c r="B2450" s="655"/>
    </row>
    <row r="2451" spans="1:2">
      <c r="A2451" s="670"/>
      <c r="B2451" s="655"/>
    </row>
    <row r="2452" spans="1:2">
      <c r="A2452" s="670"/>
      <c r="B2452" s="655"/>
    </row>
    <row r="2453" spans="1:2">
      <c r="A2453" s="670"/>
      <c r="B2453" s="655"/>
    </row>
    <row r="2454" spans="1:2">
      <c r="A2454" s="670"/>
      <c r="B2454" s="655"/>
    </row>
    <row r="2455" spans="1:2">
      <c r="A2455" s="670"/>
      <c r="B2455" s="655"/>
    </row>
    <row r="2456" spans="1:2">
      <c r="A2456" s="670"/>
      <c r="B2456" s="655"/>
    </row>
    <row r="2457" spans="1:2">
      <c r="A2457" s="670"/>
      <c r="B2457" s="655"/>
    </row>
    <row r="2458" spans="1:2">
      <c r="A2458" s="670"/>
      <c r="B2458" s="655"/>
    </row>
    <row r="2459" spans="1:2">
      <c r="A2459" s="670"/>
      <c r="B2459" s="655"/>
    </row>
    <row r="2460" spans="1:2">
      <c r="A2460" s="670"/>
      <c r="B2460" s="655"/>
    </row>
    <row r="2461" spans="1:2">
      <c r="A2461" s="670"/>
      <c r="B2461" s="655"/>
    </row>
    <row r="2462" spans="1:2">
      <c r="A2462" s="670"/>
      <c r="B2462" s="655"/>
    </row>
    <row r="2463" spans="1:2">
      <c r="A2463" s="670"/>
      <c r="B2463" s="655"/>
    </row>
    <row r="2464" spans="1:2">
      <c r="A2464" s="670"/>
      <c r="B2464" s="655"/>
    </row>
    <row r="2465" spans="1:2">
      <c r="A2465" s="670"/>
      <c r="B2465" s="655"/>
    </row>
    <row r="2466" spans="1:2">
      <c r="A2466" s="670"/>
      <c r="B2466" s="655"/>
    </row>
    <row r="2467" spans="1:2">
      <c r="A2467" s="670"/>
      <c r="B2467" s="655"/>
    </row>
    <row r="2468" spans="1:2">
      <c r="A2468" s="670"/>
      <c r="B2468" s="655"/>
    </row>
    <row r="2469" spans="1:2">
      <c r="A2469" s="670"/>
      <c r="B2469" s="655"/>
    </row>
    <row r="2470" spans="1:2">
      <c r="A2470" s="670"/>
      <c r="B2470" s="655"/>
    </row>
    <row r="2471" spans="1:2">
      <c r="A2471" s="670"/>
      <c r="B2471" s="655"/>
    </row>
    <row r="2472" spans="1:2">
      <c r="A2472" s="670"/>
      <c r="B2472" s="655"/>
    </row>
    <row r="2473" spans="1:2">
      <c r="A2473" s="670"/>
      <c r="B2473" s="655"/>
    </row>
    <row r="2474" spans="1:2">
      <c r="A2474" s="670"/>
      <c r="B2474" s="655"/>
    </row>
    <row r="2475" spans="1:2">
      <c r="A2475" s="670"/>
      <c r="B2475" s="655"/>
    </row>
    <row r="2476" spans="1:2">
      <c r="A2476" s="670"/>
      <c r="B2476" s="655"/>
    </row>
    <row r="2477" spans="1:2">
      <c r="A2477" s="670"/>
      <c r="B2477" s="655"/>
    </row>
    <row r="2478" spans="1:2">
      <c r="A2478" s="670"/>
      <c r="B2478" s="655"/>
    </row>
    <row r="2479" spans="1:2">
      <c r="A2479" s="670"/>
      <c r="B2479" s="655"/>
    </row>
    <row r="2480" spans="1:2">
      <c r="A2480" s="670"/>
      <c r="B2480" s="655"/>
    </row>
    <row r="2481" spans="1:2">
      <c r="A2481" s="670"/>
      <c r="B2481" s="655"/>
    </row>
    <row r="2482" spans="1:2">
      <c r="A2482" s="670"/>
      <c r="B2482" s="655"/>
    </row>
    <row r="2483" spans="1:2">
      <c r="A2483" s="670"/>
      <c r="B2483" s="655"/>
    </row>
    <row r="2484" spans="1:2">
      <c r="A2484" s="670"/>
      <c r="B2484" s="655"/>
    </row>
    <row r="2485" spans="1:2">
      <c r="A2485" s="670"/>
      <c r="B2485" s="655"/>
    </row>
    <row r="2486" spans="1:2">
      <c r="A2486" s="670"/>
      <c r="B2486" s="655"/>
    </row>
    <row r="2487" spans="1:2">
      <c r="A2487" s="670"/>
      <c r="B2487" s="655"/>
    </row>
    <row r="2488" spans="1:2">
      <c r="A2488" s="670"/>
      <c r="B2488" s="655"/>
    </row>
    <row r="2489" spans="1:2">
      <c r="A2489" s="670"/>
      <c r="B2489" s="655"/>
    </row>
    <row r="2490" spans="1:2">
      <c r="A2490" s="670"/>
      <c r="B2490" s="655"/>
    </row>
    <row r="2491" spans="1:2">
      <c r="A2491" s="670"/>
      <c r="B2491" s="655"/>
    </row>
    <row r="2492" spans="1:2">
      <c r="A2492" s="670"/>
      <c r="B2492" s="655"/>
    </row>
    <row r="2493" spans="1:2">
      <c r="A2493" s="670"/>
      <c r="B2493" s="655"/>
    </row>
    <row r="2494" spans="1:2">
      <c r="A2494" s="670"/>
      <c r="B2494" s="655"/>
    </row>
    <row r="2495" spans="1:2">
      <c r="A2495" s="670"/>
      <c r="B2495" s="655"/>
    </row>
    <row r="2496" spans="1:2">
      <c r="A2496" s="670"/>
      <c r="B2496" s="655"/>
    </row>
    <row r="2497" spans="1:2">
      <c r="A2497" s="670"/>
      <c r="B2497" s="655"/>
    </row>
    <row r="2498" spans="1:2">
      <c r="A2498" s="670"/>
      <c r="B2498" s="655"/>
    </row>
    <row r="2499" spans="1:2">
      <c r="A2499" s="670"/>
      <c r="B2499" s="655"/>
    </row>
    <row r="2500" spans="1:2">
      <c r="A2500" s="670"/>
      <c r="B2500" s="655"/>
    </row>
    <row r="2501" spans="1:2">
      <c r="A2501" s="670"/>
      <c r="B2501" s="655"/>
    </row>
    <row r="2502" spans="1:2">
      <c r="A2502" s="670"/>
      <c r="B2502" s="655"/>
    </row>
    <row r="2503" spans="1:2">
      <c r="A2503" s="670"/>
      <c r="B2503" s="655"/>
    </row>
    <row r="2504" spans="1:2">
      <c r="A2504" s="670"/>
      <c r="B2504" s="655"/>
    </row>
    <row r="2505" spans="1:2">
      <c r="A2505" s="670"/>
      <c r="B2505" s="655"/>
    </row>
    <row r="2506" spans="1:2">
      <c r="A2506" s="670"/>
      <c r="B2506" s="655"/>
    </row>
    <row r="2507" spans="1:2">
      <c r="A2507" s="670"/>
      <c r="B2507" s="655"/>
    </row>
    <row r="2508" spans="1:2">
      <c r="A2508" s="670"/>
      <c r="B2508" s="655"/>
    </row>
    <row r="2509" spans="1:2">
      <c r="A2509" s="670"/>
      <c r="B2509" s="655"/>
    </row>
    <row r="2510" spans="1:2">
      <c r="A2510" s="670"/>
      <c r="B2510" s="655"/>
    </row>
    <row r="2511" spans="1:2">
      <c r="A2511" s="670"/>
      <c r="B2511" s="655"/>
    </row>
    <row r="2512" spans="1:2">
      <c r="A2512" s="670"/>
      <c r="B2512" s="655"/>
    </row>
    <row r="2513" spans="1:2">
      <c r="A2513" s="670"/>
      <c r="B2513" s="655"/>
    </row>
    <row r="2514" spans="1:2">
      <c r="A2514" s="670"/>
      <c r="B2514" s="655"/>
    </row>
    <row r="2515" spans="1:2">
      <c r="A2515" s="670"/>
      <c r="B2515" s="655"/>
    </row>
    <row r="2516" spans="1:2">
      <c r="A2516" s="670"/>
      <c r="B2516" s="655"/>
    </row>
    <row r="2517" spans="1:2">
      <c r="A2517" s="670"/>
      <c r="B2517" s="655"/>
    </row>
    <row r="2518" spans="1:2">
      <c r="A2518" s="670"/>
      <c r="B2518" s="655"/>
    </row>
    <row r="2519" spans="1:2">
      <c r="A2519" s="670"/>
      <c r="B2519" s="655"/>
    </row>
    <row r="2520" spans="1:2">
      <c r="A2520" s="670"/>
      <c r="B2520" s="655"/>
    </row>
    <row r="2521" spans="1:2">
      <c r="A2521" s="670"/>
      <c r="B2521" s="655"/>
    </row>
    <row r="2522" spans="1:2">
      <c r="A2522" s="670"/>
      <c r="B2522" s="655"/>
    </row>
    <row r="2523" spans="1:2">
      <c r="A2523" s="670"/>
      <c r="B2523" s="655"/>
    </row>
    <row r="2524" spans="1:2">
      <c r="A2524" s="670"/>
      <c r="B2524" s="655"/>
    </row>
    <row r="2525" spans="1:2">
      <c r="A2525" s="670"/>
      <c r="B2525" s="655"/>
    </row>
    <row r="2526" spans="1:2">
      <c r="A2526" s="670"/>
      <c r="B2526" s="655"/>
    </row>
    <row r="2527" spans="1:2">
      <c r="A2527" s="670"/>
      <c r="B2527" s="655"/>
    </row>
    <row r="2528" spans="1:2">
      <c r="A2528" s="670"/>
      <c r="B2528" s="655"/>
    </row>
    <row r="2529" spans="1:2">
      <c r="A2529" s="670"/>
      <c r="B2529" s="655"/>
    </row>
    <row r="2530" spans="1:2">
      <c r="A2530" s="670"/>
      <c r="B2530" s="655"/>
    </row>
    <row r="2531" spans="1:2">
      <c r="A2531" s="670"/>
      <c r="B2531" s="655"/>
    </row>
    <row r="2532" spans="1:2">
      <c r="A2532" s="670"/>
      <c r="B2532" s="655"/>
    </row>
    <row r="2533" spans="1:2">
      <c r="A2533" s="670"/>
      <c r="B2533" s="655"/>
    </row>
    <row r="2534" spans="1:2">
      <c r="A2534" s="670"/>
      <c r="B2534" s="655"/>
    </row>
    <row r="2535" spans="1:2">
      <c r="A2535" s="670"/>
      <c r="B2535" s="655"/>
    </row>
    <row r="2536" spans="1:2">
      <c r="A2536" s="670"/>
      <c r="B2536" s="655"/>
    </row>
    <row r="2537" spans="1:2">
      <c r="A2537" s="670"/>
      <c r="B2537" s="655"/>
    </row>
    <row r="2538" spans="1:2">
      <c r="A2538" s="670"/>
      <c r="B2538" s="655"/>
    </row>
    <row r="2539" spans="1:2">
      <c r="A2539" s="670"/>
      <c r="B2539" s="655"/>
    </row>
    <row r="2540" spans="1:2">
      <c r="A2540" s="670"/>
      <c r="B2540" s="655"/>
    </row>
    <row r="2541" spans="1:2">
      <c r="A2541" s="670"/>
      <c r="B2541" s="655"/>
    </row>
    <row r="2542" spans="1:2">
      <c r="A2542" s="670"/>
      <c r="B2542" s="655"/>
    </row>
    <row r="2543" spans="1:2">
      <c r="A2543" s="670"/>
      <c r="B2543" s="655"/>
    </row>
    <row r="2544" spans="1:2">
      <c r="A2544" s="670"/>
      <c r="B2544" s="655"/>
    </row>
    <row r="2545" spans="1:2">
      <c r="A2545" s="670"/>
      <c r="B2545" s="655"/>
    </row>
    <row r="2546" spans="1:2">
      <c r="A2546" s="670"/>
      <c r="B2546" s="655"/>
    </row>
    <row r="2547" spans="1:2">
      <c r="A2547" s="670"/>
      <c r="B2547" s="655"/>
    </row>
    <row r="2548" spans="1:2">
      <c r="A2548" s="670"/>
      <c r="B2548" s="655"/>
    </row>
    <row r="2549" spans="1:2">
      <c r="A2549" s="670"/>
      <c r="B2549" s="655"/>
    </row>
    <row r="2550" spans="1:2">
      <c r="A2550" s="670"/>
      <c r="B2550" s="655"/>
    </row>
    <row r="2551" spans="1:2">
      <c r="A2551" s="670"/>
      <c r="B2551" s="655"/>
    </row>
    <row r="2552" spans="1:2">
      <c r="A2552" s="670"/>
      <c r="B2552" s="655"/>
    </row>
    <row r="2553" spans="1:2">
      <c r="A2553" s="670"/>
      <c r="B2553" s="655"/>
    </row>
    <row r="2554" spans="1:2">
      <c r="A2554" s="670"/>
      <c r="B2554" s="655"/>
    </row>
    <row r="2555" spans="1:2">
      <c r="A2555" s="670"/>
      <c r="B2555" s="655"/>
    </row>
    <row r="2556" spans="1:2">
      <c r="A2556" s="670"/>
      <c r="B2556" s="655"/>
    </row>
    <row r="2557" spans="1:2">
      <c r="A2557" s="670"/>
      <c r="B2557" s="655"/>
    </row>
    <row r="2558" spans="1:2">
      <c r="A2558" s="670"/>
      <c r="B2558" s="655"/>
    </row>
    <row r="2559" spans="1:2">
      <c r="A2559" s="670"/>
      <c r="B2559" s="655"/>
    </row>
    <row r="2560" spans="1:2">
      <c r="A2560" s="670"/>
      <c r="B2560" s="655"/>
    </row>
    <row r="2561" spans="1:2">
      <c r="A2561" s="670"/>
      <c r="B2561" s="655"/>
    </row>
    <row r="2562" spans="1:2">
      <c r="A2562" s="670"/>
      <c r="B2562" s="655"/>
    </row>
    <row r="2563" spans="1:2">
      <c r="A2563" s="670"/>
      <c r="B2563" s="655"/>
    </row>
    <row r="2564" spans="1:2">
      <c r="A2564" s="670"/>
      <c r="B2564" s="655"/>
    </row>
    <row r="2565" spans="1:2">
      <c r="A2565" s="670"/>
      <c r="B2565" s="655"/>
    </row>
    <row r="2566" spans="1:2">
      <c r="A2566" s="670"/>
      <c r="B2566" s="655"/>
    </row>
    <row r="2567" spans="1:2">
      <c r="A2567" s="670"/>
      <c r="B2567" s="655"/>
    </row>
    <row r="2568" spans="1:2">
      <c r="A2568" s="670"/>
      <c r="B2568" s="655"/>
    </row>
    <row r="2569" spans="1:2">
      <c r="A2569" s="670"/>
      <c r="B2569" s="655"/>
    </row>
    <row r="2570" spans="1:2">
      <c r="A2570" s="670"/>
      <c r="B2570" s="655"/>
    </row>
    <row r="2571" spans="1:2">
      <c r="A2571" s="670"/>
      <c r="B2571" s="655"/>
    </row>
    <row r="2572" spans="1:2">
      <c r="A2572" s="670"/>
      <c r="B2572" s="655"/>
    </row>
    <row r="2573" spans="1:2">
      <c r="A2573" s="670"/>
      <c r="B2573" s="655"/>
    </row>
    <row r="2574" spans="1:2">
      <c r="A2574" s="670"/>
      <c r="B2574" s="655"/>
    </row>
    <row r="2575" spans="1:2">
      <c r="A2575" s="670"/>
      <c r="B2575" s="655"/>
    </row>
    <row r="2576" spans="1:2">
      <c r="A2576" s="670"/>
      <c r="B2576" s="655"/>
    </row>
    <row r="2577" spans="1:2">
      <c r="A2577" s="670"/>
      <c r="B2577" s="655"/>
    </row>
    <row r="2578" spans="1:2">
      <c r="A2578" s="670"/>
      <c r="B2578" s="655"/>
    </row>
    <row r="2579" spans="1:2">
      <c r="A2579" s="670"/>
      <c r="B2579" s="655"/>
    </row>
    <row r="2580" spans="1:2">
      <c r="A2580" s="670"/>
      <c r="B2580" s="655"/>
    </row>
    <row r="2581" spans="1:2">
      <c r="A2581" s="670"/>
      <c r="B2581" s="655"/>
    </row>
    <row r="2582" spans="1:2">
      <c r="A2582" s="670"/>
      <c r="B2582" s="655"/>
    </row>
    <row r="2583" spans="1:2">
      <c r="A2583" s="670"/>
      <c r="B2583" s="655"/>
    </row>
    <row r="2584" spans="1:2">
      <c r="A2584" s="670"/>
      <c r="B2584" s="655"/>
    </row>
    <row r="2585" spans="1:2">
      <c r="A2585" s="670"/>
      <c r="B2585" s="655"/>
    </row>
    <row r="2586" spans="1:2">
      <c r="A2586" s="670"/>
      <c r="B2586" s="655"/>
    </row>
    <row r="2587" spans="1:2">
      <c r="A2587" s="670"/>
      <c r="B2587" s="655"/>
    </row>
    <row r="2588" spans="1:2">
      <c r="A2588" s="670"/>
      <c r="B2588" s="655"/>
    </row>
    <row r="2589" spans="1:2">
      <c r="A2589" s="670"/>
      <c r="B2589" s="655"/>
    </row>
    <row r="2590" spans="1:2">
      <c r="A2590" s="670"/>
      <c r="B2590" s="655"/>
    </row>
    <row r="2591" spans="1:2">
      <c r="A2591" s="670"/>
      <c r="B2591" s="655"/>
    </row>
    <row r="2592" spans="1:2">
      <c r="A2592" s="670"/>
      <c r="B2592" s="655"/>
    </row>
    <row r="2593" spans="1:2">
      <c r="A2593" s="670"/>
      <c r="B2593" s="655"/>
    </row>
    <row r="2594" spans="1:2">
      <c r="A2594" s="670"/>
      <c r="B2594" s="655"/>
    </row>
    <row r="2595" spans="1:2">
      <c r="A2595" s="670"/>
      <c r="B2595" s="655"/>
    </row>
    <row r="2596" spans="1:2">
      <c r="A2596" s="670"/>
      <c r="B2596" s="655"/>
    </row>
    <row r="2597" spans="1:2">
      <c r="A2597" s="670"/>
      <c r="B2597" s="655"/>
    </row>
    <row r="2598" spans="1:2">
      <c r="A2598" s="670"/>
      <c r="B2598" s="655"/>
    </row>
    <row r="2599" spans="1:2">
      <c r="A2599" s="670"/>
      <c r="B2599" s="655"/>
    </row>
    <row r="2600" spans="1:2">
      <c r="A2600" s="670"/>
      <c r="B2600" s="655"/>
    </row>
    <row r="2601" spans="1:2">
      <c r="A2601" s="670"/>
      <c r="B2601" s="655"/>
    </row>
    <row r="2602" spans="1:2">
      <c r="A2602" s="670"/>
      <c r="B2602" s="655"/>
    </row>
    <row r="2603" spans="1:2">
      <c r="A2603" s="670"/>
      <c r="B2603" s="655"/>
    </row>
    <row r="2604" spans="1:2">
      <c r="A2604" s="670"/>
      <c r="B2604" s="655"/>
    </row>
    <row r="2605" spans="1:2">
      <c r="A2605" s="670"/>
      <c r="B2605" s="655"/>
    </row>
    <row r="2606" spans="1:2">
      <c r="A2606" s="670"/>
      <c r="B2606" s="655"/>
    </row>
    <row r="2607" spans="1:2">
      <c r="A2607" s="670"/>
      <c r="B2607" s="655"/>
    </row>
    <row r="2608" spans="1:2">
      <c r="A2608" s="670"/>
      <c r="B2608" s="655"/>
    </row>
    <row r="2609" spans="1:2">
      <c r="A2609" s="670"/>
      <c r="B2609" s="655"/>
    </row>
    <row r="2610" spans="1:2">
      <c r="A2610" s="670"/>
      <c r="B2610" s="655"/>
    </row>
    <row r="2611" spans="1:2">
      <c r="A2611" s="670"/>
      <c r="B2611" s="655"/>
    </row>
    <row r="2612" spans="1:2">
      <c r="A2612" s="670"/>
      <c r="B2612" s="655"/>
    </row>
    <row r="2613" spans="1:2">
      <c r="A2613" s="670"/>
      <c r="B2613" s="655"/>
    </row>
    <row r="2614" spans="1:2">
      <c r="A2614" s="670"/>
      <c r="B2614" s="655"/>
    </row>
    <row r="2615" spans="1:2">
      <c r="A2615" s="670"/>
      <c r="B2615" s="655"/>
    </row>
    <row r="2616" spans="1:2">
      <c r="A2616" s="670"/>
      <c r="B2616" s="655"/>
    </row>
    <row r="2617" spans="1:2">
      <c r="A2617" s="670"/>
      <c r="B2617" s="655"/>
    </row>
    <row r="2618" spans="1:2">
      <c r="A2618" s="670"/>
      <c r="B2618" s="655"/>
    </row>
    <row r="2619" spans="1:2">
      <c r="A2619" s="670"/>
      <c r="B2619" s="655"/>
    </row>
    <row r="2620" spans="1:2">
      <c r="A2620" s="670"/>
      <c r="B2620" s="655"/>
    </row>
    <row r="2621" spans="1:2">
      <c r="A2621" s="670"/>
      <c r="B2621" s="655"/>
    </row>
    <row r="2622" spans="1:2">
      <c r="A2622" s="670"/>
      <c r="B2622" s="655"/>
    </row>
    <row r="2623" spans="1:2">
      <c r="A2623" s="670"/>
      <c r="B2623" s="655"/>
    </row>
    <row r="2624" spans="1:2">
      <c r="A2624" s="670"/>
      <c r="B2624" s="655"/>
    </row>
    <row r="2625" spans="1:2">
      <c r="A2625" s="670"/>
      <c r="B2625" s="655"/>
    </row>
    <row r="2626" spans="1:2">
      <c r="A2626" s="670"/>
      <c r="B2626" s="655"/>
    </row>
    <row r="2627" spans="1:2">
      <c r="A2627" s="670"/>
      <c r="B2627" s="655"/>
    </row>
    <row r="2628" spans="1:2">
      <c r="A2628" s="670"/>
      <c r="B2628" s="655"/>
    </row>
    <row r="2629" spans="1:2">
      <c r="A2629" s="670"/>
      <c r="B2629" s="655"/>
    </row>
    <row r="2630" spans="1:2">
      <c r="A2630" s="670"/>
      <c r="B2630" s="655"/>
    </row>
    <row r="2631" spans="1:2">
      <c r="A2631" s="670"/>
      <c r="B2631" s="655"/>
    </row>
    <row r="2632" spans="1:2">
      <c r="A2632" s="670"/>
      <c r="B2632" s="655"/>
    </row>
    <row r="2633" spans="1:2">
      <c r="A2633" s="670"/>
      <c r="B2633" s="655"/>
    </row>
    <row r="2634" spans="1:2">
      <c r="A2634" s="670"/>
      <c r="B2634" s="655"/>
    </row>
    <row r="2635" spans="1:2">
      <c r="A2635" s="670"/>
      <c r="B2635" s="655"/>
    </row>
    <row r="2636" spans="1:2">
      <c r="A2636" s="670"/>
      <c r="B2636" s="655"/>
    </row>
    <row r="2637" spans="1:2">
      <c r="A2637" s="670"/>
      <c r="B2637" s="655"/>
    </row>
    <row r="2638" spans="1:2">
      <c r="A2638" s="670"/>
      <c r="B2638" s="655"/>
    </row>
    <row r="2639" spans="1:2">
      <c r="A2639" s="670"/>
      <c r="B2639" s="655"/>
    </row>
    <row r="2640" spans="1:2">
      <c r="A2640" s="670"/>
      <c r="B2640" s="655"/>
    </row>
    <row r="2641" spans="1:2">
      <c r="A2641" s="670"/>
      <c r="B2641" s="655"/>
    </row>
    <row r="2642" spans="1:2">
      <c r="A2642" s="670"/>
      <c r="B2642" s="655"/>
    </row>
    <row r="2643" spans="1:2">
      <c r="A2643" s="670"/>
      <c r="B2643" s="655"/>
    </row>
    <row r="2644" spans="1:2">
      <c r="A2644" s="670"/>
      <c r="B2644" s="655"/>
    </row>
    <row r="2645" spans="1:2">
      <c r="A2645" s="670"/>
      <c r="B2645" s="655"/>
    </row>
    <row r="2646" spans="1:2">
      <c r="A2646" s="670"/>
      <c r="B2646" s="655"/>
    </row>
    <row r="2647" spans="1:2">
      <c r="A2647" s="670"/>
      <c r="B2647" s="655"/>
    </row>
    <row r="2648" spans="1:2">
      <c r="A2648" s="670"/>
      <c r="B2648" s="655"/>
    </row>
    <row r="2649" spans="1:2">
      <c r="A2649" s="670"/>
      <c r="B2649" s="655"/>
    </row>
    <row r="2650" spans="1:2">
      <c r="A2650" s="670"/>
      <c r="B2650" s="655"/>
    </row>
    <row r="2651" spans="1:2">
      <c r="A2651" s="670"/>
      <c r="B2651" s="655"/>
    </row>
    <row r="2652" spans="1:2">
      <c r="A2652" s="670"/>
      <c r="B2652" s="655"/>
    </row>
    <row r="2653" spans="1:2">
      <c r="A2653" s="670"/>
      <c r="B2653" s="655"/>
    </row>
    <row r="2654" spans="1:2">
      <c r="A2654" s="670"/>
      <c r="B2654" s="655"/>
    </row>
    <row r="2655" spans="1:2">
      <c r="A2655" s="670"/>
      <c r="B2655" s="655"/>
    </row>
    <row r="2656" spans="1:2">
      <c r="A2656" s="670"/>
      <c r="B2656" s="655"/>
    </row>
    <row r="2657" spans="1:2">
      <c r="A2657" s="670"/>
      <c r="B2657" s="655"/>
    </row>
    <row r="2658" spans="1:2">
      <c r="A2658" s="670"/>
      <c r="B2658" s="655"/>
    </row>
    <row r="2659" spans="1:2">
      <c r="A2659" s="670"/>
      <c r="B2659" s="655"/>
    </row>
    <row r="2660" spans="1:2">
      <c r="A2660" s="670"/>
      <c r="B2660" s="655"/>
    </row>
    <row r="2661" spans="1:2">
      <c r="A2661" s="670"/>
      <c r="B2661" s="655"/>
    </row>
    <row r="2662" spans="1:2">
      <c r="A2662" s="670"/>
      <c r="B2662" s="655"/>
    </row>
    <row r="2663" spans="1:2">
      <c r="A2663" s="670"/>
      <c r="B2663" s="655"/>
    </row>
    <row r="2664" spans="1:2">
      <c r="A2664" s="670"/>
      <c r="B2664" s="655"/>
    </row>
    <row r="2665" spans="1:2">
      <c r="A2665" s="670"/>
      <c r="B2665" s="655"/>
    </row>
    <row r="2666" spans="1:2">
      <c r="A2666" s="670"/>
      <c r="B2666" s="655"/>
    </row>
    <row r="2667" spans="1:2">
      <c r="A2667" s="670"/>
      <c r="B2667" s="655"/>
    </row>
    <row r="2668" spans="1:2">
      <c r="A2668" s="670"/>
      <c r="B2668" s="655"/>
    </row>
    <row r="2669" spans="1:2">
      <c r="A2669" s="670"/>
      <c r="B2669" s="655"/>
    </row>
    <row r="2670" spans="1:2">
      <c r="A2670" s="670"/>
      <c r="B2670" s="655"/>
    </row>
    <row r="2671" spans="1:2">
      <c r="A2671" s="670"/>
      <c r="B2671" s="655"/>
    </row>
    <row r="2672" spans="1:2">
      <c r="A2672" s="670"/>
      <c r="B2672" s="655"/>
    </row>
    <row r="2673" spans="1:2">
      <c r="A2673" s="670"/>
      <c r="B2673" s="655"/>
    </row>
    <row r="2674" spans="1:2">
      <c r="A2674" s="670"/>
      <c r="B2674" s="655"/>
    </row>
    <row r="2675" spans="1:2">
      <c r="A2675" s="670"/>
      <c r="B2675" s="655"/>
    </row>
    <row r="2676" spans="1:2">
      <c r="A2676" s="670"/>
      <c r="B2676" s="655"/>
    </row>
    <row r="2677" spans="1:2">
      <c r="A2677" s="670"/>
      <c r="B2677" s="655"/>
    </row>
    <row r="2678" spans="1:2">
      <c r="A2678" s="670"/>
      <c r="B2678" s="655"/>
    </row>
    <row r="2679" spans="1:2">
      <c r="A2679" s="670"/>
      <c r="B2679" s="655"/>
    </row>
    <row r="2680" spans="1:2">
      <c r="A2680" s="670"/>
      <c r="B2680" s="655"/>
    </row>
    <row r="2681" spans="1:2">
      <c r="A2681" s="670"/>
      <c r="B2681" s="655"/>
    </row>
    <row r="2682" spans="1:2">
      <c r="A2682" s="670"/>
      <c r="B2682" s="655"/>
    </row>
    <row r="2683" spans="1:2">
      <c r="A2683" s="670"/>
      <c r="B2683" s="655"/>
    </row>
    <row r="2684" spans="1:2">
      <c r="A2684" s="670"/>
      <c r="B2684" s="655"/>
    </row>
    <row r="2685" spans="1:2">
      <c r="A2685" s="670"/>
      <c r="B2685" s="655"/>
    </row>
    <row r="2686" spans="1:2">
      <c r="A2686" s="670"/>
      <c r="B2686" s="655"/>
    </row>
    <row r="2687" spans="1:2">
      <c r="A2687" s="670"/>
      <c r="B2687" s="655"/>
    </row>
    <row r="2688" spans="1:2">
      <c r="A2688" s="670"/>
      <c r="B2688" s="655"/>
    </row>
    <row r="2689" spans="1:2">
      <c r="A2689" s="670"/>
      <c r="B2689" s="655"/>
    </row>
    <row r="2690" spans="1:2">
      <c r="A2690" s="670"/>
      <c r="B2690" s="655"/>
    </row>
    <row r="2691" spans="1:2">
      <c r="A2691" s="670"/>
      <c r="B2691" s="655"/>
    </row>
    <row r="2692" spans="1:2">
      <c r="A2692" s="670"/>
      <c r="B2692" s="655"/>
    </row>
    <row r="2693" spans="1:2">
      <c r="A2693" s="670"/>
      <c r="B2693" s="655"/>
    </row>
    <row r="2694" spans="1:2">
      <c r="A2694" s="670"/>
      <c r="B2694" s="655"/>
    </row>
    <row r="2695" spans="1:2">
      <c r="A2695" s="670"/>
      <c r="B2695" s="655"/>
    </row>
    <row r="2696" spans="1:2">
      <c r="A2696" s="670"/>
      <c r="B2696" s="655"/>
    </row>
    <row r="2697" spans="1:2">
      <c r="A2697" s="670"/>
      <c r="B2697" s="655"/>
    </row>
    <row r="2698" spans="1:2">
      <c r="A2698" s="670"/>
      <c r="B2698" s="655"/>
    </row>
    <row r="2699" spans="1:2">
      <c r="A2699" s="670"/>
      <c r="B2699" s="655"/>
    </row>
    <row r="2700" spans="1:2">
      <c r="A2700" s="670"/>
      <c r="B2700" s="655"/>
    </row>
    <row r="2701" spans="1:2">
      <c r="A2701" s="670"/>
      <c r="B2701" s="655"/>
    </row>
    <row r="2702" spans="1:2">
      <c r="A2702" s="670"/>
      <c r="B2702" s="655"/>
    </row>
    <row r="2703" spans="1:2">
      <c r="A2703" s="670"/>
      <c r="B2703" s="655"/>
    </row>
    <row r="2704" spans="1:2">
      <c r="A2704" s="670"/>
      <c r="B2704" s="655"/>
    </row>
    <row r="2705" spans="1:2">
      <c r="A2705" s="670"/>
      <c r="B2705" s="655"/>
    </row>
    <row r="2706" spans="1:2">
      <c r="A2706" s="670"/>
      <c r="B2706" s="655"/>
    </row>
    <row r="2707" spans="1:2">
      <c r="A2707" s="670"/>
      <c r="B2707" s="655"/>
    </row>
    <row r="2708" spans="1:2">
      <c r="A2708" s="670"/>
      <c r="B2708" s="655"/>
    </row>
    <row r="2709" spans="1:2">
      <c r="A2709" s="670"/>
      <c r="B2709" s="655"/>
    </row>
    <row r="2710" spans="1:2">
      <c r="A2710" s="670"/>
      <c r="B2710" s="655"/>
    </row>
    <row r="2711" spans="1:2">
      <c r="A2711" s="670"/>
      <c r="B2711" s="655"/>
    </row>
    <row r="2712" spans="1:2">
      <c r="A2712" s="670"/>
      <c r="B2712" s="655"/>
    </row>
    <row r="2713" spans="1:2">
      <c r="A2713" s="670"/>
      <c r="B2713" s="655"/>
    </row>
    <row r="2714" spans="1:2">
      <c r="A2714" s="670"/>
      <c r="B2714" s="655"/>
    </row>
    <row r="2715" spans="1:2">
      <c r="A2715" s="670"/>
      <c r="B2715" s="655"/>
    </row>
    <row r="2716" spans="1:2">
      <c r="A2716" s="670"/>
      <c r="B2716" s="655"/>
    </row>
    <row r="2717" spans="1:2">
      <c r="A2717" s="670"/>
      <c r="B2717" s="655"/>
    </row>
    <row r="2718" spans="1:2">
      <c r="A2718" s="670"/>
      <c r="B2718" s="655"/>
    </row>
    <row r="2719" spans="1:2">
      <c r="A2719" s="670"/>
      <c r="B2719" s="655"/>
    </row>
    <row r="2720" spans="1:2">
      <c r="A2720" s="670"/>
      <c r="B2720" s="655"/>
    </row>
    <row r="2721" spans="1:2">
      <c r="A2721" s="670"/>
      <c r="B2721" s="655"/>
    </row>
    <row r="2722" spans="1:2">
      <c r="A2722" s="670"/>
      <c r="B2722" s="655"/>
    </row>
    <row r="2723" spans="1:2">
      <c r="A2723" s="670"/>
      <c r="B2723" s="655"/>
    </row>
    <row r="2724" spans="1:2">
      <c r="A2724" s="670"/>
      <c r="B2724" s="655"/>
    </row>
    <row r="2725" spans="1:2">
      <c r="A2725" s="670"/>
      <c r="B2725" s="655"/>
    </row>
    <row r="2726" spans="1:2">
      <c r="A2726" s="670"/>
      <c r="B2726" s="655"/>
    </row>
    <row r="2727" spans="1:2">
      <c r="A2727" s="670"/>
      <c r="B2727" s="655"/>
    </row>
    <row r="2728" spans="1:2">
      <c r="A2728" s="670"/>
      <c r="B2728" s="655"/>
    </row>
    <row r="2729" spans="1:2">
      <c r="A2729" s="670"/>
      <c r="B2729" s="655"/>
    </row>
    <row r="2730" spans="1:2">
      <c r="A2730" s="670"/>
      <c r="B2730" s="655"/>
    </row>
    <row r="2731" spans="1:2">
      <c r="A2731" s="670"/>
      <c r="B2731" s="655"/>
    </row>
    <row r="2732" spans="1:2">
      <c r="A2732" s="670"/>
      <c r="B2732" s="655"/>
    </row>
    <row r="2733" spans="1:2">
      <c r="A2733" s="670"/>
      <c r="B2733" s="655"/>
    </row>
    <row r="2734" spans="1:2">
      <c r="A2734" s="670"/>
      <c r="B2734" s="655"/>
    </row>
    <row r="2735" spans="1:2">
      <c r="A2735" s="670"/>
      <c r="B2735" s="655"/>
    </row>
    <row r="2736" spans="1:2">
      <c r="A2736" s="670"/>
      <c r="B2736" s="655"/>
    </row>
    <row r="2737" spans="1:2">
      <c r="A2737" s="670"/>
      <c r="B2737" s="655"/>
    </row>
    <row r="2738" spans="1:2">
      <c r="A2738" s="670"/>
      <c r="B2738" s="655"/>
    </row>
    <row r="2739" spans="1:2">
      <c r="A2739" s="670"/>
      <c r="B2739" s="655"/>
    </row>
    <row r="2740" spans="1:2">
      <c r="A2740" s="670"/>
      <c r="B2740" s="655"/>
    </row>
    <row r="2741" spans="1:2">
      <c r="A2741" s="670"/>
      <c r="B2741" s="655"/>
    </row>
    <row r="2742" spans="1:2">
      <c r="A2742" s="670"/>
      <c r="B2742" s="655"/>
    </row>
    <row r="2743" spans="1:2">
      <c r="A2743" s="670"/>
      <c r="B2743" s="655"/>
    </row>
    <row r="2744" spans="1:2">
      <c r="A2744" s="670"/>
      <c r="B2744" s="655"/>
    </row>
    <row r="2745" spans="1:2">
      <c r="A2745" s="670"/>
      <c r="B2745" s="655"/>
    </row>
    <row r="2746" spans="1:2">
      <c r="A2746" s="670"/>
      <c r="B2746" s="655"/>
    </row>
    <row r="2747" spans="1:2">
      <c r="A2747" s="670"/>
      <c r="B2747" s="655"/>
    </row>
    <row r="2748" spans="1:2">
      <c r="A2748" s="670"/>
      <c r="B2748" s="655"/>
    </row>
    <row r="2749" spans="1:2">
      <c r="A2749" s="670"/>
      <c r="B2749" s="655"/>
    </row>
    <row r="2750" spans="1:2">
      <c r="A2750" s="670"/>
      <c r="B2750" s="655"/>
    </row>
    <row r="2751" spans="1:2">
      <c r="A2751" s="670"/>
      <c r="B2751" s="655"/>
    </row>
    <row r="2752" spans="1:2">
      <c r="A2752" s="670"/>
      <c r="B2752" s="655"/>
    </row>
    <row r="2753" spans="1:2">
      <c r="A2753" s="670"/>
      <c r="B2753" s="655"/>
    </row>
    <row r="2754" spans="1:2">
      <c r="A2754" s="670"/>
      <c r="B2754" s="655"/>
    </row>
    <row r="2755" spans="1:2">
      <c r="A2755" s="670"/>
      <c r="B2755" s="655"/>
    </row>
    <row r="2756" spans="1:2">
      <c r="A2756" s="670"/>
      <c r="B2756" s="655"/>
    </row>
    <row r="2757" spans="1:2">
      <c r="A2757" s="670"/>
      <c r="B2757" s="655"/>
    </row>
    <row r="2758" spans="1:2">
      <c r="A2758" s="670"/>
      <c r="B2758" s="655"/>
    </row>
    <row r="2759" spans="1:2">
      <c r="A2759" s="670"/>
      <c r="B2759" s="655"/>
    </row>
    <row r="2760" spans="1:2">
      <c r="A2760" s="670"/>
      <c r="B2760" s="655"/>
    </row>
    <row r="2761" spans="1:2">
      <c r="A2761" s="670"/>
      <c r="B2761" s="655"/>
    </row>
    <row r="2762" spans="1:2">
      <c r="A2762" s="670"/>
      <c r="B2762" s="655"/>
    </row>
    <row r="2763" spans="1:2">
      <c r="A2763" s="670"/>
      <c r="B2763" s="655"/>
    </row>
    <row r="2764" spans="1:2">
      <c r="A2764" s="670"/>
      <c r="B2764" s="655"/>
    </row>
    <row r="2765" spans="1:2">
      <c r="A2765" s="670"/>
      <c r="B2765" s="655"/>
    </row>
    <row r="2766" spans="1:2">
      <c r="A2766" s="670"/>
      <c r="B2766" s="655"/>
    </row>
    <row r="2767" spans="1:2">
      <c r="A2767" s="670"/>
      <c r="B2767" s="655"/>
    </row>
    <row r="2768" spans="1:2">
      <c r="A2768" s="670"/>
      <c r="B2768" s="655"/>
    </row>
    <row r="2769" spans="1:2">
      <c r="A2769" s="670"/>
      <c r="B2769" s="655"/>
    </row>
    <row r="2770" spans="1:2">
      <c r="A2770" s="670"/>
      <c r="B2770" s="655"/>
    </row>
    <row r="2771" spans="1:2">
      <c r="A2771" s="670"/>
      <c r="B2771" s="655"/>
    </row>
    <row r="2772" spans="1:2">
      <c r="A2772" s="670"/>
      <c r="B2772" s="655"/>
    </row>
    <row r="2773" spans="1:2">
      <c r="A2773" s="670"/>
      <c r="B2773" s="655"/>
    </row>
    <row r="2774" spans="1:2">
      <c r="A2774" s="670"/>
      <c r="B2774" s="655"/>
    </row>
    <row r="2775" spans="1:2">
      <c r="A2775" s="670"/>
      <c r="B2775" s="655"/>
    </row>
    <row r="2776" spans="1:2">
      <c r="A2776" s="670"/>
      <c r="B2776" s="655"/>
    </row>
    <row r="2777" spans="1:2">
      <c r="A2777" s="670"/>
      <c r="B2777" s="655"/>
    </row>
    <row r="2778" spans="1:2">
      <c r="A2778" s="670"/>
      <c r="B2778" s="655"/>
    </row>
    <row r="2779" spans="1:2">
      <c r="A2779" s="670"/>
      <c r="B2779" s="655"/>
    </row>
    <row r="2780" spans="1:2">
      <c r="A2780" s="670"/>
      <c r="B2780" s="655"/>
    </row>
    <row r="2781" spans="1:2">
      <c r="A2781" s="670"/>
      <c r="B2781" s="655"/>
    </row>
    <row r="2782" spans="1:2">
      <c r="A2782" s="670"/>
      <c r="B2782" s="655"/>
    </row>
    <row r="2783" spans="1:2">
      <c r="A2783" s="670"/>
      <c r="B2783" s="655"/>
    </row>
    <row r="2784" spans="1:2">
      <c r="A2784" s="670"/>
      <c r="B2784" s="655"/>
    </row>
    <row r="2785" spans="1:2">
      <c r="A2785" s="670"/>
      <c r="B2785" s="655"/>
    </row>
    <row r="2786" spans="1:2">
      <c r="A2786" s="670"/>
      <c r="B2786" s="655"/>
    </row>
    <row r="2787" spans="1:2">
      <c r="A2787" s="670"/>
      <c r="B2787" s="655"/>
    </row>
    <row r="2788" spans="1:2">
      <c r="A2788" s="670"/>
      <c r="B2788" s="655"/>
    </row>
    <row r="2789" spans="1:2">
      <c r="A2789" s="670"/>
      <c r="B2789" s="655"/>
    </row>
    <row r="2790" spans="1:2">
      <c r="A2790" s="670"/>
      <c r="B2790" s="655"/>
    </row>
    <row r="2791" spans="1:2">
      <c r="A2791" s="670"/>
      <c r="B2791" s="655"/>
    </row>
    <row r="2792" spans="1:2">
      <c r="A2792" s="670"/>
      <c r="B2792" s="655"/>
    </row>
    <row r="2793" spans="1:2">
      <c r="A2793" s="670"/>
      <c r="B2793" s="655"/>
    </row>
    <row r="2794" spans="1:2">
      <c r="A2794" s="670"/>
      <c r="B2794" s="655"/>
    </row>
    <row r="2795" spans="1:2">
      <c r="A2795" s="670"/>
      <c r="B2795" s="655"/>
    </row>
    <row r="2796" spans="1:2">
      <c r="A2796" s="670"/>
      <c r="B2796" s="655"/>
    </row>
    <row r="2797" spans="1:2">
      <c r="A2797" s="670"/>
      <c r="B2797" s="655"/>
    </row>
    <row r="2798" spans="1:2">
      <c r="A2798" s="670"/>
      <c r="B2798" s="655"/>
    </row>
    <row r="2799" spans="1:2">
      <c r="A2799" s="670"/>
      <c r="B2799" s="655"/>
    </row>
    <row r="2800" spans="1:2">
      <c r="A2800" s="670"/>
      <c r="B2800" s="655"/>
    </row>
    <row r="2801" spans="1:2">
      <c r="A2801" s="670"/>
      <c r="B2801" s="655"/>
    </row>
    <row r="2802" spans="1:2">
      <c r="A2802" s="670"/>
      <c r="B2802" s="655"/>
    </row>
    <row r="2803" spans="1:2">
      <c r="A2803" s="670"/>
      <c r="B2803" s="655"/>
    </row>
    <row r="2804" spans="1:2">
      <c r="A2804" s="670"/>
      <c r="B2804" s="655"/>
    </row>
    <row r="2805" spans="1:2">
      <c r="A2805" s="670"/>
      <c r="B2805" s="655"/>
    </row>
    <row r="2806" spans="1:2">
      <c r="A2806" s="670"/>
      <c r="B2806" s="655"/>
    </row>
    <row r="2807" spans="1:2">
      <c r="A2807" s="670"/>
      <c r="B2807" s="655"/>
    </row>
    <row r="2808" spans="1:2">
      <c r="A2808" s="670"/>
      <c r="B2808" s="655"/>
    </row>
    <row r="2809" spans="1:2">
      <c r="A2809" s="670"/>
      <c r="B2809" s="655"/>
    </row>
    <row r="2810" spans="1:2">
      <c r="A2810" s="670"/>
      <c r="B2810" s="655"/>
    </row>
    <row r="2811" spans="1:2">
      <c r="A2811" s="670"/>
      <c r="B2811" s="655"/>
    </row>
    <row r="2812" spans="1:2">
      <c r="A2812" s="670"/>
      <c r="B2812" s="655"/>
    </row>
    <row r="2813" spans="1:2">
      <c r="A2813" s="670"/>
      <c r="B2813" s="655"/>
    </row>
    <row r="2814" spans="1:2">
      <c r="A2814" s="670"/>
      <c r="B2814" s="655"/>
    </row>
    <row r="2815" spans="1:2">
      <c r="A2815" s="670"/>
      <c r="B2815" s="655"/>
    </row>
    <row r="2816" spans="1:2">
      <c r="A2816" s="670"/>
      <c r="B2816" s="655"/>
    </row>
    <row r="2817" spans="1:2">
      <c r="A2817" s="670"/>
      <c r="B2817" s="655"/>
    </row>
    <row r="2818" spans="1:2">
      <c r="A2818" s="670"/>
      <c r="B2818" s="655"/>
    </row>
    <row r="2819" spans="1:2">
      <c r="A2819" s="670"/>
      <c r="B2819" s="655"/>
    </row>
    <row r="2820" spans="1:2">
      <c r="A2820" s="670"/>
      <c r="B2820" s="655"/>
    </row>
    <row r="2821" spans="1:2">
      <c r="A2821" s="670"/>
      <c r="B2821" s="655"/>
    </row>
    <row r="2822" spans="1:2">
      <c r="A2822" s="670"/>
      <c r="B2822" s="655"/>
    </row>
    <row r="2823" spans="1:2">
      <c r="A2823" s="670"/>
      <c r="B2823" s="655"/>
    </row>
    <row r="2824" spans="1:2">
      <c r="A2824" s="670"/>
      <c r="B2824" s="655"/>
    </row>
    <row r="2825" spans="1:2">
      <c r="A2825" s="670"/>
      <c r="B2825" s="655"/>
    </row>
    <row r="2826" spans="1:2">
      <c r="A2826" s="670"/>
      <c r="B2826" s="655"/>
    </row>
    <row r="2827" spans="1:2">
      <c r="A2827" s="670"/>
      <c r="B2827" s="655"/>
    </row>
    <row r="2828" spans="1:2">
      <c r="A2828" s="670"/>
      <c r="B2828" s="655"/>
    </row>
    <row r="2829" spans="1:2">
      <c r="A2829" s="670"/>
      <c r="B2829" s="655"/>
    </row>
    <row r="2830" spans="1:2">
      <c r="A2830" s="670"/>
      <c r="B2830" s="655"/>
    </row>
    <row r="2831" spans="1:2">
      <c r="A2831" s="670"/>
      <c r="B2831" s="655"/>
    </row>
    <row r="2832" spans="1:2">
      <c r="A2832" s="670"/>
      <c r="B2832" s="655"/>
    </row>
    <row r="2833" spans="1:2">
      <c r="A2833" s="670"/>
      <c r="B2833" s="655"/>
    </row>
    <row r="2834" spans="1:2">
      <c r="A2834" s="670"/>
      <c r="B2834" s="655"/>
    </row>
    <row r="2835" spans="1:2">
      <c r="A2835" s="670"/>
      <c r="B2835" s="655"/>
    </row>
    <row r="2836" spans="1:2">
      <c r="A2836" s="670"/>
      <c r="B2836" s="655"/>
    </row>
    <row r="2837" spans="1:2">
      <c r="A2837" s="670"/>
      <c r="B2837" s="655"/>
    </row>
    <row r="2838" spans="1:2">
      <c r="A2838" s="670"/>
      <c r="B2838" s="655"/>
    </row>
    <row r="2839" spans="1:2">
      <c r="A2839" s="670"/>
      <c r="B2839" s="655"/>
    </row>
    <row r="2840" spans="1:2">
      <c r="A2840" s="670"/>
      <c r="B2840" s="655"/>
    </row>
    <row r="2841" spans="1:2">
      <c r="A2841" s="670"/>
      <c r="B2841" s="655"/>
    </row>
    <row r="2842" spans="1:2">
      <c r="A2842" s="670"/>
      <c r="B2842" s="655"/>
    </row>
    <row r="2843" spans="1:2">
      <c r="A2843" s="670"/>
      <c r="B2843" s="655"/>
    </row>
    <row r="2844" spans="1:2">
      <c r="A2844" s="670"/>
      <c r="B2844" s="655"/>
    </row>
    <row r="2845" spans="1:2">
      <c r="A2845" s="670"/>
      <c r="B2845" s="655"/>
    </row>
    <row r="2846" spans="1:2">
      <c r="A2846" s="670"/>
      <c r="B2846" s="655"/>
    </row>
    <row r="2847" spans="1:2">
      <c r="A2847" s="670"/>
      <c r="B2847" s="655"/>
    </row>
    <row r="2848" spans="1:2">
      <c r="A2848" s="670"/>
      <c r="B2848" s="655"/>
    </row>
    <row r="2849" spans="1:2">
      <c r="A2849" s="670"/>
      <c r="B2849" s="655"/>
    </row>
    <row r="2850" spans="1:2">
      <c r="A2850" s="670"/>
      <c r="B2850" s="655"/>
    </row>
    <row r="2851" spans="1:2">
      <c r="A2851" s="670"/>
      <c r="B2851" s="655"/>
    </row>
    <row r="2852" spans="1:2">
      <c r="A2852" s="670"/>
      <c r="B2852" s="655"/>
    </row>
    <row r="2853" spans="1:2">
      <c r="A2853" s="670"/>
      <c r="B2853" s="655"/>
    </row>
    <row r="2854" spans="1:2">
      <c r="A2854" s="670"/>
      <c r="B2854" s="655"/>
    </row>
    <row r="2855" spans="1:2">
      <c r="A2855" s="670"/>
      <c r="B2855" s="655"/>
    </row>
    <row r="2856" spans="1:2">
      <c r="A2856" s="670"/>
      <c r="B2856" s="655"/>
    </row>
    <row r="2857" spans="1:2">
      <c r="A2857" s="670"/>
      <c r="B2857" s="655"/>
    </row>
    <row r="2858" spans="1:2">
      <c r="A2858" s="670"/>
      <c r="B2858" s="655"/>
    </row>
    <row r="2859" spans="1:2">
      <c r="A2859" s="670"/>
      <c r="B2859" s="655"/>
    </row>
    <row r="2860" spans="1:2">
      <c r="A2860" s="670"/>
      <c r="B2860" s="655"/>
    </row>
    <row r="2861" spans="1:2">
      <c r="A2861" s="670"/>
      <c r="B2861" s="655"/>
    </row>
    <row r="2862" spans="1:2">
      <c r="A2862" s="670"/>
      <c r="B2862" s="655"/>
    </row>
    <row r="2863" spans="1:2">
      <c r="A2863" s="670"/>
      <c r="B2863" s="655"/>
    </row>
    <row r="2864" spans="1:2">
      <c r="A2864" s="670"/>
      <c r="B2864" s="655"/>
    </row>
    <row r="2865" spans="1:2">
      <c r="A2865" s="670"/>
      <c r="B2865" s="655"/>
    </row>
    <row r="2866" spans="1:2">
      <c r="A2866" s="670"/>
      <c r="B2866" s="655"/>
    </row>
    <row r="2867" spans="1:2">
      <c r="A2867" s="670"/>
      <c r="B2867" s="655"/>
    </row>
    <row r="2868" spans="1:2">
      <c r="A2868" s="670"/>
      <c r="B2868" s="655"/>
    </row>
    <row r="2869" spans="1:2">
      <c r="A2869" s="670"/>
      <c r="B2869" s="655"/>
    </row>
    <row r="2870" spans="1:2">
      <c r="A2870" s="670"/>
      <c r="B2870" s="655"/>
    </row>
    <row r="2871" spans="1:2">
      <c r="A2871" s="670"/>
      <c r="B2871" s="655"/>
    </row>
    <row r="2872" spans="1:2">
      <c r="A2872" s="670"/>
      <c r="B2872" s="655"/>
    </row>
    <row r="2873" spans="1:2">
      <c r="A2873" s="670"/>
      <c r="B2873" s="655"/>
    </row>
    <row r="2874" spans="1:2">
      <c r="A2874" s="670"/>
      <c r="B2874" s="655"/>
    </row>
    <row r="2875" spans="1:2">
      <c r="A2875" s="670"/>
      <c r="B2875" s="655"/>
    </row>
    <row r="2876" spans="1:2">
      <c r="A2876" s="670"/>
      <c r="B2876" s="655"/>
    </row>
    <row r="2877" spans="1:2">
      <c r="A2877" s="670"/>
      <c r="B2877" s="655"/>
    </row>
    <row r="2878" spans="1:2">
      <c r="A2878" s="670"/>
      <c r="B2878" s="655"/>
    </row>
    <row r="2879" spans="1:2">
      <c r="A2879" s="670"/>
      <c r="B2879" s="655"/>
    </row>
    <row r="2880" spans="1:2">
      <c r="A2880" s="670"/>
      <c r="B2880" s="655"/>
    </row>
    <row r="2881" spans="1:2">
      <c r="A2881" s="670"/>
      <c r="B2881" s="655"/>
    </row>
    <row r="2882" spans="1:2">
      <c r="A2882" s="670"/>
      <c r="B2882" s="655"/>
    </row>
    <row r="2883" spans="1:2">
      <c r="A2883" s="670"/>
      <c r="B2883" s="655"/>
    </row>
    <row r="2884" spans="1:2">
      <c r="A2884" s="670"/>
      <c r="B2884" s="655"/>
    </row>
    <row r="2885" spans="1:2">
      <c r="A2885" s="670"/>
      <c r="B2885" s="655"/>
    </row>
    <row r="2886" spans="1:2">
      <c r="A2886" s="670"/>
      <c r="B2886" s="655"/>
    </row>
    <row r="2887" spans="1:2">
      <c r="A2887" s="670"/>
      <c r="B2887" s="655"/>
    </row>
    <row r="2888" spans="1:2">
      <c r="A2888" s="670"/>
      <c r="B2888" s="655"/>
    </row>
    <row r="2889" spans="1:2">
      <c r="A2889" s="670"/>
      <c r="B2889" s="655"/>
    </row>
    <row r="2890" spans="1:2">
      <c r="A2890" s="670"/>
      <c r="B2890" s="655"/>
    </row>
    <row r="2891" spans="1:2">
      <c r="A2891" s="670"/>
      <c r="B2891" s="655"/>
    </row>
    <row r="2892" spans="1:2">
      <c r="A2892" s="670"/>
      <c r="B2892" s="655"/>
    </row>
    <row r="2893" spans="1:2">
      <c r="A2893" s="670"/>
      <c r="B2893" s="655"/>
    </row>
    <row r="2894" spans="1:2">
      <c r="A2894" s="670"/>
      <c r="B2894" s="655"/>
    </row>
    <row r="2895" spans="1:2">
      <c r="A2895" s="670"/>
      <c r="B2895" s="655"/>
    </row>
    <row r="2896" spans="1:2">
      <c r="A2896" s="670"/>
      <c r="B2896" s="655"/>
    </row>
    <row r="2897" spans="1:2">
      <c r="A2897" s="670"/>
      <c r="B2897" s="655"/>
    </row>
    <row r="2898" spans="1:2">
      <c r="A2898" s="670"/>
      <c r="B2898" s="655"/>
    </row>
    <row r="2899" spans="1:2">
      <c r="A2899" s="670"/>
      <c r="B2899" s="655"/>
    </row>
    <row r="2900" spans="1:2">
      <c r="A2900" s="670"/>
      <c r="B2900" s="655"/>
    </row>
    <row r="2901" spans="1:2">
      <c r="A2901" s="670"/>
      <c r="B2901" s="655"/>
    </row>
    <row r="2902" spans="1:2">
      <c r="A2902" s="670"/>
      <c r="B2902" s="655"/>
    </row>
    <row r="2903" spans="1:2">
      <c r="A2903" s="670"/>
      <c r="B2903" s="655"/>
    </row>
    <row r="2904" spans="1:2">
      <c r="A2904" s="670"/>
      <c r="B2904" s="655"/>
    </row>
    <row r="2905" spans="1:2">
      <c r="A2905" s="670"/>
      <c r="B2905" s="655"/>
    </row>
    <row r="2906" spans="1:2">
      <c r="A2906" s="670"/>
      <c r="B2906" s="655"/>
    </row>
    <row r="2907" spans="1:2">
      <c r="A2907" s="670"/>
      <c r="B2907" s="655"/>
    </row>
    <row r="2908" spans="1:2">
      <c r="A2908" s="670"/>
      <c r="B2908" s="655"/>
    </row>
    <row r="2909" spans="1:2">
      <c r="A2909" s="670"/>
      <c r="B2909" s="655"/>
    </row>
    <row r="2910" spans="1:2">
      <c r="A2910" s="670"/>
      <c r="B2910" s="655"/>
    </row>
    <row r="2911" spans="1:2">
      <c r="A2911" s="670"/>
      <c r="B2911" s="655"/>
    </row>
    <row r="2912" spans="1:2">
      <c r="A2912" s="670"/>
      <c r="B2912" s="655"/>
    </row>
    <row r="2913" spans="1:2">
      <c r="A2913" s="670"/>
      <c r="B2913" s="655"/>
    </row>
    <row r="2914" spans="1:2">
      <c r="A2914" s="670"/>
      <c r="B2914" s="655"/>
    </row>
    <row r="2915" spans="1:2">
      <c r="A2915" s="670"/>
      <c r="B2915" s="655"/>
    </row>
    <row r="2916" spans="1:2">
      <c r="A2916" s="670"/>
      <c r="B2916" s="655"/>
    </row>
    <row r="2917" spans="1:2">
      <c r="A2917" s="670"/>
      <c r="B2917" s="655"/>
    </row>
    <row r="2918" spans="1:2">
      <c r="A2918" s="670"/>
      <c r="B2918" s="655"/>
    </row>
    <row r="2919" spans="1:2">
      <c r="A2919" s="670"/>
      <c r="B2919" s="655"/>
    </row>
    <row r="2920" spans="1:2">
      <c r="A2920" s="670"/>
      <c r="B2920" s="655"/>
    </row>
    <row r="2921" spans="1:2">
      <c r="A2921" s="670"/>
      <c r="B2921" s="655"/>
    </row>
    <row r="2922" spans="1:2">
      <c r="A2922" s="670"/>
      <c r="B2922" s="655"/>
    </row>
    <row r="2923" spans="1:2">
      <c r="A2923" s="670"/>
      <c r="B2923" s="655"/>
    </row>
    <row r="2924" spans="1:2">
      <c r="A2924" s="670"/>
      <c r="B2924" s="655"/>
    </row>
    <row r="2925" spans="1:2">
      <c r="A2925" s="670"/>
      <c r="B2925" s="655"/>
    </row>
    <row r="2926" spans="1:2">
      <c r="A2926" s="670"/>
      <c r="B2926" s="655"/>
    </row>
    <row r="2927" spans="1:2">
      <c r="A2927" s="670"/>
      <c r="B2927" s="655"/>
    </row>
    <row r="2928" spans="1:2">
      <c r="A2928" s="670"/>
      <c r="B2928" s="655"/>
    </row>
    <row r="2929" spans="1:2">
      <c r="A2929" s="670"/>
      <c r="B2929" s="655"/>
    </row>
    <row r="2930" spans="1:2">
      <c r="A2930" s="670"/>
      <c r="B2930" s="655"/>
    </row>
    <row r="2931" spans="1:2">
      <c r="A2931" s="670"/>
      <c r="B2931" s="655"/>
    </row>
    <row r="2932" spans="1:2">
      <c r="A2932" s="670"/>
      <c r="B2932" s="655"/>
    </row>
    <row r="2933" spans="1:2">
      <c r="A2933" s="670"/>
      <c r="B2933" s="655"/>
    </row>
    <row r="2934" spans="1:2">
      <c r="A2934" s="670"/>
      <c r="B2934" s="655"/>
    </row>
    <row r="2935" spans="1:2">
      <c r="A2935" s="670"/>
      <c r="B2935" s="655"/>
    </row>
    <row r="2936" spans="1:2">
      <c r="A2936" s="670"/>
      <c r="B2936" s="655"/>
    </row>
    <row r="2937" spans="1:2">
      <c r="A2937" s="670"/>
      <c r="B2937" s="655"/>
    </row>
    <row r="2938" spans="1:2">
      <c r="A2938" s="670"/>
      <c r="B2938" s="655"/>
    </row>
    <row r="2939" spans="1:2">
      <c r="A2939" s="670"/>
      <c r="B2939" s="655"/>
    </row>
    <row r="2940" spans="1:2">
      <c r="A2940" s="670"/>
      <c r="B2940" s="655"/>
    </row>
    <row r="2941" spans="1:2">
      <c r="A2941" s="670"/>
      <c r="B2941" s="655"/>
    </row>
    <row r="2942" spans="1:2">
      <c r="A2942" s="670"/>
      <c r="B2942" s="655"/>
    </row>
    <row r="2943" spans="1:2">
      <c r="A2943" s="670"/>
      <c r="B2943" s="655"/>
    </row>
    <row r="2944" spans="1:2">
      <c r="A2944" s="670"/>
      <c r="B2944" s="655"/>
    </row>
    <row r="2945" spans="1:2">
      <c r="A2945" s="670"/>
      <c r="B2945" s="655"/>
    </row>
    <row r="2946" spans="1:2">
      <c r="A2946" s="670"/>
      <c r="B2946" s="655"/>
    </row>
    <row r="2947" spans="1:2">
      <c r="A2947" s="670"/>
      <c r="B2947" s="655"/>
    </row>
    <row r="2948" spans="1:2">
      <c r="A2948" s="670"/>
      <c r="B2948" s="655"/>
    </row>
    <row r="2949" spans="1:2">
      <c r="A2949" s="670"/>
      <c r="B2949" s="655"/>
    </row>
    <row r="2950" spans="1:2">
      <c r="A2950" s="670"/>
      <c r="B2950" s="655"/>
    </row>
    <row r="2951" spans="1:2">
      <c r="A2951" s="670"/>
      <c r="B2951" s="655"/>
    </row>
    <row r="2952" spans="1:2">
      <c r="A2952" s="670"/>
      <c r="B2952" s="655"/>
    </row>
    <row r="2953" spans="1:2">
      <c r="A2953" s="670"/>
      <c r="B2953" s="655"/>
    </row>
    <row r="2954" spans="1:2">
      <c r="A2954" s="670"/>
      <c r="B2954" s="655"/>
    </row>
    <row r="2955" spans="1:2">
      <c r="A2955" s="670"/>
      <c r="B2955" s="655"/>
    </row>
    <row r="2956" spans="1:2">
      <c r="A2956" s="670"/>
      <c r="B2956" s="655"/>
    </row>
    <row r="2957" spans="1:2">
      <c r="A2957" s="670"/>
      <c r="B2957" s="655"/>
    </row>
    <row r="2958" spans="1:2">
      <c r="A2958" s="670"/>
      <c r="B2958" s="655"/>
    </row>
    <row r="2959" spans="1:2">
      <c r="A2959" s="670"/>
      <c r="B2959" s="655"/>
    </row>
    <row r="2960" spans="1:2">
      <c r="A2960" s="670"/>
      <c r="B2960" s="655"/>
    </row>
    <row r="2961" spans="1:2">
      <c r="A2961" s="670"/>
      <c r="B2961" s="655"/>
    </row>
    <row r="2962" spans="1:2">
      <c r="A2962" s="670"/>
      <c r="B2962" s="655"/>
    </row>
    <row r="2963" spans="1:2">
      <c r="A2963" s="670"/>
      <c r="B2963" s="655"/>
    </row>
    <row r="2964" spans="1:2">
      <c r="A2964" s="670"/>
      <c r="B2964" s="655"/>
    </row>
    <row r="2965" spans="1:2">
      <c r="A2965" s="670"/>
      <c r="B2965" s="655"/>
    </row>
    <row r="2966" spans="1:2">
      <c r="A2966" s="670"/>
      <c r="B2966" s="655"/>
    </row>
    <row r="2967" spans="1:2">
      <c r="A2967" s="670"/>
      <c r="B2967" s="655"/>
    </row>
    <row r="2968" spans="1:2">
      <c r="A2968" s="670"/>
      <c r="B2968" s="655"/>
    </row>
    <row r="2969" spans="1:2">
      <c r="A2969" s="670"/>
      <c r="B2969" s="655"/>
    </row>
    <row r="2970" spans="1:2">
      <c r="A2970" s="670"/>
      <c r="B2970" s="655"/>
    </row>
    <row r="2971" spans="1:2">
      <c r="A2971" s="670"/>
      <c r="B2971" s="655"/>
    </row>
    <row r="2972" spans="1:2">
      <c r="A2972" s="670"/>
      <c r="B2972" s="655"/>
    </row>
    <row r="2973" spans="1:2">
      <c r="A2973" s="670"/>
      <c r="B2973" s="655"/>
    </row>
    <row r="2974" spans="1:2">
      <c r="A2974" s="670"/>
      <c r="B2974" s="655"/>
    </row>
    <row r="2975" spans="1:2">
      <c r="A2975" s="670"/>
      <c r="B2975" s="655"/>
    </row>
    <row r="2976" spans="1:2">
      <c r="A2976" s="670"/>
      <c r="B2976" s="655"/>
    </row>
    <row r="2977" spans="1:2">
      <c r="A2977" s="670"/>
      <c r="B2977" s="655"/>
    </row>
    <row r="2978" spans="1:2">
      <c r="A2978" s="670"/>
      <c r="B2978" s="655"/>
    </row>
    <row r="2979" spans="1:2">
      <c r="A2979" s="670"/>
      <c r="B2979" s="655"/>
    </row>
    <row r="2980" spans="1:2">
      <c r="A2980" s="670"/>
      <c r="B2980" s="655"/>
    </row>
    <row r="2981" spans="1:2">
      <c r="A2981" s="670"/>
      <c r="B2981" s="655"/>
    </row>
    <row r="2982" spans="1:2">
      <c r="A2982" s="670"/>
      <c r="B2982" s="655"/>
    </row>
    <row r="2983" spans="1:2">
      <c r="A2983" s="670"/>
      <c r="B2983" s="655"/>
    </row>
    <row r="2984" spans="1:2">
      <c r="A2984" s="670"/>
      <c r="B2984" s="655"/>
    </row>
    <row r="2985" spans="1:2">
      <c r="A2985" s="670"/>
      <c r="B2985" s="655"/>
    </row>
    <row r="2986" spans="1:2">
      <c r="A2986" s="670"/>
      <c r="B2986" s="655"/>
    </row>
    <row r="2987" spans="1:2">
      <c r="A2987" s="670"/>
      <c r="B2987" s="655"/>
    </row>
    <row r="2988" spans="1:2">
      <c r="A2988" s="670"/>
      <c r="B2988" s="655"/>
    </row>
    <row r="2989" spans="1:2">
      <c r="A2989" s="670"/>
      <c r="B2989" s="655"/>
    </row>
    <row r="2990" spans="1:2">
      <c r="A2990" s="670"/>
      <c r="B2990" s="655"/>
    </row>
    <row r="2991" spans="1:2">
      <c r="A2991" s="670"/>
      <c r="B2991" s="655"/>
    </row>
    <row r="2992" spans="1:2">
      <c r="A2992" s="670"/>
      <c r="B2992" s="655"/>
    </row>
    <row r="2993" spans="1:2">
      <c r="A2993" s="670"/>
      <c r="B2993" s="655"/>
    </row>
    <row r="2994" spans="1:2">
      <c r="A2994" s="670"/>
      <c r="B2994" s="655"/>
    </row>
    <row r="2995" spans="1:2">
      <c r="A2995" s="670"/>
      <c r="B2995" s="655"/>
    </row>
    <row r="2996" spans="1:2">
      <c r="A2996" s="670"/>
      <c r="B2996" s="655"/>
    </row>
    <row r="2997" spans="1:2">
      <c r="A2997" s="670"/>
      <c r="B2997" s="655"/>
    </row>
    <row r="2998" spans="1:2">
      <c r="A2998" s="670"/>
      <c r="B2998" s="655"/>
    </row>
    <row r="2999" spans="1:2">
      <c r="A2999" s="670"/>
      <c r="B2999" s="655"/>
    </row>
    <row r="3000" spans="1:2">
      <c r="A3000" s="670"/>
      <c r="B3000" s="655"/>
    </row>
    <row r="3001" spans="1:2">
      <c r="A3001" s="670"/>
      <c r="B3001" s="655"/>
    </row>
    <row r="3002" spans="1:2">
      <c r="A3002" s="670"/>
      <c r="B3002" s="655"/>
    </row>
    <row r="3003" spans="1:2">
      <c r="A3003" s="670"/>
      <c r="B3003" s="655"/>
    </row>
    <row r="3004" spans="1:2">
      <c r="A3004" s="670"/>
      <c r="B3004" s="655"/>
    </row>
    <row r="3005" spans="1:2">
      <c r="A3005" s="670"/>
      <c r="B3005" s="655"/>
    </row>
    <row r="3006" spans="1:2">
      <c r="A3006" s="670"/>
      <c r="B3006" s="655"/>
    </row>
    <row r="3007" spans="1:2">
      <c r="A3007" s="670"/>
      <c r="B3007" s="655"/>
    </row>
    <row r="3008" spans="1:2">
      <c r="A3008" s="670"/>
      <c r="B3008" s="655"/>
    </row>
    <row r="3009" spans="1:2">
      <c r="A3009" s="670"/>
      <c r="B3009" s="655"/>
    </row>
    <row r="3010" spans="1:2">
      <c r="A3010" s="670"/>
      <c r="B3010" s="655"/>
    </row>
    <row r="3011" spans="1:2">
      <c r="A3011" s="670"/>
      <c r="B3011" s="655"/>
    </row>
    <row r="3012" spans="1:2">
      <c r="A3012" s="670"/>
      <c r="B3012" s="655"/>
    </row>
    <row r="3013" spans="1:2">
      <c r="A3013" s="670"/>
      <c r="B3013" s="655"/>
    </row>
    <row r="3014" spans="1:2">
      <c r="A3014" s="670"/>
      <c r="B3014" s="655"/>
    </row>
    <row r="3015" spans="1:2">
      <c r="A3015" s="670"/>
      <c r="B3015" s="655"/>
    </row>
    <row r="3016" spans="1:2">
      <c r="A3016" s="670"/>
      <c r="B3016" s="655"/>
    </row>
    <row r="3017" spans="1:2">
      <c r="A3017" s="670"/>
      <c r="B3017" s="655"/>
    </row>
    <row r="3018" spans="1:2">
      <c r="A3018" s="670"/>
      <c r="B3018" s="655"/>
    </row>
    <row r="3019" spans="1:2">
      <c r="A3019" s="670"/>
      <c r="B3019" s="655"/>
    </row>
    <row r="3020" spans="1:2">
      <c r="A3020" s="670"/>
      <c r="B3020" s="655"/>
    </row>
    <row r="3021" spans="1:2">
      <c r="A3021" s="670"/>
      <c r="B3021" s="655"/>
    </row>
    <row r="3022" spans="1:2">
      <c r="A3022" s="670"/>
      <c r="B3022" s="655"/>
    </row>
    <row r="3023" spans="1:2">
      <c r="A3023" s="670"/>
      <c r="B3023" s="655"/>
    </row>
    <row r="3024" spans="1:2">
      <c r="A3024" s="670"/>
      <c r="B3024" s="655"/>
    </row>
    <row r="3025" spans="1:2">
      <c r="A3025" s="670"/>
      <c r="B3025" s="655"/>
    </row>
    <row r="3026" spans="1:2">
      <c r="A3026" s="670"/>
      <c r="B3026" s="655"/>
    </row>
    <row r="3027" spans="1:2">
      <c r="A3027" s="670"/>
      <c r="B3027" s="655"/>
    </row>
    <row r="3028" spans="1:2">
      <c r="A3028" s="670"/>
      <c r="B3028" s="655"/>
    </row>
    <row r="3029" spans="1:2">
      <c r="A3029" s="670"/>
      <c r="B3029" s="655"/>
    </row>
    <row r="3030" spans="1:2">
      <c r="A3030" s="670"/>
      <c r="B3030" s="655"/>
    </row>
    <row r="3031" spans="1:2">
      <c r="A3031" s="670"/>
      <c r="B3031" s="655"/>
    </row>
    <row r="3032" spans="1:2">
      <c r="A3032" s="670"/>
      <c r="B3032" s="655"/>
    </row>
    <row r="3033" spans="1:2">
      <c r="A3033" s="670"/>
      <c r="B3033" s="655"/>
    </row>
    <row r="3034" spans="1:2">
      <c r="A3034" s="670"/>
      <c r="B3034" s="655"/>
    </row>
    <row r="3035" spans="1:2">
      <c r="A3035" s="670"/>
      <c r="B3035" s="655"/>
    </row>
    <row r="3036" spans="1:2">
      <c r="A3036" s="670"/>
      <c r="B3036" s="655"/>
    </row>
    <row r="3037" spans="1:2">
      <c r="A3037" s="670"/>
      <c r="B3037" s="655"/>
    </row>
    <row r="3038" spans="1:2">
      <c r="A3038" s="670"/>
      <c r="B3038" s="655"/>
    </row>
    <row r="3039" spans="1:2">
      <c r="A3039" s="670"/>
      <c r="B3039" s="655"/>
    </row>
    <row r="3040" spans="1:2">
      <c r="A3040" s="670"/>
      <c r="B3040" s="655"/>
    </row>
    <row r="3041" spans="1:2">
      <c r="A3041" s="670"/>
      <c r="B3041" s="655"/>
    </row>
    <row r="3042" spans="1:2">
      <c r="A3042" s="670"/>
      <c r="B3042" s="655"/>
    </row>
    <row r="3043" spans="1:2">
      <c r="A3043" s="670"/>
      <c r="B3043" s="655"/>
    </row>
    <row r="3044" spans="1:2">
      <c r="A3044" s="670"/>
      <c r="B3044" s="655"/>
    </row>
    <row r="3045" spans="1:2">
      <c r="A3045" s="670"/>
      <c r="B3045" s="655"/>
    </row>
    <row r="3046" spans="1:2">
      <c r="A3046" s="670"/>
      <c r="B3046" s="655"/>
    </row>
    <row r="3047" spans="1:2">
      <c r="A3047" s="670"/>
      <c r="B3047" s="655"/>
    </row>
    <row r="3048" spans="1:2">
      <c r="A3048" s="670"/>
      <c r="B3048" s="655"/>
    </row>
    <row r="3049" spans="1:2">
      <c r="A3049" s="670"/>
      <c r="B3049" s="655"/>
    </row>
    <row r="3050" spans="1:2">
      <c r="A3050" s="670"/>
      <c r="B3050" s="655"/>
    </row>
    <row r="3051" spans="1:2">
      <c r="A3051" s="670"/>
      <c r="B3051" s="655"/>
    </row>
    <row r="3052" spans="1:2">
      <c r="A3052" s="670"/>
      <c r="B3052" s="655"/>
    </row>
    <row r="3053" spans="1:2">
      <c r="A3053" s="670"/>
      <c r="B3053" s="655"/>
    </row>
    <row r="3054" spans="1:2">
      <c r="A3054" s="670"/>
      <c r="B3054" s="655"/>
    </row>
    <row r="3055" spans="1:2">
      <c r="A3055" s="670"/>
      <c r="B3055" s="655"/>
    </row>
    <row r="3056" spans="1:2">
      <c r="A3056" s="670"/>
      <c r="B3056" s="655"/>
    </row>
    <row r="3057" spans="1:2">
      <c r="A3057" s="670"/>
      <c r="B3057" s="655"/>
    </row>
    <row r="3058" spans="1:2">
      <c r="A3058" s="670"/>
      <c r="B3058" s="655"/>
    </row>
    <row r="3059" spans="1:2">
      <c r="A3059" s="670"/>
      <c r="B3059" s="655"/>
    </row>
    <row r="3060" spans="1:2">
      <c r="A3060" s="670"/>
      <c r="B3060" s="655"/>
    </row>
    <row r="3061" spans="1:2">
      <c r="A3061" s="670"/>
      <c r="B3061" s="655"/>
    </row>
    <row r="3062" spans="1:2">
      <c r="A3062" s="670"/>
      <c r="B3062" s="655"/>
    </row>
    <row r="3063" spans="1:2">
      <c r="A3063" s="670"/>
      <c r="B3063" s="655"/>
    </row>
    <row r="3064" spans="1:2">
      <c r="A3064" s="670"/>
      <c r="B3064" s="655"/>
    </row>
    <row r="3065" spans="1:2">
      <c r="A3065" s="670"/>
      <c r="B3065" s="655"/>
    </row>
    <row r="3066" spans="1:2">
      <c r="A3066" s="670"/>
      <c r="B3066" s="655"/>
    </row>
    <row r="3067" spans="1:2">
      <c r="A3067" s="670"/>
      <c r="B3067" s="655"/>
    </row>
    <row r="3068" spans="1:2">
      <c r="A3068" s="670"/>
      <c r="B3068" s="655"/>
    </row>
    <row r="3069" spans="1:2">
      <c r="A3069" s="670"/>
      <c r="B3069" s="655"/>
    </row>
    <row r="3070" spans="1:2">
      <c r="A3070" s="670"/>
      <c r="B3070" s="655"/>
    </row>
    <row r="3071" spans="1:2">
      <c r="A3071" s="670"/>
      <c r="B3071" s="655"/>
    </row>
    <row r="3072" spans="1:2">
      <c r="A3072" s="670"/>
      <c r="B3072" s="655"/>
    </row>
    <row r="3073" spans="1:2">
      <c r="A3073" s="670"/>
      <c r="B3073" s="655"/>
    </row>
    <row r="3074" spans="1:2">
      <c r="A3074" s="670"/>
      <c r="B3074" s="655"/>
    </row>
    <row r="3075" spans="1:2">
      <c r="A3075" s="670"/>
      <c r="B3075" s="655"/>
    </row>
    <row r="3076" spans="1:2">
      <c r="A3076" s="670"/>
      <c r="B3076" s="655"/>
    </row>
    <row r="3077" spans="1:2">
      <c r="A3077" s="670"/>
      <c r="B3077" s="655"/>
    </row>
    <row r="3078" spans="1:2">
      <c r="A3078" s="670"/>
      <c r="B3078" s="655"/>
    </row>
    <row r="3079" spans="1:2">
      <c r="A3079" s="670"/>
      <c r="B3079" s="655"/>
    </row>
    <row r="3080" spans="1:2">
      <c r="A3080" s="670"/>
      <c r="B3080" s="655"/>
    </row>
    <row r="3081" spans="1:2">
      <c r="A3081" s="670"/>
      <c r="B3081" s="655"/>
    </row>
    <row r="3082" spans="1:2">
      <c r="A3082" s="670"/>
      <c r="B3082" s="655"/>
    </row>
    <row r="3083" spans="1:2">
      <c r="A3083" s="670"/>
      <c r="B3083" s="655"/>
    </row>
    <row r="3084" spans="1:2">
      <c r="A3084" s="670"/>
      <c r="B3084" s="655"/>
    </row>
    <row r="3085" spans="1:2">
      <c r="A3085" s="670"/>
      <c r="B3085" s="655"/>
    </row>
    <row r="3086" spans="1:2">
      <c r="A3086" s="670"/>
      <c r="B3086" s="655"/>
    </row>
    <row r="3087" spans="1:2">
      <c r="A3087" s="670"/>
      <c r="B3087" s="655"/>
    </row>
    <row r="3088" spans="1:2">
      <c r="A3088" s="670"/>
      <c r="B3088" s="655"/>
    </row>
    <row r="3089" spans="1:2">
      <c r="A3089" s="670"/>
      <c r="B3089" s="655"/>
    </row>
    <row r="3090" spans="1:2">
      <c r="A3090" s="670"/>
      <c r="B3090" s="655"/>
    </row>
    <row r="3091" spans="1:2">
      <c r="A3091" s="670"/>
      <c r="B3091" s="655"/>
    </row>
    <row r="3092" spans="1:2">
      <c r="A3092" s="670"/>
      <c r="B3092" s="655"/>
    </row>
    <row r="3093" spans="1:2">
      <c r="A3093" s="670"/>
      <c r="B3093" s="655"/>
    </row>
    <row r="3094" spans="1:2">
      <c r="A3094" s="670"/>
      <c r="B3094" s="655"/>
    </row>
    <row r="3095" spans="1:2">
      <c r="A3095" s="670"/>
      <c r="B3095" s="655"/>
    </row>
    <row r="3096" spans="1:2">
      <c r="A3096" s="670"/>
      <c r="B3096" s="655"/>
    </row>
    <row r="3097" spans="1:2">
      <c r="A3097" s="670"/>
      <c r="B3097" s="655"/>
    </row>
    <row r="3098" spans="1:2">
      <c r="A3098" s="670"/>
      <c r="B3098" s="655"/>
    </row>
    <row r="3099" spans="1:2">
      <c r="A3099" s="670"/>
      <c r="B3099" s="655"/>
    </row>
    <row r="3100" spans="1:2">
      <c r="A3100" s="670"/>
      <c r="B3100" s="655"/>
    </row>
    <row r="3101" spans="1:2">
      <c r="A3101" s="670"/>
      <c r="B3101" s="655"/>
    </row>
    <row r="3102" spans="1:2">
      <c r="A3102" s="670"/>
      <c r="B3102" s="655"/>
    </row>
    <row r="3103" spans="1:2">
      <c r="A3103" s="670"/>
      <c r="B3103" s="655"/>
    </row>
    <row r="3104" spans="1:2">
      <c r="A3104" s="670"/>
      <c r="B3104" s="655"/>
    </row>
    <row r="3105" spans="1:2">
      <c r="A3105" s="670"/>
      <c r="B3105" s="655"/>
    </row>
    <row r="3106" spans="1:2">
      <c r="A3106" s="670"/>
      <c r="B3106" s="655"/>
    </row>
    <row r="3107" spans="1:2">
      <c r="A3107" s="670"/>
      <c r="B3107" s="655"/>
    </row>
    <row r="3108" spans="1:2">
      <c r="A3108" s="670"/>
      <c r="B3108" s="655"/>
    </row>
    <row r="3109" spans="1:2">
      <c r="A3109" s="670"/>
      <c r="B3109" s="655"/>
    </row>
    <row r="3110" spans="1:2">
      <c r="A3110" s="670"/>
      <c r="B3110" s="655"/>
    </row>
    <row r="3111" spans="1:2">
      <c r="A3111" s="670"/>
      <c r="B3111" s="655"/>
    </row>
    <row r="3112" spans="1:2">
      <c r="A3112" s="670"/>
      <c r="B3112" s="655"/>
    </row>
    <row r="3113" spans="1:2">
      <c r="A3113" s="670"/>
      <c r="B3113" s="655"/>
    </row>
    <row r="3114" spans="1:2">
      <c r="A3114" s="670"/>
      <c r="B3114" s="655"/>
    </row>
    <row r="3115" spans="1:2">
      <c r="A3115" s="670"/>
      <c r="B3115" s="655"/>
    </row>
    <row r="3116" spans="1:2">
      <c r="A3116" s="670"/>
      <c r="B3116" s="655"/>
    </row>
    <row r="3117" spans="1:2">
      <c r="A3117" s="670"/>
      <c r="B3117" s="655"/>
    </row>
    <row r="3118" spans="1:2">
      <c r="A3118" s="670"/>
      <c r="B3118" s="655"/>
    </row>
    <row r="3119" spans="1:2">
      <c r="A3119" s="670"/>
      <c r="B3119" s="655"/>
    </row>
    <row r="3120" spans="1:2">
      <c r="A3120" s="670"/>
      <c r="B3120" s="655"/>
    </row>
    <row r="3121" spans="1:2">
      <c r="A3121" s="670"/>
      <c r="B3121" s="655"/>
    </row>
    <row r="3122" spans="1:2">
      <c r="A3122" s="670"/>
      <c r="B3122" s="655"/>
    </row>
    <row r="3123" spans="1:2">
      <c r="A3123" s="670"/>
      <c r="B3123" s="655"/>
    </row>
    <row r="3124" spans="1:2">
      <c r="A3124" s="670"/>
      <c r="B3124" s="655"/>
    </row>
    <row r="3125" spans="1:2">
      <c r="A3125" s="670"/>
      <c r="B3125" s="655"/>
    </row>
    <row r="3126" spans="1:2">
      <c r="A3126" s="670"/>
      <c r="B3126" s="655"/>
    </row>
    <row r="3127" spans="1:2">
      <c r="A3127" s="670"/>
      <c r="B3127" s="655"/>
    </row>
    <row r="3128" spans="1:2">
      <c r="A3128" s="670"/>
      <c r="B3128" s="655"/>
    </row>
    <row r="3129" spans="1:2">
      <c r="A3129" s="670"/>
      <c r="B3129" s="655"/>
    </row>
    <row r="3130" spans="1:2">
      <c r="A3130" s="670"/>
      <c r="B3130" s="655"/>
    </row>
    <row r="3131" spans="1:2">
      <c r="A3131" s="670"/>
      <c r="B3131" s="655"/>
    </row>
    <row r="3132" spans="1:2">
      <c r="A3132" s="670"/>
      <c r="B3132" s="655"/>
    </row>
    <row r="3133" spans="1:2">
      <c r="A3133" s="670"/>
      <c r="B3133" s="655"/>
    </row>
    <row r="3134" spans="1:2">
      <c r="A3134" s="670"/>
      <c r="B3134" s="655"/>
    </row>
    <row r="3135" spans="1:2">
      <c r="A3135" s="670"/>
      <c r="B3135" s="655"/>
    </row>
    <row r="3136" spans="1:2">
      <c r="A3136" s="670"/>
      <c r="B3136" s="655"/>
    </row>
    <row r="3137" spans="1:2">
      <c r="A3137" s="670"/>
      <c r="B3137" s="655"/>
    </row>
    <row r="3138" spans="1:2">
      <c r="A3138" s="670"/>
      <c r="B3138" s="655"/>
    </row>
    <row r="3139" spans="1:2">
      <c r="A3139" s="670"/>
      <c r="B3139" s="655"/>
    </row>
    <row r="3140" spans="1:2">
      <c r="A3140" s="670"/>
      <c r="B3140" s="655"/>
    </row>
    <row r="3141" spans="1:2">
      <c r="A3141" s="670"/>
      <c r="B3141" s="655"/>
    </row>
    <row r="3142" spans="1:2">
      <c r="A3142" s="670"/>
      <c r="B3142" s="655"/>
    </row>
    <row r="3143" spans="1:2">
      <c r="A3143" s="670"/>
      <c r="B3143" s="655"/>
    </row>
    <row r="3144" spans="1:2">
      <c r="A3144" s="670"/>
      <c r="B3144" s="655"/>
    </row>
    <row r="3145" spans="1:2">
      <c r="A3145" s="670"/>
      <c r="B3145" s="655"/>
    </row>
    <row r="3146" spans="1:2">
      <c r="A3146" s="670"/>
      <c r="B3146" s="655"/>
    </row>
    <row r="3147" spans="1:2">
      <c r="A3147" s="670"/>
      <c r="B3147" s="655"/>
    </row>
    <row r="3148" spans="1:2">
      <c r="A3148" s="670"/>
      <c r="B3148" s="655"/>
    </row>
    <row r="3149" spans="1:2">
      <c r="A3149" s="670"/>
      <c r="B3149" s="655"/>
    </row>
    <row r="3150" spans="1:2">
      <c r="A3150" s="670"/>
      <c r="B3150" s="655"/>
    </row>
    <row r="3151" spans="1:2">
      <c r="A3151" s="670"/>
      <c r="B3151" s="655"/>
    </row>
    <row r="3152" spans="1:2">
      <c r="A3152" s="670"/>
      <c r="B3152" s="655"/>
    </row>
    <row r="3153" spans="1:2">
      <c r="A3153" s="670"/>
      <c r="B3153" s="655"/>
    </row>
    <row r="3154" spans="1:2">
      <c r="A3154" s="670"/>
      <c r="B3154" s="655"/>
    </row>
    <row r="3155" spans="1:2">
      <c r="A3155" s="670"/>
      <c r="B3155" s="655"/>
    </row>
    <row r="3156" spans="1:2">
      <c r="A3156" s="670"/>
      <c r="B3156" s="655"/>
    </row>
    <row r="3157" spans="1:2">
      <c r="A3157" s="670"/>
      <c r="B3157" s="655"/>
    </row>
    <row r="3158" spans="1:2">
      <c r="A3158" s="670"/>
      <c r="B3158" s="655"/>
    </row>
    <row r="3159" spans="1:2">
      <c r="A3159" s="670"/>
      <c r="B3159" s="655"/>
    </row>
    <row r="3160" spans="1:2">
      <c r="A3160" s="670"/>
      <c r="B3160" s="655"/>
    </row>
    <row r="3161" spans="1:2">
      <c r="A3161" s="670"/>
      <c r="B3161" s="655"/>
    </row>
    <row r="3162" spans="1:2">
      <c r="A3162" s="670"/>
      <c r="B3162" s="655"/>
    </row>
    <row r="3163" spans="1:2">
      <c r="A3163" s="670"/>
      <c r="B3163" s="655"/>
    </row>
    <row r="3164" spans="1:2">
      <c r="A3164" s="670"/>
      <c r="B3164" s="655"/>
    </row>
    <row r="3165" spans="1:2">
      <c r="A3165" s="670"/>
      <c r="B3165" s="655"/>
    </row>
    <row r="3166" spans="1:2">
      <c r="A3166" s="670"/>
      <c r="B3166" s="655"/>
    </row>
    <row r="3167" spans="1:2">
      <c r="A3167" s="670"/>
      <c r="B3167" s="655"/>
    </row>
    <row r="3168" spans="1:2">
      <c r="A3168" s="670"/>
      <c r="B3168" s="655"/>
    </row>
    <row r="3169" spans="1:2">
      <c r="A3169" s="670"/>
      <c r="B3169" s="655"/>
    </row>
    <row r="3170" spans="1:2">
      <c r="A3170" s="670"/>
      <c r="B3170" s="655"/>
    </row>
    <row r="3171" spans="1:2">
      <c r="A3171" s="670"/>
      <c r="B3171" s="655"/>
    </row>
    <row r="3172" spans="1:2">
      <c r="A3172" s="670"/>
      <c r="B3172" s="655"/>
    </row>
    <row r="3173" spans="1:2">
      <c r="A3173" s="670"/>
      <c r="B3173" s="655"/>
    </row>
    <row r="3174" spans="1:2">
      <c r="A3174" s="670"/>
      <c r="B3174" s="655"/>
    </row>
    <row r="3175" spans="1:2">
      <c r="A3175" s="670"/>
      <c r="B3175" s="655"/>
    </row>
    <row r="3176" spans="1:2">
      <c r="A3176" s="670"/>
      <c r="B3176" s="655"/>
    </row>
    <row r="3177" spans="1:2">
      <c r="A3177" s="670"/>
      <c r="B3177" s="655"/>
    </row>
    <row r="3178" spans="1:2">
      <c r="A3178" s="670"/>
      <c r="B3178" s="655"/>
    </row>
    <row r="3179" spans="1:2">
      <c r="A3179" s="670"/>
      <c r="B3179" s="655"/>
    </row>
    <row r="3180" spans="1:2">
      <c r="A3180" s="670"/>
      <c r="B3180" s="655"/>
    </row>
    <row r="3181" spans="1:2">
      <c r="A3181" s="670"/>
      <c r="B3181" s="655"/>
    </row>
    <row r="3182" spans="1:2">
      <c r="A3182" s="670"/>
      <c r="B3182" s="655"/>
    </row>
    <row r="3183" spans="1:2">
      <c r="A3183" s="670"/>
      <c r="B3183" s="655"/>
    </row>
    <row r="3184" spans="1:2">
      <c r="A3184" s="670"/>
      <c r="B3184" s="655"/>
    </row>
    <row r="3185" spans="1:2">
      <c r="A3185" s="670"/>
      <c r="B3185" s="655"/>
    </row>
    <row r="3186" spans="1:2">
      <c r="A3186" s="670"/>
      <c r="B3186" s="655"/>
    </row>
    <row r="3187" spans="1:2">
      <c r="A3187" s="670"/>
      <c r="B3187" s="655"/>
    </row>
    <row r="3188" spans="1:2">
      <c r="A3188" s="670"/>
      <c r="B3188" s="655"/>
    </row>
    <row r="3189" spans="1:2">
      <c r="A3189" s="670"/>
      <c r="B3189" s="655"/>
    </row>
    <row r="3190" spans="1:2">
      <c r="A3190" s="670"/>
      <c r="B3190" s="655"/>
    </row>
    <row r="3191" spans="1:2">
      <c r="A3191" s="670"/>
      <c r="B3191" s="655"/>
    </row>
    <row r="3192" spans="1:2">
      <c r="A3192" s="670"/>
      <c r="B3192" s="655"/>
    </row>
    <row r="3193" spans="1:2">
      <c r="A3193" s="670"/>
      <c r="B3193" s="655"/>
    </row>
    <row r="3194" spans="1:2">
      <c r="A3194" s="670"/>
      <c r="B3194" s="655"/>
    </row>
    <row r="3195" spans="1:2">
      <c r="A3195" s="670"/>
      <c r="B3195" s="655"/>
    </row>
    <row r="3196" spans="1:2">
      <c r="A3196" s="670"/>
      <c r="B3196" s="655"/>
    </row>
    <row r="3197" spans="1:2">
      <c r="A3197" s="670"/>
      <c r="B3197" s="655"/>
    </row>
    <row r="3198" spans="1:2">
      <c r="A3198" s="670"/>
      <c r="B3198" s="655"/>
    </row>
    <row r="3199" spans="1:2">
      <c r="A3199" s="670"/>
      <c r="B3199" s="655"/>
    </row>
    <row r="3200" spans="1:2">
      <c r="A3200" s="670"/>
      <c r="B3200" s="655"/>
    </row>
    <row r="3201" spans="1:2">
      <c r="A3201" s="670"/>
      <c r="B3201" s="655"/>
    </row>
    <row r="3202" spans="1:2">
      <c r="A3202" s="670"/>
      <c r="B3202" s="655"/>
    </row>
    <row r="3203" spans="1:2">
      <c r="A3203" s="670"/>
      <c r="B3203" s="655"/>
    </row>
    <row r="3204" spans="1:2">
      <c r="A3204" s="670"/>
      <c r="B3204" s="655"/>
    </row>
    <row r="3205" spans="1:2">
      <c r="A3205" s="670"/>
      <c r="B3205" s="655"/>
    </row>
    <row r="3206" spans="1:2">
      <c r="A3206" s="670"/>
      <c r="B3206" s="655"/>
    </row>
    <row r="3207" spans="1:2">
      <c r="A3207" s="670"/>
      <c r="B3207" s="655"/>
    </row>
    <row r="3208" spans="1:2">
      <c r="A3208" s="670"/>
      <c r="B3208" s="655"/>
    </row>
    <row r="3209" spans="1:2">
      <c r="A3209" s="670"/>
      <c r="B3209" s="655"/>
    </row>
    <row r="3210" spans="1:2">
      <c r="A3210" s="670"/>
      <c r="B3210" s="655"/>
    </row>
    <row r="3211" spans="1:2">
      <c r="A3211" s="670"/>
      <c r="B3211" s="655"/>
    </row>
    <row r="3212" spans="1:2">
      <c r="A3212" s="670"/>
      <c r="B3212" s="655"/>
    </row>
    <row r="3213" spans="1:2">
      <c r="A3213" s="670"/>
      <c r="B3213" s="655"/>
    </row>
    <row r="3214" spans="1:2">
      <c r="A3214" s="670"/>
      <c r="B3214" s="655"/>
    </row>
    <row r="3215" spans="1:2">
      <c r="A3215" s="670"/>
      <c r="B3215" s="655"/>
    </row>
    <row r="3216" spans="1:2">
      <c r="A3216" s="670"/>
      <c r="B3216" s="655"/>
    </row>
    <row r="3217" spans="1:2">
      <c r="A3217" s="670"/>
      <c r="B3217" s="655"/>
    </row>
    <row r="3218" spans="1:2">
      <c r="A3218" s="670"/>
      <c r="B3218" s="655"/>
    </row>
    <row r="3219" spans="1:2">
      <c r="A3219" s="670"/>
      <c r="B3219" s="655"/>
    </row>
    <row r="3220" spans="1:2">
      <c r="A3220" s="670"/>
      <c r="B3220" s="655"/>
    </row>
    <row r="3221" spans="1:2">
      <c r="A3221" s="670"/>
      <c r="B3221" s="655"/>
    </row>
    <row r="3222" spans="1:2">
      <c r="A3222" s="670"/>
      <c r="B3222" s="655"/>
    </row>
    <row r="3223" spans="1:2">
      <c r="A3223" s="670"/>
      <c r="B3223" s="655"/>
    </row>
    <row r="3224" spans="1:2">
      <c r="A3224" s="670"/>
      <c r="B3224" s="655"/>
    </row>
    <row r="3225" spans="1:2">
      <c r="A3225" s="670"/>
      <c r="B3225" s="655"/>
    </row>
    <row r="3226" spans="1:2">
      <c r="A3226" s="670"/>
      <c r="B3226" s="655"/>
    </row>
    <row r="3227" spans="1:2">
      <c r="A3227" s="670"/>
      <c r="B3227" s="655"/>
    </row>
    <row r="3228" spans="1:2">
      <c r="A3228" s="670"/>
      <c r="B3228" s="655"/>
    </row>
    <row r="3229" spans="1:2">
      <c r="A3229" s="670"/>
      <c r="B3229" s="655"/>
    </row>
    <row r="3230" spans="1:2">
      <c r="A3230" s="670"/>
      <c r="B3230" s="655"/>
    </row>
    <row r="3231" spans="1:2">
      <c r="A3231" s="670"/>
      <c r="B3231" s="655"/>
    </row>
    <row r="3232" spans="1:2">
      <c r="A3232" s="670"/>
      <c r="B3232" s="655"/>
    </row>
    <row r="3233" spans="1:2">
      <c r="A3233" s="670"/>
      <c r="B3233" s="655"/>
    </row>
    <row r="3234" spans="1:2">
      <c r="A3234" s="670"/>
      <c r="B3234" s="655"/>
    </row>
    <row r="3235" spans="1:2">
      <c r="A3235" s="670"/>
      <c r="B3235" s="655"/>
    </row>
    <row r="3236" spans="1:2">
      <c r="A3236" s="670"/>
      <c r="B3236" s="655"/>
    </row>
    <row r="3237" spans="1:2">
      <c r="A3237" s="670"/>
      <c r="B3237" s="655"/>
    </row>
    <row r="3238" spans="1:2">
      <c r="A3238" s="670"/>
      <c r="B3238" s="655"/>
    </row>
    <row r="3239" spans="1:2">
      <c r="A3239" s="670"/>
      <c r="B3239" s="655"/>
    </row>
    <row r="3240" spans="1:2">
      <c r="A3240" s="670"/>
      <c r="B3240" s="655"/>
    </row>
    <row r="3241" spans="1:2">
      <c r="A3241" s="670"/>
      <c r="B3241" s="655"/>
    </row>
    <row r="3242" spans="1:2">
      <c r="A3242" s="670"/>
      <c r="B3242" s="655"/>
    </row>
    <row r="3243" spans="1:2">
      <c r="A3243" s="670"/>
      <c r="B3243" s="655"/>
    </row>
    <row r="3244" spans="1:2">
      <c r="A3244" s="670"/>
      <c r="B3244" s="655"/>
    </row>
    <row r="3245" spans="1:2">
      <c r="A3245" s="670"/>
      <c r="B3245" s="655"/>
    </row>
    <row r="3246" spans="1:2">
      <c r="A3246" s="670"/>
      <c r="B3246" s="655"/>
    </row>
    <row r="3247" spans="1:2">
      <c r="A3247" s="670"/>
      <c r="B3247" s="655"/>
    </row>
    <row r="3248" spans="1:2">
      <c r="A3248" s="670"/>
      <c r="B3248" s="655"/>
    </row>
    <row r="3249" spans="1:2">
      <c r="A3249" s="670"/>
      <c r="B3249" s="655"/>
    </row>
    <row r="3250" spans="1:2">
      <c r="A3250" s="670"/>
      <c r="B3250" s="655"/>
    </row>
    <row r="3251" spans="1:2">
      <c r="A3251" s="670"/>
      <c r="B3251" s="655"/>
    </row>
    <row r="3252" spans="1:2">
      <c r="A3252" s="670"/>
      <c r="B3252" s="655"/>
    </row>
    <row r="3253" spans="1:2">
      <c r="A3253" s="670"/>
      <c r="B3253" s="655"/>
    </row>
    <row r="3254" spans="1:2">
      <c r="A3254" s="670"/>
      <c r="B3254" s="655"/>
    </row>
    <row r="3255" spans="1:2">
      <c r="A3255" s="670"/>
      <c r="B3255" s="655"/>
    </row>
    <row r="3256" spans="1:2">
      <c r="A3256" s="670"/>
      <c r="B3256" s="655"/>
    </row>
    <row r="3257" spans="1:2">
      <c r="A3257" s="670"/>
      <c r="B3257" s="655"/>
    </row>
    <row r="3258" spans="1:2">
      <c r="A3258" s="670"/>
      <c r="B3258" s="655"/>
    </row>
    <row r="3259" spans="1:2">
      <c r="A3259" s="670"/>
      <c r="B3259" s="655"/>
    </row>
    <row r="3260" spans="1:2">
      <c r="A3260" s="670"/>
      <c r="B3260" s="655"/>
    </row>
    <row r="3261" spans="1:2">
      <c r="A3261" s="670"/>
      <c r="B3261" s="655"/>
    </row>
    <row r="3262" spans="1:2">
      <c r="A3262" s="670"/>
      <c r="B3262" s="655"/>
    </row>
    <row r="3263" spans="1:2">
      <c r="A3263" s="670"/>
      <c r="B3263" s="655"/>
    </row>
    <row r="3264" spans="1:2">
      <c r="A3264" s="670"/>
      <c r="B3264" s="655"/>
    </row>
    <row r="3265" spans="1:2">
      <c r="A3265" s="670"/>
      <c r="B3265" s="655"/>
    </row>
    <row r="3266" spans="1:2">
      <c r="A3266" s="670"/>
      <c r="B3266" s="655"/>
    </row>
    <row r="3267" spans="1:2">
      <c r="A3267" s="670"/>
      <c r="B3267" s="655"/>
    </row>
    <row r="3268" spans="1:2">
      <c r="A3268" s="670"/>
      <c r="B3268" s="655"/>
    </row>
    <row r="3269" spans="1:2">
      <c r="A3269" s="670"/>
      <c r="B3269" s="655"/>
    </row>
    <row r="3270" spans="1:2">
      <c r="A3270" s="670"/>
      <c r="B3270" s="655"/>
    </row>
    <row r="3271" spans="1:2">
      <c r="A3271" s="670"/>
      <c r="B3271" s="655"/>
    </row>
    <row r="3272" spans="1:2">
      <c r="A3272" s="670"/>
      <c r="B3272" s="655"/>
    </row>
    <row r="3273" spans="1:2">
      <c r="A3273" s="670"/>
      <c r="B3273" s="655"/>
    </row>
    <row r="3274" spans="1:2">
      <c r="A3274" s="670"/>
      <c r="B3274" s="655"/>
    </row>
    <row r="3275" spans="1:2">
      <c r="A3275" s="670"/>
      <c r="B3275" s="655"/>
    </row>
    <row r="3276" spans="1:2">
      <c r="A3276" s="670"/>
      <c r="B3276" s="655"/>
    </row>
    <row r="3277" spans="1:2">
      <c r="A3277" s="670"/>
      <c r="B3277" s="655"/>
    </row>
    <row r="3278" spans="1:2">
      <c r="A3278" s="670"/>
      <c r="B3278" s="655"/>
    </row>
    <row r="3279" spans="1:2">
      <c r="A3279" s="670"/>
      <c r="B3279" s="655"/>
    </row>
    <row r="3280" spans="1:2">
      <c r="A3280" s="670"/>
      <c r="B3280" s="655"/>
    </row>
    <row r="3281" spans="1:2">
      <c r="A3281" s="670"/>
      <c r="B3281" s="655"/>
    </row>
    <row r="3282" spans="1:2">
      <c r="A3282" s="670"/>
      <c r="B3282" s="655"/>
    </row>
    <row r="3283" spans="1:2">
      <c r="A3283" s="670"/>
      <c r="B3283" s="655"/>
    </row>
    <row r="3284" spans="1:2">
      <c r="A3284" s="670"/>
      <c r="B3284" s="655"/>
    </row>
    <row r="3285" spans="1:2">
      <c r="A3285" s="670"/>
      <c r="B3285" s="655"/>
    </row>
    <row r="3286" spans="1:2">
      <c r="A3286" s="670"/>
      <c r="B3286" s="655"/>
    </row>
    <row r="3287" spans="1:2">
      <c r="A3287" s="670"/>
      <c r="B3287" s="655"/>
    </row>
    <row r="3288" spans="1:2">
      <c r="A3288" s="670"/>
      <c r="B3288" s="655"/>
    </row>
    <row r="3289" spans="1:2">
      <c r="A3289" s="670"/>
      <c r="B3289" s="655"/>
    </row>
    <row r="3290" spans="1:2">
      <c r="A3290" s="670"/>
      <c r="B3290" s="655"/>
    </row>
    <row r="3291" spans="1:2">
      <c r="A3291" s="670"/>
      <c r="B3291" s="655"/>
    </row>
    <row r="3292" spans="1:2">
      <c r="A3292" s="670"/>
      <c r="B3292" s="655"/>
    </row>
    <row r="3293" spans="1:2">
      <c r="A3293" s="670"/>
      <c r="B3293" s="655"/>
    </row>
    <row r="3294" spans="1:2">
      <c r="A3294" s="670"/>
      <c r="B3294" s="655"/>
    </row>
    <row r="3295" spans="1:2">
      <c r="A3295" s="670"/>
      <c r="B3295" s="655"/>
    </row>
    <row r="3296" spans="1:2">
      <c r="A3296" s="670"/>
      <c r="B3296" s="655"/>
    </row>
    <row r="3297" spans="1:2">
      <c r="A3297" s="670"/>
      <c r="B3297" s="655"/>
    </row>
    <row r="3298" spans="1:2">
      <c r="A3298" s="670"/>
      <c r="B3298" s="655"/>
    </row>
    <row r="3299" spans="1:2">
      <c r="A3299" s="670"/>
      <c r="B3299" s="655"/>
    </row>
    <row r="3300" spans="1:2">
      <c r="A3300" s="670"/>
      <c r="B3300" s="655"/>
    </row>
    <row r="3301" spans="1:2">
      <c r="A3301" s="670"/>
      <c r="B3301" s="655"/>
    </row>
    <row r="3302" spans="1:2">
      <c r="A3302" s="670"/>
      <c r="B3302" s="655"/>
    </row>
    <row r="3303" spans="1:2">
      <c r="A3303" s="670"/>
      <c r="B3303" s="655"/>
    </row>
    <row r="3304" spans="1:2">
      <c r="A3304" s="670"/>
      <c r="B3304" s="655"/>
    </row>
    <row r="3305" spans="1:2">
      <c r="A3305" s="670"/>
      <c r="B3305" s="655"/>
    </row>
    <row r="3306" spans="1:2">
      <c r="A3306" s="670"/>
      <c r="B3306" s="655"/>
    </row>
    <row r="3307" spans="1:2">
      <c r="A3307" s="670"/>
      <c r="B3307" s="655"/>
    </row>
    <row r="3308" spans="1:2">
      <c r="A3308" s="670"/>
      <c r="B3308" s="655"/>
    </row>
    <row r="3309" spans="1:2">
      <c r="A3309" s="670"/>
      <c r="B3309" s="655"/>
    </row>
    <row r="3310" spans="1:2">
      <c r="A3310" s="670"/>
      <c r="B3310" s="655"/>
    </row>
    <row r="3311" spans="1:2">
      <c r="A3311" s="670"/>
      <c r="B3311" s="655"/>
    </row>
    <row r="3312" spans="1:2">
      <c r="A3312" s="670"/>
      <c r="B3312" s="655"/>
    </row>
    <row r="3313" spans="1:2">
      <c r="A3313" s="670"/>
      <c r="B3313" s="655"/>
    </row>
    <row r="3314" spans="1:2">
      <c r="A3314" s="670"/>
      <c r="B3314" s="655"/>
    </row>
    <row r="3315" spans="1:2">
      <c r="A3315" s="670"/>
      <c r="B3315" s="655"/>
    </row>
    <row r="3316" spans="1:2">
      <c r="A3316" s="670"/>
      <c r="B3316" s="655"/>
    </row>
    <row r="3317" spans="1:2">
      <c r="A3317" s="670"/>
      <c r="B3317" s="655"/>
    </row>
    <row r="3318" spans="1:2">
      <c r="A3318" s="670"/>
      <c r="B3318" s="655"/>
    </row>
    <row r="3319" spans="1:2">
      <c r="A3319" s="670"/>
      <c r="B3319" s="655"/>
    </row>
    <row r="3320" spans="1:2">
      <c r="A3320" s="670"/>
      <c r="B3320" s="655"/>
    </row>
    <row r="3321" spans="1:2">
      <c r="A3321" s="670"/>
      <c r="B3321" s="655"/>
    </row>
    <row r="3322" spans="1:2">
      <c r="A3322" s="670"/>
      <c r="B3322" s="655"/>
    </row>
    <row r="3323" spans="1:2">
      <c r="A3323" s="670"/>
      <c r="B3323" s="655"/>
    </row>
    <row r="3324" spans="1:2">
      <c r="A3324" s="670"/>
      <c r="B3324" s="655"/>
    </row>
    <row r="3325" spans="1:2">
      <c r="A3325" s="670"/>
      <c r="B3325" s="655"/>
    </row>
    <row r="3326" spans="1:2">
      <c r="A3326" s="670"/>
      <c r="B3326" s="655"/>
    </row>
    <row r="3327" spans="1:2">
      <c r="A3327" s="670"/>
      <c r="B3327" s="655"/>
    </row>
    <row r="3328" spans="1:2">
      <c r="A3328" s="670"/>
      <c r="B3328" s="655"/>
    </row>
    <row r="3329" spans="1:2">
      <c r="A3329" s="670"/>
      <c r="B3329" s="655"/>
    </row>
    <row r="3330" spans="1:2">
      <c r="A3330" s="670"/>
      <c r="B3330" s="655"/>
    </row>
    <row r="3331" spans="1:2">
      <c r="A3331" s="670"/>
      <c r="B3331" s="655"/>
    </row>
    <row r="3332" spans="1:2">
      <c r="A3332" s="670"/>
      <c r="B3332" s="655"/>
    </row>
    <row r="3333" spans="1:2">
      <c r="A3333" s="670"/>
      <c r="B3333" s="655"/>
    </row>
    <row r="3334" spans="1:2">
      <c r="A3334" s="670"/>
      <c r="B3334" s="655"/>
    </row>
    <row r="3335" spans="1:2">
      <c r="A3335" s="670"/>
      <c r="B3335" s="655"/>
    </row>
    <row r="3336" spans="1:2">
      <c r="A3336" s="670"/>
      <c r="B3336" s="655"/>
    </row>
    <row r="3337" spans="1:2">
      <c r="A3337" s="670"/>
      <c r="B3337" s="655"/>
    </row>
    <row r="3338" spans="1:2">
      <c r="A3338" s="670"/>
      <c r="B3338" s="655"/>
    </row>
    <row r="3339" spans="1:2">
      <c r="A3339" s="670"/>
      <c r="B3339" s="655"/>
    </row>
    <row r="3340" spans="1:2">
      <c r="A3340" s="670"/>
      <c r="B3340" s="655"/>
    </row>
    <row r="3341" spans="1:2">
      <c r="A3341" s="670"/>
      <c r="B3341" s="655"/>
    </row>
    <row r="3342" spans="1:2">
      <c r="A3342" s="670"/>
      <c r="B3342" s="655"/>
    </row>
    <row r="3343" spans="1:2">
      <c r="A3343" s="670"/>
      <c r="B3343" s="655"/>
    </row>
    <row r="3344" spans="1:2">
      <c r="A3344" s="670"/>
      <c r="B3344" s="655"/>
    </row>
    <row r="3345" spans="1:2">
      <c r="A3345" s="670"/>
      <c r="B3345" s="655"/>
    </row>
    <row r="3346" spans="1:2">
      <c r="A3346" s="670"/>
      <c r="B3346" s="655"/>
    </row>
    <row r="3347" spans="1:2">
      <c r="A3347" s="670"/>
      <c r="B3347" s="655"/>
    </row>
    <row r="3348" spans="1:2">
      <c r="A3348" s="670"/>
      <c r="B3348" s="655"/>
    </row>
    <row r="3349" spans="1:2">
      <c r="A3349" s="670"/>
      <c r="B3349" s="655"/>
    </row>
    <row r="3350" spans="1:2">
      <c r="A3350" s="670"/>
      <c r="B3350" s="655"/>
    </row>
    <row r="3351" spans="1:2">
      <c r="A3351" s="670"/>
      <c r="B3351" s="655"/>
    </row>
    <row r="3352" spans="1:2">
      <c r="A3352" s="670"/>
      <c r="B3352" s="655"/>
    </row>
    <row r="3353" spans="1:2">
      <c r="A3353" s="670"/>
      <c r="B3353" s="655"/>
    </row>
    <row r="3354" spans="1:2">
      <c r="A3354" s="670"/>
      <c r="B3354" s="655"/>
    </row>
    <row r="3355" spans="1:2">
      <c r="A3355" s="670"/>
      <c r="B3355" s="655"/>
    </row>
    <row r="3356" spans="1:2">
      <c r="A3356" s="670"/>
      <c r="B3356" s="655"/>
    </row>
    <row r="3357" spans="1:2">
      <c r="A3357" s="670"/>
      <c r="B3357" s="655"/>
    </row>
    <row r="3358" spans="1:2">
      <c r="A3358" s="670"/>
      <c r="B3358" s="655"/>
    </row>
    <row r="3359" spans="1:2">
      <c r="A3359" s="670"/>
      <c r="B3359" s="655"/>
    </row>
    <row r="3360" spans="1:2">
      <c r="A3360" s="670"/>
      <c r="B3360" s="655"/>
    </row>
    <row r="3361" spans="1:2">
      <c r="A3361" s="670"/>
      <c r="B3361" s="655"/>
    </row>
    <row r="3362" spans="1:2">
      <c r="A3362" s="670"/>
      <c r="B3362" s="655"/>
    </row>
    <row r="3363" spans="1:2">
      <c r="A3363" s="670"/>
      <c r="B3363" s="655"/>
    </row>
    <row r="3364" spans="1:2">
      <c r="A3364" s="670"/>
      <c r="B3364" s="655"/>
    </row>
    <row r="3365" spans="1:2">
      <c r="A3365" s="670"/>
      <c r="B3365" s="655"/>
    </row>
    <row r="3366" spans="1:2">
      <c r="A3366" s="670"/>
      <c r="B3366" s="655"/>
    </row>
    <row r="3367" spans="1:2">
      <c r="A3367" s="670"/>
      <c r="B3367" s="655"/>
    </row>
    <row r="3368" spans="1:2">
      <c r="A3368" s="670"/>
      <c r="B3368" s="655"/>
    </row>
    <row r="3369" spans="1:2">
      <c r="A3369" s="670"/>
      <c r="B3369" s="655"/>
    </row>
    <row r="3370" spans="1:2">
      <c r="A3370" s="670"/>
      <c r="B3370" s="655"/>
    </row>
    <row r="3371" spans="1:2">
      <c r="A3371" s="670"/>
      <c r="B3371" s="655"/>
    </row>
    <row r="3372" spans="1:2">
      <c r="A3372" s="670"/>
      <c r="B3372" s="655"/>
    </row>
    <row r="3373" spans="1:2">
      <c r="A3373" s="670"/>
      <c r="B3373" s="655"/>
    </row>
    <row r="3374" spans="1:2">
      <c r="A3374" s="670"/>
      <c r="B3374" s="655"/>
    </row>
    <row r="3375" spans="1:2">
      <c r="A3375" s="670"/>
      <c r="B3375" s="655"/>
    </row>
    <row r="3376" spans="1:2">
      <c r="A3376" s="670"/>
      <c r="B3376" s="655"/>
    </row>
    <row r="3377" spans="1:2">
      <c r="A3377" s="670"/>
      <c r="B3377" s="655"/>
    </row>
    <row r="3378" spans="1:2">
      <c r="A3378" s="670"/>
      <c r="B3378" s="655"/>
    </row>
    <row r="3379" spans="1:2">
      <c r="A3379" s="670"/>
      <c r="B3379" s="655"/>
    </row>
    <row r="3380" spans="1:2">
      <c r="A3380" s="670"/>
      <c r="B3380" s="655"/>
    </row>
    <row r="3381" spans="1:2">
      <c r="A3381" s="670"/>
      <c r="B3381" s="655"/>
    </row>
    <row r="3382" spans="1:2">
      <c r="A3382" s="670"/>
      <c r="B3382" s="655"/>
    </row>
    <row r="3383" spans="1:2">
      <c r="A3383" s="670"/>
      <c r="B3383" s="655"/>
    </row>
    <row r="3384" spans="1:2">
      <c r="A3384" s="670"/>
      <c r="B3384" s="655"/>
    </row>
    <row r="3385" spans="1:2">
      <c r="A3385" s="670"/>
      <c r="B3385" s="655"/>
    </row>
    <row r="3386" spans="1:2">
      <c r="A3386" s="670"/>
      <c r="B3386" s="655"/>
    </row>
    <row r="3387" spans="1:2">
      <c r="A3387" s="670"/>
      <c r="B3387" s="655"/>
    </row>
    <row r="3388" spans="1:2">
      <c r="A3388" s="670"/>
      <c r="B3388" s="655"/>
    </row>
    <row r="3389" spans="1:2">
      <c r="A3389" s="670"/>
      <c r="B3389" s="655"/>
    </row>
    <row r="3390" spans="1:2">
      <c r="A3390" s="670"/>
      <c r="B3390" s="655"/>
    </row>
    <row r="3391" spans="1:2">
      <c r="A3391" s="670"/>
      <c r="B3391" s="655"/>
    </row>
    <row r="3392" spans="1:2">
      <c r="A3392" s="670"/>
      <c r="B3392" s="655"/>
    </row>
    <row r="3393" spans="1:2">
      <c r="A3393" s="670"/>
      <c r="B3393" s="655"/>
    </row>
    <row r="3394" spans="1:2">
      <c r="A3394" s="670"/>
      <c r="B3394" s="655"/>
    </row>
    <row r="3395" spans="1:2">
      <c r="A3395" s="670"/>
      <c r="B3395" s="655"/>
    </row>
    <row r="3396" spans="1:2">
      <c r="A3396" s="670"/>
      <c r="B3396" s="655"/>
    </row>
    <row r="3397" spans="1:2">
      <c r="A3397" s="670"/>
      <c r="B3397" s="655"/>
    </row>
    <row r="3398" spans="1:2">
      <c r="A3398" s="670"/>
      <c r="B3398" s="655"/>
    </row>
    <row r="3399" spans="1:2">
      <c r="A3399" s="670"/>
      <c r="B3399" s="655"/>
    </row>
    <row r="3400" spans="1:2">
      <c r="A3400" s="670"/>
      <c r="B3400" s="655"/>
    </row>
    <row r="3401" spans="1:2">
      <c r="A3401" s="670"/>
      <c r="B3401" s="655"/>
    </row>
    <row r="3402" spans="1:2">
      <c r="A3402" s="670"/>
      <c r="B3402" s="655"/>
    </row>
    <row r="3403" spans="1:2">
      <c r="A3403" s="670"/>
      <c r="B3403" s="655"/>
    </row>
    <row r="3404" spans="1:2">
      <c r="A3404" s="670"/>
      <c r="B3404" s="655"/>
    </row>
    <row r="3405" spans="1:2">
      <c r="A3405" s="670"/>
      <c r="B3405" s="655"/>
    </row>
    <row r="3406" spans="1:2">
      <c r="A3406" s="670"/>
      <c r="B3406" s="655"/>
    </row>
    <row r="3407" spans="1:2">
      <c r="A3407" s="670"/>
      <c r="B3407" s="655"/>
    </row>
    <row r="3408" spans="1:2">
      <c r="A3408" s="670"/>
      <c r="B3408" s="655"/>
    </row>
    <row r="3409" spans="1:2">
      <c r="A3409" s="670"/>
      <c r="B3409" s="655"/>
    </row>
    <row r="3410" spans="1:2">
      <c r="A3410" s="670"/>
      <c r="B3410" s="655"/>
    </row>
    <row r="3411" spans="1:2">
      <c r="A3411" s="670"/>
      <c r="B3411" s="655"/>
    </row>
    <row r="3412" spans="1:2">
      <c r="A3412" s="670"/>
      <c r="B3412" s="655"/>
    </row>
    <row r="3413" spans="1:2">
      <c r="A3413" s="670"/>
      <c r="B3413" s="655"/>
    </row>
    <row r="3414" spans="1:2">
      <c r="A3414" s="670"/>
      <c r="B3414" s="655"/>
    </row>
    <row r="3415" spans="1:2">
      <c r="A3415" s="670"/>
      <c r="B3415" s="655"/>
    </row>
    <row r="3416" spans="1:2">
      <c r="A3416" s="670"/>
      <c r="B3416" s="655"/>
    </row>
    <row r="3417" spans="1:2">
      <c r="A3417" s="670"/>
      <c r="B3417" s="655"/>
    </row>
    <row r="3418" spans="1:2">
      <c r="A3418" s="670"/>
      <c r="B3418" s="655"/>
    </row>
    <row r="3419" spans="1:2">
      <c r="A3419" s="670"/>
      <c r="B3419" s="655"/>
    </row>
    <row r="3420" spans="1:2">
      <c r="A3420" s="670"/>
      <c r="B3420" s="655"/>
    </row>
    <row r="3421" spans="1:2">
      <c r="A3421" s="670"/>
      <c r="B3421" s="655"/>
    </row>
    <row r="3422" spans="1:2">
      <c r="A3422" s="670"/>
      <c r="B3422" s="655"/>
    </row>
    <row r="3423" spans="1:2">
      <c r="A3423" s="670"/>
      <c r="B3423" s="655"/>
    </row>
    <row r="3424" spans="1:2">
      <c r="A3424" s="670"/>
      <c r="B3424" s="655"/>
    </row>
    <row r="3425" spans="1:2">
      <c r="A3425" s="670"/>
      <c r="B3425" s="655"/>
    </row>
    <row r="3426" spans="1:2">
      <c r="A3426" s="670"/>
      <c r="B3426" s="655"/>
    </row>
    <row r="3427" spans="1:2">
      <c r="A3427" s="670"/>
      <c r="B3427" s="655"/>
    </row>
    <row r="3428" spans="1:2">
      <c r="A3428" s="670"/>
      <c r="B3428" s="655"/>
    </row>
    <row r="3429" spans="1:2">
      <c r="A3429" s="670"/>
      <c r="B3429" s="655"/>
    </row>
    <row r="3430" spans="1:2">
      <c r="A3430" s="670"/>
      <c r="B3430" s="655"/>
    </row>
    <row r="3431" spans="1:2">
      <c r="A3431" s="670"/>
      <c r="B3431" s="655"/>
    </row>
    <row r="3432" spans="1:2">
      <c r="A3432" s="670"/>
      <c r="B3432" s="655"/>
    </row>
    <row r="3433" spans="1:2">
      <c r="A3433" s="670"/>
      <c r="B3433" s="655"/>
    </row>
    <row r="3434" spans="1:2">
      <c r="A3434" s="670"/>
      <c r="B3434" s="655"/>
    </row>
    <row r="3435" spans="1:2">
      <c r="A3435" s="670"/>
      <c r="B3435" s="655"/>
    </row>
    <row r="3436" spans="1:2">
      <c r="A3436" s="670"/>
      <c r="B3436" s="655"/>
    </row>
    <row r="3437" spans="1:2">
      <c r="A3437" s="670"/>
      <c r="B3437" s="655"/>
    </row>
    <row r="3438" spans="1:2">
      <c r="A3438" s="670"/>
      <c r="B3438" s="655"/>
    </row>
    <row r="3439" spans="1:2">
      <c r="A3439" s="670"/>
      <c r="B3439" s="655"/>
    </row>
    <row r="3440" spans="1:2">
      <c r="A3440" s="670"/>
      <c r="B3440" s="655"/>
    </row>
    <row r="3441" spans="1:2">
      <c r="A3441" s="670"/>
      <c r="B3441" s="655"/>
    </row>
    <row r="3442" spans="1:2">
      <c r="A3442" s="670"/>
      <c r="B3442" s="655"/>
    </row>
    <row r="3443" spans="1:2">
      <c r="A3443" s="670"/>
      <c r="B3443" s="655"/>
    </row>
    <row r="3444" spans="1:2">
      <c r="A3444" s="670"/>
      <c r="B3444" s="655"/>
    </row>
    <row r="3445" spans="1:2">
      <c r="A3445" s="670"/>
      <c r="B3445" s="655"/>
    </row>
    <row r="3446" spans="1:2">
      <c r="A3446" s="670"/>
      <c r="B3446" s="655"/>
    </row>
    <row r="3447" spans="1:2">
      <c r="A3447" s="670"/>
      <c r="B3447" s="655"/>
    </row>
    <row r="3448" spans="1:2">
      <c r="A3448" s="670"/>
      <c r="B3448" s="655"/>
    </row>
    <row r="3449" spans="1:2">
      <c r="A3449" s="670"/>
      <c r="B3449" s="655"/>
    </row>
    <row r="3450" spans="1:2">
      <c r="A3450" s="670"/>
      <c r="B3450" s="655"/>
    </row>
    <row r="3451" spans="1:2">
      <c r="A3451" s="670"/>
      <c r="B3451" s="655"/>
    </row>
    <row r="3452" spans="1:2">
      <c r="A3452" s="670"/>
      <c r="B3452" s="655"/>
    </row>
    <row r="3453" spans="1:2">
      <c r="A3453" s="670"/>
      <c r="B3453" s="655"/>
    </row>
    <row r="3454" spans="1:2">
      <c r="A3454" s="670"/>
      <c r="B3454" s="655"/>
    </row>
    <row r="3455" spans="1:2">
      <c r="A3455" s="670"/>
      <c r="B3455" s="655"/>
    </row>
    <row r="3456" spans="1:2">
      <c r="A3456" s="670"/>
      <c r="B3456" s="655"/>
    </row>
    <row r="3457" spans="1:2">
      <c r="A3457" s="670"/>
      <c r="B3457" s="655"/>
    </row>
    <row r="3458" spans="1:2">
      <c r="A3458" s="670"/>
      <c r="B3458" s="655"/>
    </row>
    <row r="3459" spans="1:2">
      <c r="A3459" s="670"/>
      <c r="B3459" s="655"/>
    </row>
    <row r="3460" spans="1:2">
      <c r="A3460" s="670"/>
      <c r="B3460" s="655"/>
    </row>
    <row r="3461" spans="1:2">
      <c r="A3461" s="670"/>
      <c r="B3461" s="655"/>
    </row>
    <row r="3462" spans="1:2">
      <c r="A3462" s="670"/>
      <c r="B3462" s="655"/>
    </row>
    <row r="3463" spans="1:2">
      <c r="A3463" s="670"/>
      <c r="B3463" s="655"/>
    </row>
    <row r="3464" spans="1:2">
      <c r="A3464" s="670"/>
      <c r="B3464" s="655"/>
    </row>
    <row r="3465" spans="1:2">
      <c r="A3465" s="670"/>
      <c r="B3465" s="655"/>
    </row>
    <row r="3466" spans="1:2">
      <c r="A3466" s="670"/>
      <c r="B3466" s="655"/>
    </row>
    <row r="3467" spans="1:2">
      <c r="A3467" s="670"/>
      <c r="B3467" s="655"/>
    </row>
    <row r="3468" spans="1:2">
      <c r="A3468" s="670"/>
      <c r="B3468" s="655"/>
    </row>
    <row r="3469" spans="1:2">
      <c r="A3469" s="670"/>
      <c r="B3469" s="655"/>
    </row>
    <row r="3470" spans="1:2">
      <c r="A3470" s="670"/>
      <c r="B3470" s="655"/>
    </row>
    <row r="3471" spans="1:2">
      <c r="A3471" s="670"/>
      <c r="B3471" s="655"/>
    </row>
    <row r="3472" spans="1:2">
      <c r="A3472" s="670"/>
      <c r="B3472" s="655"/>
    </row>
    <row r="3473" spans="1:2">
      <c r="A3473" s="670"/>
      <c r="B3473" s="655"/>
    </row>
    <row r="3474" spans="1:2">
      <c r="A3474" s="670"/>
      <c r="B3474" s="655"/>
    </row>
    <row r="3475" spans="1:2">
      <c r="A3475" s="670"/>
      <c r="B3475" s="655"/>
    </row>
    <row r="3476" spans="1:2">
      <c r="A3476" s="670"/>
      <c r="B3476" s="655"/>
    </row>
    <row r="3477" spans="1:2">
      <c r="A3477" s="670"/>
      <c r="B3477" s="655"/>
    </row>
    <row r="3478" spans="1:2">
      <c r="A3478" s="670"/>
      <c r="B3478" s="655"/>
    </row>
    <row r="3479" spans="1:2">
      <c r="A3479" s="670"/>
      <c r="B3479" s="655"/>
    </row>
    <row r="3480" spans="1:2">
      <c r="A3480" s="670"/>
      <c r="B3480" s="655"/>
    </row>
    <row r="3481" spans="1:2">
      <c r="A3481" s="670"/>
      <c r="B3481" s="655"/>
    </row>
    <row r="3482" spans="1:2">
      <c r="A3482" s="670"/>
      <c r="B3482" s="655"/>
    </row>
    <row r="3483" spans="1:2">
      <c r="A3483" s="670"/>
      <c r="B3483" s="655"/>
    </row>
    <row r="3484" spans="1:2">
      <c r="A3484" s="670"/>
      <c r="B3484" s="655"/>
    </row>
    <row r="3485" spans="1:2">
      <c r="A3485" s="670"/>
      <c r="B3485" s="655"/>
    </row>
    <row r="3486" spans="1:2">
      <c r="A3486" s="670"/>
      <c r="B3486" s="655"/>
    </row>
    <row r="3487" spans="1:2">
      <c r="A3487" s="670"/>
      <c r="B3487" s="655"/>
    </row>
    <row r="3488" spans="1:2">
      <c r="A3488" s="670"/>
      <c r="B3488" s="655"/>
    </row>
    <row r="3489" spans="1:2">
      <c r="A3489" s="670"/>
      <c r="B3489" s="655"/>
    </row>
    <row r="3490" spans="1:2">
      <c r="A3490" s="670"/>
      <c r="B3490" s="655"/>
    </row>
    <row r="3491" spans="1:2">
      <c r="A3491" s="670"/>
      <c r="B3491" s="655"/>
    </row>
    <row r="3492" spans="1:2">
      <c r="A3492" s="670"/>
      <c r="B3492" s="655"/>
    </row>
    <row r="3493" spans="1:2">
      <c r="A3493" s="670"/>
      <c r="B3493" s="655"/>
    </row>
    <row r="3494" spans="1:2">
      <c r="A3494" s="670"/>
      <c r="B3494" s="655"/>
    </row>
    <row r="3495" spans="1:2">
      <c r="A3495" s="670"/>
      <c r="B3495" s="655"/>
    </row>
    <row r="3496" spans="1:2">
      <c r="A3496" s="670"/>
      <c r="B3496" s="655"/>
    </row>
    <row r="3497" spans="1:2">
      <c r="A3497" s="670"/>
      <c r="B3497" s="655"/>
    </row>
    <row r="3498" spans="1:2">
      <c r="A3498" s="670"/>
      <c r="B3498" s="655"/>
    </row>
    <row r="3499" spans="1:2">
      <c r="A3499" s="670"/>
      <c r="B3499" s="655"/>
    </row>
    <row r="3500" spans="1:2">
      <c r="A3500" s="670"/>
      <c r="B3500" s="655"/>
    </row>
    <row r="3501" spans="1:2">
      <c r="A3501" s="670"/>
      <c r="B3501" s="655"/>
    </row>
    <row r="3502" spans="1:2">
      <c r="A3502" s="670"/>
      <c r="B3502" s="655"/>
    </row>
    <row r="3503" spans="1:2">
      <c r="A3503" s="670"/>
      <c r="B3503" s="655"/>
    </row>
    <row r="3504" spans="1:2">
      <c r="A3504" s="670"/>
      <c r="B3504" s="655"/>
    </row>
    <row r="3505" spans="1:2">
      <c r="A3505" s="670"/>
      <c r="B3505" s="655"/>
    </row>
    <row r="3506" spans="1:2">
      <c r="A3506" s="670"/>
      <c r="B3506" s="655"/>
    </row>
    <row r="3507" spans="1:2">
      <c r="A3507" s="670"/>
      <c r="B3507" s="655"/>
    </row>
    <row r="3508" spans="1:2">
      <c r="A3508" s="670"/>
      <c r="B3508" s="655"/>
    </row>
    <row r="3509" spans="1:2">
      <c r="A3509" s="670"/>
      <c r="B3509" s="655"/>
    </row>
    <row r="3510" spans="1:2">
      <c r="A3510" s="670"/>
      <c r="B3510" s="655"/>
    </row>
    <row r="3511" spans="1:2">
      <c r="A3511" s="670"/>
      <c r="B3511" s="655"/>
    </row>
    <row r="3512" spans="1:2">
      <c r="A3512" s="670"/>
      <c r="B3512" s="655"/>
    </row>
    <row r="3513" spans="1:2">
      <c r="A3513" s="670"/>
      <c r="B3513" s="655"/>
    </row>
    <row r="3514" spans="1:2">
      <c r="A3514" s="670"/>
      <c r="B3514" s="655"/>
    </row>
    <row r="3515" spans="1:2">
      <c r="A3515" s="670"/>
      <c r="B3515" s="655"/>
    </row>
    <row r="3516" spans="1:2">
      <c r="A3516" s="670"/>
      <c r="B3516" s="655"/>
    </row>
    <row r="3517" spans="1:2">
      <c r="A3517" s="670"/>
      <c r="B3517" s="655"/>
    </row>
    <row r="3518" spans="1:2">
      <c r="A3518" s="670"/>
      <c r="B3518" s="655"/>
    </row>
    <row r="3519" spans="1:2">
      <c r="A3519" s="670"/>
      <c r="B3519" s="655"/>
    </row>
    <row r="3520" spans="1:2">
      <c r="A3520" s="670"/>
      <c r="B3520" s="655"/>
    </row>
    <row r="3521" spans="1:2">
      <c r="A3521" s="670"/>
      <c r="B3521" s="655"/>
    </row>
    <row r="3522" spans="1:2">
      <c r="A3522" s="670"/>
      <c r="B3522" s="655"/>
    </row>
    <row r="3523" spans="1:2">
      <c r="A3523" s="670"/>
      <c r="B3523" s="655"/>
    </row>
    <row r="3524" spans="1:2">
      <c r="A3524" s="670"/>
      <c r="B3524" s="655"/>
    </row>
    <row r="3525" spans="1:2">
      <c r="A3525" s="670"/>
      <c r="B3525" s="655"/>
    </row>
    <row r="3526" spans="1:2">
      <c r="A3526" s="670"/>
      <c r="B3526" s="655"/>
    </row>
    <row r="3527" spans="1:2">
      <c r="A3527" s="670"/>
      <c r="B3527" s="655"/>
    </row>
    <row r="3528" spans="1:2">
      <c r="A3528" s="670"/>
      <c r="B3528" s="655"/>
    </row>
    <row r="3529" spans="1:2">
      <c r="A3529" s="670"/>
      <c r="B3529" s="655"/>
    </row>
    <row r="3530" spans="1:2">
      <c r="A3530" s="670"/>
      <c r="B3530" s="655"/>
    </row>
    <row r="3531" spans="1:2">
      <c r="A3531" s="670"/>
      <c r="B3531" s="655"/>
    </row>
    <row r="3532" spans="1:2">
      <c r="A3532" s="670"/>
      <c r="B3532" s="655"/>
    </row>
    <row r="3533" spans="1:2">
      <c r="A3533" s="670"/>
      <c r="B3533" s="655"/>
    </row>
    <row r="3534" spans="1:2">
      <c r="A3534" s="670"/>
      <c r="B3534" s="655"/>
    </row>
    <row r="3535" spans="1:2">
      <c r="A3535" s="670"/>
      <c r="B3535" s="655"/>
    </row>
    <row r="3536" spans="1:2">
      <c r="A3536" s="670"/>
      <c r="B3536" s="655"/>
    </row>
    <row r="3537" spans="1:2">
      <c r="A3537" s="670"/>
      <c r="B3537" s="655"/>
    </row>
    <row r="3538" spans="1:2">
      <c r="A3538" s="670"/>
      <c r="B3538" s="655"/>
    </row>
    <row r="3539" spans="1:2">
      <c r="A3539" s="670"/>
      <c r="B3539" s="655"/>
    </row>
    <row r="3540" spans="1:2">
      <c r="A3540" s="670"/>
      <c r="B3540" s="655"/>
    </row>
    <row r="3541" spans="1:2">
      <c r="A3541" s="670"/>
      <c r="B3541" s="655"/>
    </row>
    <row r="3542" spans="1:2">
      <c r="A3542" s="670"/>
      <c r="B3542" s="655"/>
    </row>
    <row r="3543" spans="1:2">
      <c r="A3543" s="670"/>
      <c r="B3543" s="655"/>
    </row>
    <row r="3544" spans="1:2">
      <c r="A3544" s="670"/>
      <c r="B3544" s="655"/>
    </row>
    <row r="3545" spans="1:2">
      <c r="A3545" s="670"/>
      <c r="B3545" s="655"/>
    </row>
    <row r="3546" spans="1:2">
      <c r="A3546" s="670"/>
      <c r="B3546" s="655"/>
    </row>
    <row r="3547" spans="1:2">
      <c r="A3547" s="670"/>
      <c r="B3547" s="655"/>
    </row>
    <row r="3548" spans="1:2">
      <c r="A3548" s="670"/>
      <c r="B3548" s="655"/>
    </row>
    <row r="3549" spans="1:2">
      <c r="A3549" s="670"/>
      <c r="B3549" s="655"/>
    </row>
    <row r="3550" spans="1:2">
      <c r="A3550" s="670"/>
      <c r="B3550" s="655"/>
    </row>
    <row r="3551" spans="1:2">
      <c r="A3551" s="670"/>
      <c r="B3551" s="655"/>
    </row>
    <row r="3552" spans="1:2">
      <c r="A3552" s="670"/>
      <c r="B3552" s="655"/>
    </row>
    <row r="3553" spans="1:2">
      <c r="A3553" s="670"/>
      <c r="B3553" s="655"/>
    </row>
    <row r="3554" spans="1:2">
      <c r="A3554" s="670"/>
      <c r="B3554" s="655"/>
    </row>
    <row r="3555" spans="1:2">
      <c r="A3555" s="670"/>
      <c r="B3555" s="655"/>
    </row>
    <row r="3556" spans="1:2">
      <c r="A3556" s="670"/>
      <c r="B3556" s="655"/>
    </row>
    <row r="3557" spans="1:2">
      <c r="A3557" s="670"/>
      <c r="B3557" s="655"/>
    </row>
    <row r="3558" spans="1:2">
      <c r="A3558" s="670"/>
      <c r="B3558" s="655"/>
    </row>
    <row r="3559" spans="1:2">
      <c r="A3559" s="670"/>
      <c r="B3559" s="655"/>
    </row>
    <row r="3560" spans="1:2">
      <c r="A3560" s="670"/>
      <c r="B3560" s="655"/>
    </row>
    <row r="3561" spans="1:2">
      <c r="A3561" s="670"/>
      <c r="B3561" s="655"/>
    </row>
    <row r="3562" spans="1:2">
      <c r="A3562" s="670"/>
      <c r="B3562" s="655"/>
    </row>
    <row r="3563" spans="1:2">
      <c r="A3563" s="670"/>
      <c r="B3563" s="655"/>
    </row>
    <row r="3564" spans="1:2">
      <c r="A3564" s="670"/>
      <c r="B3564" s="655"/>
    </row>
    <row r="3565" spans="1:2">
      <c r="A3565" s="670"/>
      <c r="B3565" s="655"/>
    </row>
    <row r="3566" spans="1:2">
      <c r="A3566" s="670"/>
      <c r="B3566" s="655"/>
    </row>
    <row r="3567" spans="1:2">
      <c r="A3567" s="670"/>
      <c r="B3567" s="655"/>
    </row>
    <row r="3568" spans="1:2">
      <c r="A3568" s="670"/>
      <c r="B3568" s="655"/>
    </row>
    <row r="3569" spans="1:2">
      <c r="A3569" s="670"/>
      <c r="B3569" s="655"/>
    </row>
    <row r="3570" spans="1:2">
      <c r="A3570" s="670"/>
      <c r="B3570" s="655"/>
    </row>
    <row r="3571" spans="1:2">
      <c r="A3571" s="670"/>
      <c r="B3571" s="655"/>
    </row>
    <row r="3572" spans="1:2">
      <c r="A3572" s="670"/>
      <c r="B3572" s="655"/>
    </row>
    <row r="3573" spans="1:2">
      <c r="A3573" s="670"/>
      <c r="B3573" s="655"/>
    </row>
    <row r="3574" spans="1:2">
      <c r="A3574" s="670"/>
      <c r="B3574" s="655"/>
    </row>
    <row r="3575" spans="1:2">
      <c r="A3575" s="670"/>
      <c r="B3575" s="655"/>
    </row>
    <row r="3576" spans="1:2">
      <c r="A3576" s="670"/>
      <c r="B3576" s="655"/>
    </row>
    <row r="3577" spans="1:2">
      <c r="A3577" s="670"/>
      <c r="B3577" s="655"/>
    </row>
    <row r="3578" spans="1:2">
      <c r="A3578" s="670"/>
      <c r="B3578" s="655"/>
    </row>
    <row r="3579" spans="1:2">
      <c r="A3579" s="670"/>
      <c r="B3579" s="655"/>
    </row>
    <row r="3580" spans="1:2">
      <c r="A3580" s="670"/>
      <c r="B3580" s="655"/>
    </row>
    <row r="3581" spans="1:2">
      <c r="A3581" s="670"/>
      <c r="B3581" s="655"/>
    </row>
    <row r="3582" spans="1:2">
      <c r="A3582" s="670"/>
      <c r="B3582" s="655"/>
    </row>
    <row r="3583" spans="1:2">
      <c r="A3583" s="670"/>
      <c r="B3583" s="655"/>
    </row>
    <row r="3584" spans="1:2">
      <c r="A3584" s="670"/>
      <c r="B3584" s="655"/>
    </row>
    <row r="3585" spans="1:2">
      <c r="A3585" s="670"/>
      <c r="B3585" s="655"/>
    </row>
    <row r="3586" spans="1:2">
      <c r="A3586" s="670"/>
      <c r="B3586" s="655"/>
    </row>
    <row r="3587" spans="1:2">
      <c r="A3587" s="670"/>
      <c r="B3587" s="655"/>
    </row>
    <row r="3588" spans="1:2">
      <c r="A3588" s="670"/>
      <c r="B3588" s="655"/>
    </row>
    <row r="3589" spans="1:2">
      <c r="A3589" s="670"/>
      <c r="B3589" s="655"/>
    </row>
    <row r="3590" spans="1:2">
      <c r="A3590" s="670"/>
      <c r="B3590" s="655"/>
    </row>
    <row r="3591" spans="1:2">
      <c r="A3591" s="670"/>
      <c r="B3591" s="655"/>
    </row>
    <row r="3592" spans="1:2">
      <c r="A3592" s="670"/>
      <c r="B3592" s="655"/>
    </row>
    <row r="3593" spans="1:2">
      <c r="A3593" s="670"/>
      <c r="B3593" s="655"/>
    </row>
    <row r="3594" spans="1:2">
      <c r="A3594" s="670"/>
      <c r="B3594" s="655"/>
    </row>
    <row r="3595" spans="1:2">
      <c r="A3595" s="670"/>
      <c r="B3595" s="655"/>
    </row>
    <row r="3596" spans="1:2">
      <c r="A3596" s="670"/>
      <c r="B3596" s="655"/>
    </row>
    <row r="3597" spans="1:2">
      <c r="A3597" s="670"/>
      <c r="B3597" s="655"/>
    </row>
    <row r="3598" spans="1:2">
      <c r="A3598" s="670"/>
      <c r="B3598" s="655"/>
    </row>
    <row r="3599" spans="1:2">
      <c r="A3599" s="670"/>
      <c r="B3599" s="655"/>
    </row>
    <row r="3600" spans="1:2">
      <c r="A3600" s="670"/>
      <c r="B3600" s="655"/>
    </row>
    <row r="3601" spans="1:2">
      <c r="A3601" s="670"/>
      <c r="B3601" s="655"/>
    </row>
    <row r="3602" spans="1:2">
      <c r="A3602" s="670"/>
      <c r="B3602" s="655"/>
    </row>
    <row r="3603" spans="1:2">
      <c r="A3603" s="670"/>
      <c r="B3603" s="655"/>
    </row>
    <row r="3604" spans="1:2">
      <c r="A3604" s="670"/>
      <c r="B3604" s="655"/>
    </row>
    <row r="3605" spans="1:2">
      <c r="A3605" s="670"/>
      <c r="B3605" s="655"/>
    </row>
    <row r="3606" spans="1:2">
      <c r="A3606" s="670"/>
      <c r="B3606" s="655"/>
    </row>
    <row r="3607" spans="1:2">
      <c r="A3607" s="670"/>
      <c r="B3607" s="655"/>
    </row>
    <row r="3608" spans="1:2">
      <c r="A3608" s="670"/>
      <c r="B3608" s="655"/>
    </row>
    <row r="3609" spans="1:2">
      <c r="A3609" s="670"/>
      <c r="B3609" s="655"/>
    </row>
    <row r="3610" spans="1:2">
      <c r="A3610" s="670"/>
      <c r="B3610" s="655"/>
    </row>
    <row r="3611" spans="1:2">
      <c r="A3611" s="670"/>
      <c r="B3611" s="655"/>
    </row>
    <row r="3612" spans="1:2">
      <c r="A3612" s="670"/>
      <c r="B3612" s="655"/>
    </row>
    <row r="3613" spans="1:2">
      <c r="A3613" s="670"/>
      <c r="B3613" s="655"/>
    </row>
    <row r="3614" spans="1:2">
      <c r="A3614" s="670"/>
      <c r="B3614" s="655"/>
    </row>
    <row r="3615" spans="1:2">
      <c r="A3615" s="670"/>
      <c r="B3615" s="655"/>
    </row>
    <row r="3616" spans="1:2">
      <c r="A3616" s="670"/>
      <c r="B3616" s="655"/>
    </row>
    <row r="3617" spans="1:2">
      <c r="A3617" s="670"/>
      <c r="B3617" s="655"/>
    </row>
    <row r="3618" spans="1:2">
      <c r="A3618" s="670"/>
      <c r="B3618" s="655"/>
    </row>
    <row r="3619" spans="1:2">
      <c r="A3619" s="670"/>
      <c r="B3619" s="655"/>
    </row>
    <row r="3620" spans="1:2">
      <c r="A3620" s="670"/>
      <c r="B3620" s="655"/>
    </row>
    <row r="3621" spans="1:2">
      <c r="A3621" s="670"/>
      <c r="B3621" s="655"/>
    </row>
    <row r="3622" spans="1:2">
      <c r="A3622" s="670"/>
      <c r="B3622" s="655"/>
    </row>
    <row r="3623" spans="1:2">
      <c r="A3623" s="670"/>
      <c r="B3623" s="655"/>
    </row>
    <row r="3624" spans="1:2">
      <c r="A3624" s="670"/>
      <c r="B3624" s="655"/>
    </row>
    <row r="3625" spans="1:2">
      <c r="A3625" s="670"/>
      <c r="B3625" s="655"/>
    </row>
    <row r="3626" spans="1:2">
      <c r="A3626" s="670"/>
      <c r="B3626" s="655"/>
    </row>
    <row r="3627" spans="1:2">
      <c r="A3627" s="670"/>
      <c r="B3627" s="655"/>
    </row>
    <row r="3628" spans="1:2">
      <c r="A3628" s="670"/>
      <c r="B3628" s="655"/>
    </row>
    <row r="3629" spans="1:2">
      <c r="A3629" s="670"/>
      <c r="B3629" s="655"/>
    </row>
    <row r="3630" spans="1:2">
      <c r="A3630" s="670"/>
      <c r="B3630" s="655"/>
    </row>
    <row r="3631" spans="1:2">
      <c r="A3631" s="670"/>
      <c r="B3631" s="655"/>
    </row>
    <row r="3632" spans="1:2">
      <c r="A3632" s="670"/>
      <c r="B3632" s="655"/>
    </row>
    <row r="3633" spans="1:2">
      <c r="A3633" s="670"/>
      <c r="B3633" s="655"/>
    </row>
    <row r="3634" spans="1:2">
      <c r="A3634" s="670"/>
      <c r="B3634" s="655"/>
    </row>
    <row r="3635" spans="1:2">
      <c r="A3635" s="670"/>
      <c r="B3635" s="655"/>
    </row>
    <row r="3636" spans="1:2">
      <c r="A3636" s="670"/>
      <c r="B3636" s="655"/>
    </row>
    <row r="3637" spans="1:2">
      <c r="A3637" s="670"/>
      <c r="B3637" s="655"/>
    </row>
    <row r="3638" spans="1:2">
      <c r="A3638" s="670"/>
      <c r="B3638" s="655"/>
    </row>
    <row r="3639" spans="1:2">
      <c r="A3639" s="670"/>
      <c r="B3639" s="655"/>
    </row>
    <row r="3640" spans="1:2">
      <c r="A3640" s="670"/>
      <c r="B3640" s="655"/>
    </row>
    <row r="3641" spans="1:2">
      <c r="A3641" s="670"/>
      <c r="B3641" s="655"/>
    </row>
    <row r="3642" spans="1:2">
      <c r="A3642" s="670"/>
      <c r="B3642" s="655"/>
    </row>
    <row r="3643" spans="1:2">
      <c r="A3643" s="670"/>
      <c r="B3643" s="655"/>
    </row>
    <row r="3644" spans="1:2">
      <c r="A3644" s="670"/>
      <c r="B3644" s="655"/>
    </row>
    <row r="3645" spans="1:2">
      <c r="A3645" s="670"/>
      <c r="B3645" s="655"/>
    </row>
    <row r="3646" spans="1:2">
      <c r="A3646" s="670"/>
      <c r="B3646" s="655"/>
    </row>
    <row r="3647" spans="1:2">
      <c r="A3647" s="670"/>
      <c r="B3647" s="655"/>
    </row>
    <row r="3648" spans="1:2">
      <c r="A3648" s="670"/>
      <c r="B3648" s="655"/>
    </row>
    <row r="3649" spans="1:2">
      <c r="A3649" s="670"/>
      <c r="B3649" s="655"/>
    </row>
    <row r="3650" spans="1:2">
      <c r="A3650" s="670"/>
      <c r="B3650" s="655"/>
    </row>
    <row r="3651" spans="1:2">
      <c r="A3651" s="670"/>
      <c r="B3651" s="655"/>
    </row>
    <row r="3652" spans="1:2">
      <c r="A3652" s="670"/>
      <c r="B3652" s="655"/>
    </row>
    <row r="3653" spans="1:2">
      <c r="A3653" s="670"/>
      <c r="B3653" s="655"/>
    </row>
    <row r="3654" spans="1:2">
      <c r="A3654" s="670"/>
      <c r="B3654" s="655"/>
    </row>
    <row r="3655" spans="1:2">
      <c r="A3655" s="670"/>
      <c r="B3655" s="655"/>
    </row>
    <row r="3656" spans="1:2">
      <c r="A3656" s="670"/>
      <c r="B3656" s="655"/>
    </row>
    <row r="3657" spans="1:2">
      <c r="A3657" s="670"/>
      <c r="B3657" s="655"/>
    </row>
    <row r="3658" spans="1:2">
      <c r="A3658" s="670"/>
      <c r="B3658" s="655"/>
    </row>
    <row r="3659" spans="1:2">
      <c r="A3659" s="670"/>
      <c r="B3659" s="655"/>
    </row>
    <row r="3660" spans="1:2">
      <c r="A3660" s="670"/>
      <c r="B3660" s="655"/>
    </row>
    <row r="3661" spans="1:2">
      <c r="A3661" s="670"/>
      <c r="B3661" s="655"/>
    </row>
    <row r="3662" spans="1:2">
      <c r="A3662" s="670"/>
      <c r="B3662" s="655"/>
    </row>
    <row r="3663" spans="1:2">
      <c r="A3663" s="670"/>
      <c r="B3663" s="655"/>
    </row>
    <row r="3664" spans="1:2">
      <c r="A3664" s="670"/>
      <c r="B3664" s="655"/>
    </row>
    <row r="3665" spans="1:2">
      <c r="A3665" s="670"/>
      <c r="B3665" s="655"/>
    </row>
    <row r="3666" spans="1:2">
      <c r="A3666" s="670"/>
      <c r="B3666" s="655"/>
    </row>
    <row r="3667" spans="1:2">
      <c r="A3667" s="670"/>
      <c r="B3667" s="655"/>
    </row>
    <row r="3668" spans="1:2">
      <c r="A3668" s="670"/>
      <c r="B3668" s="655"/>
    </row>
    <row r="3669" spans="1:2">
      <c r="A3669" s="670"/>
      <c r="B3669" s="655"/>
    </row>
    <row r="3670" spans="1:2">
      <c r="A3670" s="670"/>
      <c r="B3670" s="655"/>
    </row>
    <row r="3671" spans="1:2">
      <c r="A3671" s="670"/>
      <c r="B3671" s="655"/>
    </row>
    <row r="3672" spans="1:2">
      <c r="A3672" s="670"/>
      <c r="B3672" s="655"/>
    </row>
    <row r="3673" spans="1:2">
      <c r="A3673" s="670"/>
      <c r="B3673" s="655"/>
    </row>
    <row r="3674" spans="1:2">
      <c r="A3674" s="670"/>
      <c r="B3674" s="655"/>
    </row>
    <row r="3675" spans="1:2">
      <c r="A3675" s="670"/>
      <c r="B3675" s="655"/>
    </row>
    <row r="3676" spans="1:2">
      <c r="A3676" s="670"/>
      <c r="B3676" s="655"/>
    </row>
    <row r="3677" spans="1:2">
      <c r="A3677" s="670"/>
      <c r="B3677" s="655"/>
    </row>
    <row r="3678" spans="1:2">
      <c r="A3678" s="670"/>
      <c r="B3678" s="655"/>
    </row>
    <row r="3679" spans="1:2">
      <c r="A3679" s="670"/>
      <c r="B3679" s="655"/>
    </row>
    <row r="3680" spans="1:2">
      <c r="A3680" s="670"/>
      <c r="B3680" s="655"/>
    </row>
    <row r="3681" spans="1:2">
      <c r="A3681" s="670"/>
      <c r="B3681" s="655"/>
    </row>
    <row r="3682" spans="1:2">
      <c r="A3682" s="670"/>
      <c r="B3682" s="655"/>
    </row>
    <row r="3683" spans="1:2">
      <c r="A3683" s="670"/>
      <c r="B3683" s="655"/>
    </row>
    <row r="3684" spans="1:2">
      <c r="A3684" s="670"/>
      <c r="B3684" s="655"/>
    </row>
    <row r="3685" spans="1:2">
      <c r="A3685" s="670"/>
      <c r="B3685" s="655"/>
    </row>
    <row r="3686" spans="1:2">
      <c r="A3686" s="670"/>
      <c r="B3686" s="655"/>
    </row>
    <row r="3687" spans="1:2">
      <c r="A3687" s="670"/>
      <c r="B3687" s="655"/>
    </row>
    <row r="3688" spans="1:2">
      <c r="A3688" s="670"/>
      <c r="B3688" s="655"/>
    </row>
    <row r="3689" spans="1:2">
      <c r="A3689" s="670"/>
      <c r="B3689" s="655"/>
    </row>
    <row r="3690" spans="1:2">
      <c r="A3690" s="670"/>
      <c r="B3690" s="655"/>
    </row>
    <row r="3691" spans="1:2">
      <c r="A3691" s="670"/>
      <c r="B3691" s="655"/>
    </row>
    <row r="3692" spans="1:2">
      <c r="A3692" s="670"/>
      <c r="B3692" s="655"/>
    </row>
    <row r="3693" spans="1:2">
      <c r="A3693" s="670"/>
      <c r="B3693" s="655"/>
    </row>
    <row r="3694" spans="1:2">
      <c r="A3694" s="670"/>
      <c r="B3694" s="655"/>
    </row>
    <row r="3695" spans="1:2">
      <c r="A3695" s="670"/>
      <c r="B3695" s="655"/>
    </row>
    <row r="3696" spans="1:2">
      <c r="A3696" s="670"/>
      <c r="B3696" s="655"/>
    </row>
    <row r="3697" spans="1:2">
      <c r="A3697" s="670"/>
      <c r="B3697" s="655"/>
    </row>
    <row r="3698" spans="1:2">
      <c r="A3698" s="670"/>
      <c r="B3698" s="655"/>
    </row>
    <row r="3699" spans="1:2">
      <c r="A3699" s="670"/>
      <c r="B3699" s="655"/>
    </row>
    <row r="3700" spans="1:2">
      <c r="A3700" s="670"/>
      <c r="B3700" s="655"/>
    </row>
    <row r="3701" spans="1:2">
      <c r="A3701" s="670"/>
      <c r="B3701" s="655"/>
    </row>
    <row r="3702" spans="1:2">
      <c r="A3702" s="670"/>
      <c r="B3702" s="655"/>
    </row>
    <row r="3703" spans="1:2">
      <c r="A3703" s="670"/>
      <c r="B3703" s="655"/>
    </row>
    <row r="3704" spans="1:2">
      <c r="A3704" s="670"/>
      <c r="B3704" s="655"/>
    </row>
    <row r="3705" spans="1:2">
      <c r="A3705" s="670"/>
      <c r="B3705" s="655"/>
    </row>
    <row r="3706" spans="1:2">
      <c r="A3706" s="670"/>
      <c r="B3706" s="655"/>
    </row>
    <row r="3707" spans="1:2">
      <c r="A3707" s="670"/>
      <c r="B3707" s="655"/>
    </row>
    <row r="3708" spans="1:2">
      <c r="A3708" s="670"/>
      <c r="B3708" s="655"/>
    </row>
    <row r="3709" spans="1:2">
      <c r="A3709" s="670"/>
      <c r="B3709" s="655"/>
    </row>
    <row r="3710" spans="1:2">
      <c r="A3710" s="670"/>
      <c r="B3710" s="655"/>
    </row>
    <row r="3711" spans="1:2">
      <c r="A3711" s="670"/>
      <c r="B3711" s="655"/>
    </row>
    <row r="3712" spans="1:2">
      <c r="A3712" s="670"/>
      <c r="B3712" s="655"/>
    </row>
    <row r="3713" spans="1:2">
      <c r="A3713" s="670"/>
      <c r="B3713" s="655"/>
    </row>
    <row r="3714" spans="1:2">
      <c r="A3714" s="670"/>
      <c r="B3714" s="655"/>
    </row>
    <row r="3715" spans="1:2">
      <c r="A3715" s="670"/>
      <c r="B3715" s="655"/>
    </row>
    <row r="3716" spans="1:2">
      <c r="A3716" s="670"/>
      <c r="B3716" s="655"/>
    </row>
    <row r="3717" spans="1:2">
      <c r="A3717" s="670"/>
      <c r="B3717" s="655"/>
    </row>
    <row r="3718" spans="1:2">
      <c r="A3718" s="670"/>
      <c r="B3718" s="655"/>
    </row>
    <row r="3719" spans="1:2">
      <c r="A3719" s="670"/>
      <c r="B3719" s="655"/>
    </row>
    <row r="3720" spans="1:2">
      <c r="A3720" s="670"/>
      <c r="B3720" s="655"/>
    </row>
    <row r="3721" spans="1:2">
      <c r="A3721" s="670"/>
      <c r="B3721" s="655"/>
    </row>
    <row r="3722" spans="1:2">
      <c r="A3722" s="670"/>
      <c r="B3722" s="655"/>
    </row>
    <row r="3723" spans="1:2">
      <c r="A3723" s="670"/>
      <c r="B3723" s="655"/>
    </row>
    <row r="3724" spans="1:2">
      <c r="A3724" s="670"/>
      <c r="B3724" s="655"/>
    </row>
    <row r="3725" spans="1:2">
      <c r="A3725" s="670"/>
      <c r="B3725" s="655"/>
    </row>
    <row r="3726" spans="1:2">
      <c r="A3726" s="670"/>
      <c r="B3726" s="655"/>
    </row>
    <row r="3727" spans="1:2">
      <c r="A3727" s="670"/>
      <c r="B3727" s="655"/>
    </row>
    <row r="3728" spans="1:2">
      <c r="A3728" s="670"/>
      <c r="B3728" s="655"/>
    </row>
    <row r="3729" spans="1:2">
      <c r="A3729" s="670"/>
      <c r="B3729" s="655"/>
    </row>
    <row r="3730" spans="1:2">
      <c r="A3730" s="670"/>
      <c r="B3730" s="655"/>
    </row>
    <row r="3731" spans="1:2">
      <c r="A3731" s="670"/>
      <c r="B3731" s="655"/>
    </row>
    <row r="3732" spans="1:2">
      <c r="A3732" s="670"/>
      <c r="B3732" s="655"/>
    </row>
    <row r="3733" spans="1:2">
      <c r="A3733" s="670"/>
      <c r="B3733" s="655"/>
    </row>
    <row r="3734" spans="1:2">
      <c r="A3734" s="670"/>
      <c r="B3734" s="655"/>
    </row>
    <row r="3735" spans="1:2">
      <c r="A3735" s="670"/>
      <c r="B3735" s="655"/>
    </row>
    <row r="3736" spans="1:2">
      <c r="A3736" s="670"/>
      <c r="B3736" s="655"/>
    </row>
    <row r="3737" spans="1:2">
      <c r="A3737" s="670"/>
      <c r="B3737" s="655"/>
    </row>
    <row r="3738" spans="1:2">
      <c r="A3738" s="670"/>
      <c r="B3738" s="655"/>
    </row>
    <row r="3739" spans="1:2">
      <c r="A3739" s="670"/>
      <c r="B3739" s="655"/>
    </row>
    <row r="3740" spans="1:2">
      <c r="A3740" s="670"/>
      <c r="B3740" s="655"/>
    </row>
    <row r="3741" spans="1:2">
      <c r="A3741" s="670"/>
      <c r="B3741" s="655"/>
    </row>
    <row r="3742" spans="1:2">
      <c r="A3742" s="670"/>
      <c r="B3742" s="655"/>
    </row>
    <row r="3743" spans="1:2">
      <c r="A3743" s="670"/>
      <c r="B3743" s="655"/>
    </row>
    <row r="3744" spans="1:2">
      <c r="A3744" s="670"/>
      <c r="B3744" s="655"/>
    </row>
    <row r="3745" spans="1:2">
      <c r="A3745" s="670"/>
      <c r="B3745" s="655"/>
    </row>
    <row r="3746" spans="1:2">
      <c r="A3746" s="670"/>
      <c r="B3746" s="655"/>
    </row>
    <row r="3747" spans="1:2">
      <c r="A3747" s="670"/>
      <c r="B3747" s="655"/>
    </row>
    <row r="3748" spans="1:2">
      <c r="A3748" s="670"/>
      <c r="B3748" s="655"/>
    </row>
    <row r="3749" spans="1:2">
      <c r="A3749" s="670"/>
      <c r="B3749" s="655"/>
    </row>
    <row r="3750" spans="1:2">
      <c r="A3750" s="670"/>
      <c r="B3750" s="655"/>
    </row>
    <row r="3751" spans="1:2">
      <c r="A3751" s="670"/>
      <c r="B3751" s="655"/>
    </row>
    <row r="3752" spans="1:2">
      <c r="A3752" s="670"/>
      <c r="B3752" s="655"/>
    </row>
    <row r="3753" spans="1:2">
      <c r="A3753" s="670"/>
      <c r="B3753" s="655"/>
    </row>
    <row r="3754" spans="1:2">
      <c r="A3754" s="670"/>
      <c r="B3754" s="655"/>
    </row>
    <row r="3755" spans="1:2">
      <c r="A3755" s="670"/>
      <c r="B3755" s="655"/>
    </row>
    <row r="3756" spans="1:2">
      <c r="A3756" s="670"/>
      <c r="B3756" s="655"/>
    </row>
    <row r="3757" spans="1:2">
      <c r="A3757" s="670"/>
      <c r="B3757" s="655"/>
    </row>
    <row r="3758" spans="1:2">
      <c r="A3758" s="670"/>
      <c r="B3758" s="655"/>
    </row>
    <row r="3759" spans="1:2">
      <c r="A3759" s="670"/>
      <c r="B3759" s="655"/>
    </row>
    <row r="3760" spans="1:2">
      <c r="A3760" s="670"/>
      <c r="B3760" s="655"/>
    </row>
    <row r="3761" spans="1:2">
      <c r="A3761" s="670"/>
      <c r="B3761" s="655"/>
    </row>
    <row r="3762" spans="1:2">
      <c r="A3762" s="670"/>
      <c r="B3762" s="655"/>
    </row>
    <row r="3763" spans="1:2">
      <c r="A3763" s="670"/>
      <c r="B3763" s="655"/>
    </row>
    <row r="3764" spans="1:2">
      <c r="A3764" s="670"/>
      <c r="B3764" s="655"/>
    </row>
    <row r="3765" spans="1:2">
      <c r="A3765" s="670"/>
      <c r="B3765" s="655"/>
    </row>
    <row r="3766" spans="1:2">
      <c r="A3766" s="670"/>
      <c r="B3766" s="655"/>
    </row>
    <row r="3767" spans="1:2">
      <c r="A3767" s="670"/>
      <c r="B3767" s="655"/>
    </row>
    <row r="3768" spans="1:2">
      <c r="A3768" s="670"/>
      <c r="B3768" s="655"/>
    </row>
    <row r="3769" spans="1:2">
      <c r="A3769" s="670"/>
      <c r="B3769" s="655"/>
    </row>
    <row r="3770" spans="1:2">
      <c r="A3770" s="670"/>
      <c r="B3770" s="655"/>
    </row>
    <row r="3771" spans="1:2">
      <c r="A3771" s="670"/>
      <c r="B3771" s="655"/>
    </row>
    <row r="3772" spans="1:2">
      <c r="A3772" s="670"/>
      <c r="B3772" s="655"/>
    </row>
    <row r="3773" spans="1:2">
      <c r="A3773" s="670"/>
      <c r="B3773" s="655"/>
    </row>
    <row r="3774" spans="1:2">
      <c r="A3774" s="670"/>
      <c r="B3774" s="655"/>
    </row>
    <row r="3775" spans="1:2">
      <c r="A3775" s="670"/>
      <c r="B3775" s="655"/>
    </row>
    <row r="3776" spans="1:2">
      <c r="A3776" s="670"/>
      <c r="B3776" s="655"/>
    </row>
    <row r="3777" spans="1:2">
      <c r="A3777" s="670"/>
      <c r="B3777" s="655"/>
    </row>
    <row r="3778" spans="1:2">
      <c r="A3778" s="670"/>
      <c r="B3778" s="655"/>
    </row>
    <row r="3779" spans="1:2">
      <c r="A3779" s="670"/>
      <c r="B3779" s="655"/>
    </row>
    <row r="3780" spans="1:2">
      <c r="A3780" s="670"/>
      <c r="B3780" s="655"/>
    </row>
    <row r="3781" spans="1:2">
      <c r="A3781" s="670"/>
      <c r="B3781" s="655"/>
    </row>
    <row r="3782" spans="1:2">
      <c r="A3782" s="670"/>
      <c r="B3782" s="655"/>
    </row>
    <row r="3783" spans="1:2">
      <c r="A3783" s="670"/>
      <c r="B3783" s="655"/>
    </row>
    <row r="3784" spans="1:2">
      <c r="A3784" s="670"/>
      <c r="B3784" s="655"/>
    </row>
    <row r="3785" spans="1:2">
      <c r="A3785" s="670"/>
      <c r="B3785" s="655"/>
    </row>
    <row r="3786" spans="1:2">
      <c r="A3786" s="670"/>
      <c r="B3786" s="655"/>
    </row>
    <row r="3787" spans="1:2">
      <c r="A3787" s="670"/>
      <c r="B3787" s="655"/>
    </row>
    <row r="3788" spans="1:2">
      <c r="A3788" s="670"/>
      <c r="B3788" s="655"/>
    </row>
    <row r="3789" spans="1:2">
      <c r="A3789" s="670"/>
      <c r="B3789" s="655"/>
    </row>
    <row r="3790" spans="1:2">
      <c r="A3790" s="670"/>
      <c r="B3790" s="655"/>
    </row>
    <row r="3791" spans="1:2">
      <c r="A3791" s="670"/>
      <c r="B3791" s="655"/>
    </row>
    <row r="3792" spans="1:2">
      <c r="A3792" s="670"/>
      <c r="B3792" s="655"/>
    </row>
    <row r="3793" spans="1:2">
      <c r="A3793" s="670"/>
      <c r="B3793" s="655"/>
    </row>
    <row r="3794" spans="1:2">
      <c r="A3794" s="670"/>
      <c r="B3794" s="655"/>
    </row>
    <row r="3795" spans="1:2">
      <c r="A3795" s="670"/>
      <c r="B3795" s="655"/>
    </row>
    <row r="3796" spans="1:2">
      <c r="A3796" s="670"/>
      <c r="B3796" s="655"/>
    </row>
    <row r="3797" spans="1:2">
      <c r="A3797" s="670"/>
      <c r="B3797" s="655"/>
    </row>
    <row r="3798" spans="1:2">
      <c r="A3798" s="670"/>
      <c r="B3798" s="655"/>
    </row>
    <row r="3799" spans="1:2">
      <c r="A3799" s="670"/>
      <c r="B3799" s="655"/>
    </row>
    <row r="3800" spans="1:2">
      <c r="A3800" s="670"/>
      <c r="B3800" s="655"/>
    </row>
    <row r="3801" spans="1:2">
      <c r="A3801" s="670"/>
      <c r="B3801" s="655"/>
    </row>
    <row r="3802" spans="1:2">
      <c r="A3802" s="670"/>
      <c r="B3802" s="655"/>
    </row>
    <row r="3803" spans="1:2">
      <c r="A3803" s="670"/>
      <c r="B3803" s="655"/>
    </row>
    <row r="3804" spans="1:2">
      <c r="A3804" s="670"/>
      <c r="B3804" s="655"/>
    </row>
    <row r="3805" spans="1:2">
      <c r="A3805" s="670"/>
      <c r="B3805" s="655"/>
    </row>
    <row r="3806" spans="1:2">
      <c r="A3806" s="670"/>
      <c r="B3806" s="655"/>
    </row>
    <row r="3807" spans="1:2">
      <c r="A3807" s="670"/>
      <c r="B3807" s="655"/>
    </row>
    <row r="3808" spans="1:2">
      <c r="A3808" s="670"/>
      <c r="B3808" s="655"/>
    </row>
    <row r="3809" spans="1:2">
      <c r="A3809" s="670"/>
      <c r="B3809" s="655"/>
    </row>
    <row r="3810" spans="1:2">
      <c r="A3810" s="670"/>
      <c r="B3810" s="655"/>
    </row>
    <row r="3811" spans="1:2">
      <c r="A3811" s="670"/>
      <c r="B3811" s="655"/>
    </row>
    <row r="3812" spans="1:2">
      <c r="A3812" s="670"/>
      <c r="B3812" s="655"/>
    </row>
    <row r="3813" spans="1:2">
      <c r="A3813" s="670"/>
      <c r="B3813" s="655"/>
    </row>
    <row r="3814" spans="1:2">
      <c r="A3814" s="670"/>
      <c r="B3814" s="655"/>
    </row>
    <row r="3815" spans="1:2">
      <c r="A3815" s="670"/>
      <c r="B3815" s="655"/>
    </row>
    <row r="3816" spans="1:2">
      <c r="A3816" s="670"/>
      <c r="B3816" s="655"/>
    </row>
    <row r="3817" spans="1:2">
      <c r="A3817" s="670"/>
      <c r="B3817" s="655"/>
    </row>
    <row r="3818" spans="1:2">
      <c r="A3818" s="670"/>
      <c r="B3818" s="655"/>
    </row>
    <row r="3819" spans="1:2">
      <c r="A3819" s="670"/>
      <c r="B3819" s="655"/>
    </row>
    <row r="3820" spans="1:2">
      <c r="A3820" s="670"/>
      <c r="B3820" s="655"/>
    </row>
    <row r="3821" spans="1:2">
      <c r="A3821" s="670"/>
      <c r="B3821" s="655"/>
    </row>
    <row r="3822" spans="1:2">
      <c r="A3822" s="670"/>
      <c r="B3822" s="655"/>
    </row>
    <row r="3823" spans="1:2">
      <c r="A3823" s="670"/>
      <c r="B3823" s="655"/>
    </row>
    <row r="3824" spans="1:2">
      <c r="A3824" s="670"/>
      <c r="B3824" s="655"/>
    </row>
    <row r="3825" spans="1:2">
      <c r="A3825" s="670"/>
      <c r="B3825" s="655"/>
    </row>
    <row r="3826" spans="1:2">
      <c r="A3826" s="670"/>
      <c r="B3826" s="655"/>
    </row>
    <row r="3827" spans="1:2">
      <c r="A3827" s="670"/>
      <c r="B3827" s="655"/>
    </row>
    <row r="3828" spans="1:2">
      <c r="A3828" s="670"/>
      <c r="B3828" s="655"/>
    </row>
    <row r="3829" spans="1:2">
      <c r="A3829" s="670"/>
      <c r="B3829" s="655"/>
    </row>
    <row r="3830" spans="1:2">
      <c r="A3830" s="670"/>
      <c r="B3830" s="655"/>
    </row>
    <row r="3831" spans="1:2">
      <c r="A3831" s="670"/>
      <c r="B3831" s="655"/>
    </row>
    <row r="3832" spans="1:2">
      <c r="A3832" s="670"/>
      <c r="B3832" s="655"/>
    </row>
    <row r="3833" spans="1:2">
      <c r="A3833" s="670"/>
      <c r="B3833" s="655"/>
    </row>
    <row r="3834" spans="1:2">
      <c r="A3834" s="670"/>
      <c r="B3834" s="655"/>
    </row>
    <row r="3835" spans="1:2">
      <c r="A3835" s="670"/>
      <c r="B3835" s="655"/>
    </row>
    <row r="3836" spans="1:2">
      <c r="A3836" s="670"/>
      <c r="B3836" s="655"/>
    </row>
    <row r="3837" spans="1:2">
      <c r="A3837" s="670"/>
      <c r="B3837" s="655"/>
    </row>
    <row r="3838" spans="1:2">
      <c r="A3838" s="670"/>
      <c r="B3838" s="655"/>
    </row>
    <row r="3839" spans="1:2">
      <c r="A3839" s="670"/>
      <c r="B3839" s="655"/>
    </row>
    <row r="3840" spans="1:2">
      <c r="A3840" s="670"/>
      <c r="B3840" s="655"/>
    </row>
    <row r="3841" spans="1:2">
      <c r="A3841" s="670"/>
      <c r="B3841" s="655"/>
    </row>
    <row r="3842" spans="1:2">
      <c r="A3842" s="670"/>
      <c r="B3842" s="655"/>
    </row>
    <row r="3843" spans="1:2">
      <c r="A3843" s="670"/>
      <c r="B3843" s="655"/>
    </row>
    <row r="3844" spans="1:2">
      <c r="A3844" s="670"/>
      <c r="B3844" s="655"/>
    </row>
    <row r="3845" spans="1:2">
      <c r="A3845" s="670"/>
      <c r="B3845" s="655"/>
    </row>
    <row r="3846" spans="1:2">
      <c r="A3846" s="670"/>
      <c r="B3846" s="655"/>
    </row>
    <row r="3847" spans="1:2">
      <c r="A3847" s="670"/>
      <c r="B3847" s="655"/>
    </row>
    <row r="3848" spans="1:2">
      <c r="A3848" s="670"/>
      <c r="B3848" s="655"/>
    </row>
    <row r="3849" spans="1:2">
      <c r="A3849" s="670"/>
      <c r="B3849" s="655"/>
    </row>
    <row r="3850" spans="1:2">
      <c r="A3850" s="670"/>
      <c r="B3850" s="655"/>
    </row>
    <row r="3851" spans="1:2">
      <c r="A3851" s="670"/>
      <c r="B3851" s="655"/>
    </row>
    <row r="3852" spans="1:2">
      <c r="A3852" s="670"/>
      <c r="B3852" s="655"/>
    </row>
    <row r="3853" spans="1:2">
      <c r="A3853" s="670"/>
      <c r="B3853" s="655"/>
    </row>
    <row r="3854" spans="1:2">
      <c r="A3854" s="670"/>
      <c r="B3854" s="655"/>
    </row>
    <row r="3855" spans="1:2">
      <c r="A3855" s="670"/>
      <c r="B3855" s="655"/>
    </row>
    <row r="3856" spans="1:2">
      <c r="A3856" s="670"/>
      <c r="B3856" s="655"/>
    </row>
    <row r="3857" spans="1:2">
      <c r="A3857" s="670"/>
      <c r="B3857" s="655"/>
    </row>
    <row r="3858" spans="1:2">
      <c r="A3858" s="670"/>
      <c r="B3858" s="655"/>
    </row>
    <row r="3859" spans="1:2">
      <c r="A3859" s="670"/>
      <c r="B3859" s="655"/>
    </row>
    <row r="3860" spans="1:2">
      <c r="A3860" s="670"/>
      <c r="B3860" s="655"/>
    </row>
    <row r="3861" spans="1:2">
      <c r="A3861" s="670"/>
      <c r="B3861" s="655"/>
    </row>
    <row r="3862" spans="1:2">
      <c r="A3862" s="670"/>
      <c r="B3862" s="655"/>
    </row>
    <row r="3863" spans="1:2">
      <c r="A3863" s="670"/>
      <c r="B3863" s="655"/>
    </row>
    <row r="3864" spans="1:2">
      <c r="A3864" s="670"/>
      <c r="B3864" s="655"/>
    </row>
    <row r="3865" spans="1:2">
      <c r="A3865" s="670"/>
      <c r="B3865" s="655"/>
    </row>
    <row r="3866" spans="1:2">
      <c r="A3866" s="670"/>
      <c r="B3866" s="655"/>
    </row>
    <row r="3867" spans="1:2">
      <c r="A3867" s="670"/>
      <c r="B3867" s="655"/>
    </row>
    <row r="3868" spans="1:2">
      <c r="A3868" s="670"/>
      <c r="B3868" s="655"/>
    </row>
    <row r="3869" spans="1:2">
      <c r="A3869" s="670"/>
      <c r="B3869" s="655"/>
    </row>
    <row r="3870" spans="1:2">
      <c r="A3870" s="670"/>
      <c r="B3870" s="655"/>
    </row>
    <row r="3871" spans="1:2">
      <c r="A3871" s="670"/>
      <c r="B3871" s="655"/>
    </row>
    <row r="3872" spans="1:2">
      <c r="A3872" s="670"/>
      <c r="B3872" s="655"/>
    </row>
    <row r="3873" spans="1:2">
      <c r="A3873" s="670"/>
      <c r="B3873" s="655"/>
    </row>
    <row r="3874" spans="1:2">
      <c r="A3874" s="670"/>
      <c r="B3874" s="655"/>
    </row>
    <row r="3875" spans="1:2">
      <c r="A3875" s="670"/>
      <c r="B3875" s="655"/>
    </row>
    <row r="3876" spans="1:2">
      <c r="A3876" s="670"/>
      <c r="B3876" s="655"/>
    </row>
    <row r="3877" spans="1:2">
      <c r="A3877" s="670"/>
      <c r="B3877" s="655"/>
    </row>
    <row r="3878" spans="1:2">
      <c r="A3878" s="670"/>
      <c r="B3878" s="655"/>
    </row>
    <row r="3879" spans="1:2">
      <c r="A3879" s="670"/>
      <c r="B3879" s="655"/>
    </row>
    <row r="3880" spans="1:2">
      <c r="A3880" s="670"/>
      <c r="B3880" s="655"/>
    </row>
    <row r="3881" spans="1:2">
      <c r="A3881" s="670"/>
      <c r="B3881" s="655"/>
    </row>
    <row r="3882" spans="1:2">
      <c r="A3882" s="670"/>
      <c r="B3882" s="655"/>
    </row>
    <row r="3883" spans="1:2">
      <c r="A3883" s="670"/>
      <c r="B3883" s="655"/>
    </row>
    <row r="3884" spans="1:2">
      <c r="A3884" s="670"/>
      <c r="B3884" s="655"/>
    </row>
    <row r="3885" spans="1:2">
      <c r="A3885" s="670"/>
      <c r="B3885" s="655"/>
    </row>
    <row r="3886" spans="1:2">
      <c r="A3886" s="670"/>
      <c r="B3886" s="655"/>
    </row>
    <row r="3887" spans="1:2">
      <c r="A3887" s="670"/>
      <c r="B3887" s="655"/>
    </row>
    <row r="3888" spans="1:2">
      <c r="A3888" s="670"/>
      <c r="B3888" s="655"/>
    </row>
    <row r="3889" spans="1:2">
      <c r="A3889" s="670"/>
      <c r="B3889" s="655"/>
    </row>
    <row r="3890" spans="1:2">
      <c r="A3890" s="670"/>
      <c r="B3890" s="655"/>
    </row>
    <row r="3891" spans="1:2">
      <c r="A3891" s="670"/>
      <c r="B3891" s="655"/>
    </row>
    <row r="3892" spans="1:2">
      <c r="A3892" s="670"/>
      <c r="B3892" s="655"/>
    </row>
    <row r="3893" spans="1:2">
      <c r="A3893" s="670"/>
      <c r="B3893" s="655"/>
    </row>
    <row r="3894" spans="1:2">
      <c r="A3894" s="670"/>
      <c r="B3894" s="655"/>
    </row>
    <row r="3895" spans="1:2">
      <c r="A3895" s="670"/>
      <c r="B3895" s="655"/>
    </row>
    <row r="3896" spans="1:2">
      <c r="A3896" s="670"/>
      <c r="B3896" s="655"/>
    </row>
    <row r="3897" spans="1:2">
      <c r="A3897" s="670"/>
      <c r="B3897" s="655"/>
    </row>
    <row r="3898" spans="1:2">
      <c r="A3898" s="670"/>
      <c r="B3898" s="655"/>
    </row>
    <row r="3899" spans="1:2">
      <c r="A3899" s="670"/>
      <c r="B3899" s="655"/>
    </row>
    <row r="3900" spans="1:2">
      <c r="A3900" s="670"/>
      <c r="B3900" s="655"/>
    </row>
    <row r="3901" spans="1:2">
      <c r="A3901" s="670"/>
      <c r="B3901" s="655"/>
    </row>
    <row r="3902" spans="1:2">
      <c r="A3902" s="670"/>
      <c r="B3902" s="655"/>
    </row>
    <row r="3903" spans="1:2">
      <c r="A3903" s="670"/>
      <c r="B3903" s="655"/>
    </row>
    <row r="3904" spans="1:2">
      <c r="A3904" s="670"/>
      <c r="B3904" s="655"/>
    </row>
    <row r="3905" spans="1:2">
      <c r="A3905" s="670"/>
      <c r="B3905" s="655"/>
    </row>
    <row r="3906" spans="1:2">
      <c r="A3906" s="670"/>
      <c r="B3906" s="655"/>
    </row>
    <row r="3907" spans="1:2">
      <c r="A3907" s="670"/>
      <c r="B3907" s="655"/>
    </row>
    <row r="3908" spans="1:2">
      <c r="A3908" s="670"/>
      <c r="B3908" s="655"/>
    </row>
    <row r="3909" spans="1:2">
      <c r="A3909" s="670"/>
      <c r="B3909" s="655"/>
    </row>
    <row r="3910" spans="1:2">
      <c r="A3910" s="670"/>
      <c r="B3910" s="655"/>
    </row>
    <row r="3911" spans="1:2">
      <c r="A3911" s="670"/>
      <c r="B3911" s="655"/>
    </row>
    <row r="3912" spans="1:2">
      <c r="A3912" s="670"/>
      <c r="B3912" s="655"/>
    </row>
    <row r="3913" spans="1:2">
      <c r="A3913" s="670"/>
      <c r="B3913" s="655"/>
    </row>
    <row r="3914" spans="1:2">
      <c r="A3914" s="670"/>
      <c r="B3914" s="655"/>
    </row>
    <row r="3915" spans="1:2">
      <c r="A3915" s="670"/>
      <c r="B3915" s="655"/>
    </row>
    <row r="3916" spans="1:2">
      <c r="A3916" s="670"/>
      <c r="B3916" s="655"/>
    </row>
    <row r="3917" spans="1:2">
      <c r="A3917" s="670"/>
      <c r="B3917" s="655"/>
    </row>
    <row r="3918" spans="1:2">
      <c r="A3918" s="670"/>
      <c r="B3918" s="655"/>
    </row>
    <row r="3919" spans="1:2">
      <c r="A3919" s="670"/>
      <c r="B3919" s="655"/>
    </row>
    <row r="3920" spans="1:2">
      <c r="A3920" s="670"/>
      <c r="B3920" s="655"/>
    </row>
    <row r="3921" spans="1:2">
      <c r="A3921" s="670"/>
      <c r="B3921" s="655"/>
    </row>
    <row r="3922" spans="1:2">
      <c r="A3922" s="670"/>
      <c r="B3922" s="655"/>
    </row>
    <row r="3923" spans="1:2">
      <c r="A3923" s="670"/>
      <c r="B3923" s="655"/>
    </row>
    <row r="3924" spans="1:2">
      <c r="A3924" s="670"/>
      <c r="B3924" s="655"/>
    </row>
    <row r="3925" spans="1:2">
      <c r="A3925" s="670"/>
      <c r="B3925" s="655"/>
    </row>
    <row r="3926" spans="1:2">
      <c r="A3926" s="670"/>
      <c r="B3926" s="655"/>
    </row>
    <row r="3927" spans="1:2">
      <c r="A3927" s="670"/>
      <c r="B3927" s="655"/>
    </row>
    <row r="3928" spans="1:2">
      <c r="A3928" s="670"/>
      <c r="B3928" s="655"/>
    </row>
    <row r="3929" spans="1:2">
      <c r="A3929" s="670"/>
      <c r="B3929" s="655"/>
    </row>
    <row r="3930" spans="1:2">
      <c r="A3930" s="670"/>
      <c r="B3930" s="655"/>
    </row>
    <row r="3931" spans="1:2">
      <c r="A3931" s="670"/>
      <c r="B3931" s="655"/>
    </row>
    <row r="3932" spans="1:2">
      <c r="A3932" s="670"/>
      <c r="B3932" s="655"/>
    </row>
    <row r="3933" spans="1:2">
      <c r="A3933" s="670"/>
      <c r="B3933" s="655"/>
    </row>
    <row r="3934" spans="1:2">
      <c r="A3934" s="670"/>
      <c r="B3934" s="655"/>
    </row>
    <row r="3935" spans="1:2">
      <c r="A3935" s="670"/>
      <c r="B3935" s="655"/>
    </row>
    <row r="3936" spans="1:2">
      <c r="A3936" s="670"/>
      <c r="B3936" s="655"/>
    </row>
    <row r="3937" spans="1:2">
      <c r="A3937" s="670"/>
      <c r="B3937" s="655"/>
    </row>
    <row r="3938" spans="1:2">
      <c r="A3938" s="670"/>
      <c r="B3938" s="655"/>
    </row>
    <row r="3939" spans="1:2">
      <c r="A3939" s="670"/>
      <c r="B3939" s="655"/>
    </row>
    <row r="3940" spans="1:2">
      <c r="A3940" s="670"/>
      <c r="B3940" s="655"/>
    </row>
    <row r="3941" spans="1:2">
      <c r="A3941" s="670"/>
      <c r="B3941" s="655"/>
    </row>
    <row r="3942" spans="1:2">
      <c r="A3942" s="670"/>
      <c r="B3942" s="655"/>
    </row>
    <row r="3943" spans="1:2">
      <c r="A3943" s="670"/>
      <c r="B3943" s="655"/>
    </row>
    <row r="3944" spans="1:2">
      <c r="A3944" s="670"/>
      <c r="B3944" s="655"/>
    </row>
    <row r="3945" spans="1:2">
      <c r="A3945" s="670"/>
      <c r="B3945" s="655"/>
    </row>
    <row r="3946" spans="1:2">
      <c r="A3946" s="670"/>
      <c r="B3946" s="655"/>
    </row>
    <row r="3947" spans="1:2">
      <c r="A3947" s="670"/>
      <c r="B3947" s="655"/>
    </row>
    <row r="3948" spans="1:2">
      <c r="A3948" s="670"/>
      <c r="B3948" s="655"/>
    </row>
    <row r="3949" spans="1:2">
      <c r="A3949" s="670"/>
      <c r="B3949" s="655"/>
    </row>
    <row r="3950" spans="1:2">
      <c r="A3950" s="670"/>
      <c r="B3950" s="655"/>
    </row>
    <row r="3951" spans="1:2">
      <c r="A3951" s="670"/>
      <c r="B3951" s="655"/>
    </row>
    <row r="3952" spans="1:2">
      <c r="A3952" s="670"/>
      <c r="B3952" s="655"/>
    </row>
    <row r="3953" spans="1:2">
      <c r="A3953" s="670"/>
      <c r="B3953" s="655"/>
    </row>
    <row r="3954" spans="1:2">
      <c r="A3954" s="670"/>
      <c r="B3954" s="655"/>
    </row>
    <row r="3955" spans="1:2">
      <c r="A3955" s="670"/>
      <c r="B3955" s="655"/>
    </row>
    <row r="3956" spans="1:2">
      <c r="A3956" s="670"/>
      <c r="B3956" s="655"/>
    </row>
    <row r="3957" spans="1:2">
      <c r="A3957" s="670"/>
      <c r="B3957" s="655"/>
    </row>
    <row r="3958" spans="1:2">
      <c r="A3958" s="670"/>
      <c r="B3958" s="655"/>
    </row>
    <row r="3959" spans="1:2">
      <c r="A3959" s="670"/>
      <c r="B3959" s="655"/>
    </row>
    <row r="3960" spans="1:2">
      <c r="A3960" s="670"/>
      <c r="B3960" s="655"/>
    </row>
    <row r="3961" spans="1:2">
      <c r="A3961" s="670"/>
      <c r="B3961" s="655"/>
    </row>
    <row r="3962" spans="1:2">
      <c r="A3962" s="670"/>
      <c r="B3962" s="655"/>
    </row>
    <row r="3963" spans="1:2">
      <c r="A3963" s="670"/>
      <c r="B3963" s="655"/>
    </row>
    <row r="3964" spans="1:2">
      <c r="A3964" s="670"/>
      <c r="B3964" s="655"/>
    </row>
    <row r="3965" spans="1:2">
      <c r="A3965" s="670"/>
      <c r="B3965" s="655"/>
    </row>
    <row r="3966" spans="1:2">
      <c r="A3966" s="670"/>
      <c r="B3966" s="655"/>
    </row>
    <row r="3967" spans="1:2">
      <c r="A3967" s="670"/>
      <c r="B3967" s="655"/>
    </row>
    <row r="3968" spans="1:2">
      <c r="A3968" s="670"/>
      <c r="B3968" s="655"/>
    </row>
    <row r="3969" spans="1:2">
      <c r="A3969" s="670"/>
      <c r="B3969" s="655"/>
    </row>
    <row r="3970" spans="1:2">
      <c r="A3970" s="670"/>
      <c r="B3970" s="655"/>
    </row>
    <row r="3971" spans="1:2">
      <c r="A3971" s="670"/>
      <c r="B3971" s="655"/>
    </row>
    <row r="3972" spans="1:2">
      <c r="A3972" s="670"/>
      <c r="B3972" s="655"/>
    </row>
    <row r="3973" spans="1:2">
      <c r="A3973" s="670"/>
      <c r="B3973" s="655"/>
    </row>
    <row r="3974" spans="1:2">
      <c r="A3974" s="670"/>
      <c r="B3974" s="655"/>
    </row>
    <row r="3975" spans="1:2">
      <c r="A3975" s="670"/>
      <c r="B3975" s="655"/>
    </row>
    <row r="3976" spans="1:2">
      <c r="A3976" s="670"/>
      <c r="B3976" s="655"/>
    </row>
    <row r="3977" spans="1:2">
      <c r="A3977" s="670"/>
      <c r="B3977" s="655"/>
    </row>
    <row r="3978" spans="1:2">
      <c r="A3978" s="670"/>
      <c r="B3978" s="655"/>
    </row>
    <row r="3979" spans="1:2">
      <c r="A3979" s="670"/>
      <c r="B3979" s="655"/>
    </row>
    <row r="3980" spans="1:2">
      <c r="A3980" s="670"/>
      <c r="B3980" s="655"/>
    </row>
    <row r="3981" spans="1:2">
      <c r="A3981" s="670"/>
      <c r="B3981" s="655"/>
    </row>
    <row r="3982" spans="1:2">
      <c r="A3982" s="670"/>
      <c r="B3982" s="655"/>
    </row>
    <row r="3983" spans="1:2">
      <c r="A3983" s="670"/>
      <c r="B3983" s="655"/>
    </row>
    <row r="3984" spans="1:2">
      <c r="A3984" s="670"/>
      <c r="B3984" s="655"/>
    </row>
    <row r="3985" spans="1:2">
      <c r="A3985" s="670"/>
      <c r="B3985" s="655"/>
    </row>
    <row r="3986" spans="1:2">
      <c r="A3986" s="670"/>
      <c r="B3986" s="655"/>
    </row>
    <row r="3987" spans="1:2">
      <c r="A3987" s="670"/>
      <c r="B3987" s="655"/>
    </row>
    <row r="3988" spans="1:2">
      <c r="A3988" s="670"/>
      <c r="B3988" s="655"/>
    </row>
    <row r="3989" spans="1:2">
      <c r="A3989" s="670"/>
      <c r="B3989" s="655"/>
    </row>
    <row r="3990" spans="1:2">
      <c r="A3990" s="670"/>
      <c r="B3990" s="655"/>
    </row>
    <row r="3991" spans="1:2">
      <c r="A3991" s="670"/>
      <c r="B3991" s="655"/>
    </row>
    <row r="3992" spans="1:2">
      <c r="A3992" s="670"/>
      <c r="B3992" s="655"/>
    </row>
    <row r="3993" spans="1:2">
      <c r="A3993" s="670"/>
      <c r="B3993" s="655"/>
    </row>
    <row r="3994" spans="1:2">
      <c r="A3994" s="670"/>
      <c r="B3994" s="655"/>
    </row>
    <row r="3995" spans="1:2">
      <c r="A3995" s="670"/>
      <c r="B3995" s="655"/>
    </row>
    <row r="3996" spans="1:2">
      <c r="A3996" s="670"/>
      <c r="B3996" s="655"/>
    </row>
    <row r="3997" spans="1:2">
      <c r="A3997" s="670"/>
      <c r="B3997" s="655"/>
    </row>
    <row r="3998" spans="1:2">
      <c r="A3998" s="670"/>
      <c r="B3998" s="655"/>
    </row>
    <row r="3999" spans="1:2">
      <c r="A3999" s="670"/>
      <c r="B3999" s="655"/>
    </row>
    <row r="4000" spans="1:2">
      <c r="A4000" s="670"/>
      <c r="B4000" s="655"/>
    </row>
    <row r="4001" spans="1:2">
      <c r="A4001" s="670"/>
      <c r="B4001" s="655"/>
    </row>
    <row r="4002" spans="1:2">
      <c r="A4002" s="670"/>
      <c r="B4002" s="655"/>
    </row>
    <row r="4003" spans="1:2">
      <c r="A4003" s="670"/>
      <c r="B4003" s="655"/>
    </row>
    <row r="4004" spans="1:2">
      <c r="A4004" s="670"/>
      <c r="B4004" s="655"/>
    </row>
    <row r="4005" spans="1:2">
      <c r="A4005" s="670"/>
      <c r="B4005" s="655"/>
    </row>
    <row r="4006" spans="1:2">
      <c r="A4006" s="670"/>
      <c r="B4006" s="655"/>
    </row>
    <row r="4007" spans="1:2">
      <c r="A4007" s="670"/>
      <c r="B4007" s="655"/>
    </row>
    <row r="4008" spans="1:2">
      <c r="A4008" s="670"/>
      <c r="B4008" s="655"/>
    </row>
    <row r="4009" spans="1:2">
      <c r="A4009" s="670"/>
      <c r="B4009" s="655"/>
    </row>
    <row r="4010" spans="1:2">
      <c r="A4010" s="670"/>
      <c r="B4010" s="655"/>
    </row>
    <row r="4011" spans="1:2">
      <c r="A4011" s="670"/>
      <c r="B4011" s="655"/>
    </row>
    <row r="4012" spans="1:2">
      <c r="A4012" s="670"/>
      <c r="B4012" s="655"/>
    </row>
    <row r="4013" spans="1:2">
      <c r="A4013" s="670"/>
      <c r="B4013" s="655"/>
    </row>
    <row r="4014" spans="1:2">
      <c r="A4014" s="670"/>
      <c r="B4014" s="655"/>
    </row>
    <row r="4015" spans="1:2">
      <c r="A4015" s="670"/>
      <c r="B4015" s="655"/>
    </row>
    <row r="4016" spans="1:2">
      <c r="A4016" s="670"/>
      <c r="B4016" s="655"/>
    </row>
    <row r="4017" spans="1:2">
      <c r="A4017" s="670"/>
      <c r="B4017" s="655"/>
    </row>
    <row r="4018" spans="1:2">
      <c r="A4018" s="670"/>
      <c r="B4018" s="655"/>
    </row>
    <row r="4019" spans="1:2">
      <c r="A4019" s="670"/>
      <c r="B4019" s="655"/>
    </row>
    <row r="4020" spans="1:2">
      <c r="A4020" s="670"/>
      <c r="B4020" s="655"/>
    </row>
    <row r="4021" spans="1:2">
      <c r="A4021" s="670"/>
      <c r="B4021" s="655"/>
    </row>
    <row r="4022" spans="1:2">
      <c r="A4022" s="670"/>
      <c r="B4022" s="655"/>
    </row>
    <row r="4023" spans="1:2">
      <c r="A4023" s="670"/>
      <c r="B4023" s="655"/>
    </row>
    <row r="4024" spans="1:2">
      <c r="A4024" s="670"/>
      <c r="B4024" s="655"/>
    </row>
    <row r="4025" spans="1:2">
      <c r="A4025" s="670"/>
      <c r="B4025" s="655"/>
    </row>
    <row r="4026" spans="1:2">
      <c r="A4026" s="670"/>
      <c r="B4026" s="655"/>
    </row>
    <row r="4027" spans="1:2">
      <c r="A4027" s="670"/>
      <c r="B4027" s="655"/>
    </row>
    <row r="4028" spans="1:2">
      <c r="A4028" s="670"/>
      <c r="B4028" s="655"/>
    </row>
    <row r="4029" spans="1:2">
      <c r="A4029" s="670"/>
      <c r="B4029" s="655"/>
    </row>
    <row r="4030" spans="1:2">
      <c r="A4030" s="670"/>
      <c r="B4030" s="655"/>
    </row>
    <row r="4031" spans="1:2">
      <c r="A4031" s="670"/>
      <c r="B4031" s="655"/>
    </row>
    <row r="4032" spans="1:2">
      <c r="A4032" s="670"/>
      <c r="B4032" s="655"/>
    </row>
    <row r="4033" spans="1:2">
      <c r="A4033" s="670"/>
      <c r="B4033" s="655"/>
    </row>
    <row r="4034" spans="1:2">
      <c r="A4034" s="670"/>
      <c r="B4034" s="655"/>
    </row>
    <row r="4035" spans="1:2">
      <c r="A4035" s="670"/>
      <c r="B4035" s="655"/>
    </row>
    <row r="4036" spans="1:2">
      <c r="A4036" s="670"/>
      <c r="B4036" s="655"/>
    </row>
    <row r="4037" spans="1:2">
      <c r="A4037" s="670"/>
      <c r="B4037" s="655"/>
    </row>
    <row r="4038" spans="1:2">
      <c r="A4038" s="670"/>
      <c r="B4038" s="655"/>
    </row>
    <row r="4039" spans="1:2">
      <c r="A4039" s="670"/>
      <c r="B4039" s="655"/>
    </row>
    <row r="4040" spans="1:2">
      <c r="A4040" s="670"/>
      <c r="B4040" s="655"/>
    </row>
    <row r="4041" spans="1:2">
      <c r="A4041" s="670"/>
      <c r="B4041" s="655"/>
    </row>
    <row r="4042" spans="1:2">
      <c r="A4042" s="670"/>
      <c r="B4042" s="655"/>
    </row>
    <row r="4043" spans="1:2">
      <c r="A4043" s="670"/>
      <c r="B4043" s="655"/>
    </row>
    <row r="4044" spans="1:2">
      <c r="A4044" s="670"/>
      <c r="B4044" s="655"/>
    </row>
    <row r="4045" spans="1:2">
      <c r="A4045" s="670"/>
      <c r="B4045" s="655"/>
    </row>
    <row r="4046" spans="1:2">
      <c r="A4046" s="670"/>
      <c r="B4046" s="655"/>
    </row>
    <row r="4047" spans="1:2">
      <c r="A4047" s="670"/>
      <c r="B4047" s="655"/>
    </row>
    <row r="4048" spans="1:2">
      <c r="A4048" s="670"/>
      <c r="B4048" s="655"/>
    </row>
    <row r="4049" spans="1:2">
      <c r="A4049" s="670"/>
      <c r="B4049" s="655"/>
    </row>
    <row r="4050" spans="1:2">
      <c r="A4050" s="670"/>
      <c r="B4050" s="655"/>
    </row>
    <row r="4051" spans="1:2">
      <c r="A4051" s="670"/>
      <c r="B4051" s="655"/>
    </row>
    <row r="4052" spans="1:2">
      <c r="A4052" s="670"/>
      <c r="B4052" s="655"/>
    </row>
    <row r="4053" spans="1:2">
      <c r="A4053" s="670"/>
      <c r="B4053" s="655"/>
    </row>
    <row r="4054" spans="1:2">
      <c r="A4054" s="670"/>
      <c r="B4054" s="655"/>
    </row>
    <row r="4055" spans="1:2">
      <c r="A4055" s="670"/>
      <c r="B4055" s="655"/>
    </row>
    <row r="4056" spans="1:2">
      <c r="A4056" s="670"/>
      <c r="B4056" s="655"/>
    </row>
    <row r="4057" spans="1:2">
      <c r="A4057" s="670"/>
      <c r="B4057" s="655"/>
    </row>
    <row r="4058" spans="1:2">
      <c r="A4058" s="670"/>
      <c r="B4058" s="655"/>
    </row>
    <row r="4059" spans="1:2">
      <c r="A4059" s="670"/>
      <c r="B4059" s="655"/>
    </row>
    <row r="4060" spans="1:2">
      <c r="A4060" s="670"/>
      <c r="B4060" s="655"/>
    </row>
    <row r="4061" spans="1:2">
      <c r="A4061" s="670"/>
      <c r="B4061" s="655"/>
    </row>
    <row r="4062" spans="1:2">
      <c r="A4062" s="670"/>
      <c r="B4062" s="655"/>
    </row>
    <row r="4063" spans="1:2">
      <c r="A4063" s="670"/>
      <c r="B4063" s="655"/>
    </row>
    <row r="4064" spans="1:2">
      <c r="A4064" s="670"/>
      <c r="B4064" s="655"/>
    </row>
    <row r="4065" spans="1:2">
      <c r="A4065" s="670"/>
      <c r="B4065" s="655"/>
    </row>
    <row r="4066" spans="1:2">
      <c r="A4066" s="670"/>
      <c r="B4066" s="655"/>
    </row>
    <row r="4067" spans="1:2">
      <c r="A4067" s="670"/>
      <c r="B4067" s="655"/>
    </row>
    <row r="4068" spans="1:2">
      <c r="A4068" s="670"/>
      <c r="B4068" s="655"/>
    </row>
    <row r="4069" spans="1:2">
      <c r="A4069" s="670"/>
      <c r="B4069" s="655"/>
    </row>
    <row r="4070" spans="1:2">
      <c r="A4070" s="670"/>
      <c r="B4070" s="655"/>
    </row>
    <row r="4071" spans="1:2">
      <c r="A4071" s="670"/>
      <c r="B4071" s="655"/>
    </row>
    <row r="4072" spans="1:2">
      <c r="A4072" s="670"/>
      <c r="B4072" s="655"/>
    </row>
    <row r="4073" spans="1:2">
      <c r="A4073" s="670"/>
      <c r="B4073" s="655"/>
    </row>
    <row r="4074" spans="1:2">
      <c r="A4074" s="670"/>
      <c r="B4074" s="655"/>
    </row>
    <row r="4075" spans="1:2">
      <c r="A4075" s="670"/>
      <c r="B4075" s="655"/>
    </row>
    <row r="4076" spans="1:2">
      <c r="A4076" s="670"/>
      <c r="B4076" s="655"/>
    </row>
    <row r="4077" spans="1:2">
      <c r="A4077" s="670"/>
      <c r="B4077" s="655"/>
    </row>
    <row r="4078" spans="1:2">
      <c r="A4078" s="670"/>
      <c r="B4078" s="655"/>
    </row>
    <row r="4079" spans="1:2">
      <c r="A4079" s="670"/>
      <c r="B4079" s="655"/>
    </row>
    <row r="4080" spans="1:2">
      <c r="A4080" s="670"/>
      <c r="B4080" s="655"/>
    </row>
    <row r="4081" spans="1:2">
      <c r="A4081" s="670"/>
      <c r="B4081" s="655"/>
    </row>
    <row r="4082" spans="1:2">
      <c r="A4082" s="670"/>
      <c r="B4082" s="655"/>
    </row>
    <row r="4083" spans="1:2">
      <c r="A4083" s="670"/>
      <c r="B4083" s="655"/>
    </row>
    <row r="4084" spans="1:2">
      <c r="A4084" s="670"/>
      <c r="B4084" s="655"/>
    </row>
    <row r="4085" spans="1:2">
      <c r="A4085" s="670"/>
      <c r="B4085" s="655"/>
    </row>
    <row r="4086" spans="1:2">
      <c r="A4086" s="670"/>
      <c r="B4086" s="655"/>
    </row>
    <row r="4087" spans="1:2">
      <c r="A4087" s="670"/>
      <c r="B4087" s="655"/>
    </row>
    <row r="4088" spans="1:2">
      <c r="A4088" s="670"/>
      <c r="B4088" s="655"/>
    </row>
    <row r="4089" spans="1:2">
      <c r="A4089" s="670"/>
      <c r="B4089" s="655"/>
    </row>
    <row r="4090" spans="1:2">
      <c r="A4090" s="670"/>
      <c r="B4090" s="655"/>
    </row>
    <row r="4091" spans="1:2">
      <c r="A4091" s="670"/>
      <c r="B4091" s="655"/>
    </row>
    <row r="4092" spans="1:2">
      <c r="A4092" s="670"/>
      <c r="B4092" s="655"/>
    </row>
    <row r="4093" spans="1:2">
      <c r="A4093" s="670"/>
      <c r="B4093" s="655"/>
    </row>
    <row r="4094" spans="1:2">
      <c r="A4094" s="670"/>
      <c r="B4094" s="655"/>
    </row>
    <row r="4095" spans="1:2">
      <c r="A4095" s="670"/>
      <c r="B4095" s="655"/>
    </row>
    <row r="4096" spans="1:2">
      <c r="A4096" s="670"/>
      <c r="B4096" s="655"/>
    </row>
    <row r="4097" spans="1:2">
      <c r="A4097" s="670"/>
      <c r="B4097" s="655"/>
    </row>
    <row r="4098" spans="1:2">
      <c r="A4098" s="670"/>
      <c r="B4098" s="655"/>
    </row>
    <row r="4099" spans="1:2">
      <c r="A4099" s="670"/>
      <c r="B4099" s="655"/>
    </row>
    <row r="4100" spans="1:2">
      <c r="A4100" s="670"/>
      <c r="B4100" s="655"/>
    </row>
    <row r="4101" spans="1:2">
      <c r="A4101" s="670"/>
      <c r="B4101" s="655"/>
    </row>
    <row r="4102" spans="1:2">
      <c r="A4102" s="670"/>
      <c r="B4102" s="655"/>
    </row>
    <row r="4103" spans="1:2">
      <c r="A4103" s="670"/>
      <c r="B4103" s="655"/>
    </row>
    <row r="4104" spans="1:2">
      <c r="A4104" s="670"/>
      <c r="B4104" s="655"/>
    </row>
    <row r="4105" spans="1:2">
      <c r="A4105" s="670"/>
      <c r="B4105" s="655"/>
    </row>
    <row r="4106" spans="1:2">
      <c r="A4106" s="670"/>
      <c r="B4106" s="655"/>
    </row>
    <row r="4107" spans="1:2">
      <c r="A4107" s="670"/>
      <c r="B4107" s="655"/>
    </row>
    <row r="4108" spans="1:2">
      <c r="A4108" s="670"/>
      <c r="B4108" s="655"/>
    </row>
    <row r="4109" spans="1:2">
      <c r="A4109" s="670"/>
      <c r="B4109" s="655"/>
    </row>
    <row r="4110" spans="1:2">
      <c r="A4110" s="670"/>
      <c r="B4110" s="655"/>
    </row>
    <row r="4111" spans="1:2">
      <c r="A4111" s="670"/>
      <c r="B4111" s="655"/>
    </row>
    <row r="4112" spans="1:2">
      <c r="A4112" s="670"/>
      <c r="B4112" s="655"/>
    </row>
    <row r="4113" spans="1:2">
      <c r="A4113" s="670"/>
      <c r="B4113" s="655"/>
    </row>
    <row r="4114" spans="1:2">
      <c r="A4114" s="670"/>
      <c r="B4114" s="655"/>
    </row>
    <row r="4115" spans="1:2">
      <c r="A4115" s="670"/>
      <c r="B4115" s="655"/>
    </row>
    <row r="4116" spans="1:2">
      <c r="A4116" s="670"/>
      <c r="B4116" s="655"/>
    </row>
    <row r="4117" spans="1:2">
      <c r="A4117" s="670"/>
      <c r="B4117" s="655"/>
    </row>
    <row r="4118" spans="1:2">
      <c r="A4118" s="670"/>
      <c r="B4118" s="655"/>
    </row>
    <row r="4119" spans="1:2">
      <c r="A4119" s="670"/>
      <c r="B4119" s="655"/>
    </row>
    <row r="4120" spans="1:2">
      <c r="A4120" s="670"/>
      <c r="B4120" s="655"/>
    </row>
    <row r="4121" spans="1:2">
      <c r="A4121" s="670"/>
      <c r="B4121" s="655"/>
    </row>
    <row r="4122" spans="1:2">
      <c r="A4122" s="670"/>
      <c r="B4122" s="655"/>
    </row>
    <row r="4123" spans="1:2">
      <c r="A4123" s="670"/>
      <c r="B4123" s="655"/>
    </row>
    <row r="4124" spans="1:2">
      <c r="A4124" s="670"/>
      <c r="B4124" s="655"/>
    </row>
    <row r="4125" spans="1:2">
      <c r="A4125" s="670"/>
      <c r="B4125" s="655"/>
    </row>
    <row r="4126" spans="1:2">
      <c r="A4126" s="670"/>
      <c r="B4126" s="655"/>
    </row>
    <row r="4127" spans="1:2">
      <c r="A4127" s="670"/>
      <c r="B4127" s="655"/>
    </row>
    <row r="4128" spans="1:2">
      <c r="A4128" s="670"/>
      <c r="B4128" s="655"/>
    </row>
    <row r="4129" spans="1:2">
      <c r="A4129" s="670"/>
      <c r="B4129" s="655"/>
    </row>
    <row r="4130" spans="1:2">
      <c r="A4130" s="670"/>
      <c r="B4130" s="655"/>
    </row>
    <row r="4131" spans="1:2">
      <c r="A4131" s="670"/>
      <c r="B4131" s="655"/>
    </row>
    <row r="4132" spans="1:2">
      <c r="A4132" s="670"/>
      <c r="B4132" s="655"/>
    </row>
    <row r="4133" spans="1:2">
      <c r="A4133" s="670"/>
      <c r="B4133" s="655"/>
    </row>
    <row r="4134" spans="1:2">
      <c r="A4134" s="670"/>
      <c r="B4134" s="655"/>
    </row>
    <row r="4135" spans="1:2">
      <c r="A4135" s="670"/>
      <c r="B4135" s="655"/>
    </row>
    <row r="4136" spans="1:2">
      <c r="A4136" s="670"/>
      <c r="B4136" s="655"/>
    </row>
    <row r="4137" spans="1:2">
      <c r="A4137" s="670"/>
      <c r="B4137" s="655"/>
    </row>
    <row r="4138" spans="1:2">
      <c r="A4138" s="670"/>
      <c r="B4138" s="655"/>
    </row>
    <row r="4139" spans="1:2">
      <c r="A4139" s="670"/>
      <c r="B4139" s="655"/>
    </row>
    <row r="4140" spans="1:2">
      <c r="A4140" s="670"/>
      <c r="B4140" s="655"/>
    </row>
    <row r="4141" spans="1:2">
      <c r="A4141" s="670"/>
      <c r="B4141" s="655"/>
    </row>
    <row r="4142" spans="1:2">
      <c r="A4142" s="670"/>
      <c r="B4142" s="655"/>
    </row>
    <row r="4143" spans="1:2">
      <c r="A4143" s="670"/>
      <c r="B4143" s="655"/>
    </row>
    <row r="4144" spans="1:2">
      <c r="A4144" s="670"/>
      <c r="B4144" s="655"/>
    </row>
    <row r="4145" spans="1:2">
      <c r="A4145" s="670"/>
      <c r="B4145" s="655"/>
    </row>
    <row r="4146" spans="1:2">
      <c r="A4146" s="670"/>
      <c r="B4146" s="655"/>
    </row>
    <row r="4147" spans="1:2">
      <c r="A4147" s="670"/>
      <c r="B4147" s="655"/>
    </row>
    <row r="4148" spans="1:2">
      <c r="A4148" s="670"/>
      <c r="B4148" s="655"/>
    </row>
    <row r="4149" spans="1:2">
      <c r="A4149" s="670"/>
      <c r="B4149" s="655"/>
    </row>
    <row r="4150" spans="1:2">
      <c r="A4150" s="670"/>
      <c r="B4150" s="655"/>
    </row>
    <row r="4151" spans="1:2">
      <c r="A4151" s="670"/>
      <c r="B4151" s="655"/>
    </row>
    <row r="4152" spans="1:2">
      <c r="A4152" s="670"/>
      <c r="B4152" s="655"/>
    </row>
    <row r="4153" spans="1:2">
      <c r="A4153" s="670"/>
      <c r="B4153" s="655"/>
    </row>
    <row r="4154" spans="1:2">
      <c r="A4154" s="670"/>
      <c r="B4154" s="655"/>
    </row>
    <row r="4155" spans="1:2">
      <c r="A4155" s="670"/>
      <c r="B4155" s="655"/>
    </row>
    <row r="4156" spans="1:2">
      <c r="A4156" s="670"/>
      <c r="B4156" s="655"/>
    </row>
    <row r="4157" spans="1:2">
      <c r="A4157" s="670"/>
      <c r="B4157" s="655"/>
    </row>
    <row r="4158" spans="1:2">
      <c r="A4158" s="670"/>
      <c r="B4158" s="655"/>
    </row>
    <row r="4159" spans="1:2">
      <c r="A4159" s="670"/>
      <c r="B4159" s="655"/>
    </row>
    <row r="4160" spans="1:2">
      <c r="A4160" s="670"/>
      <c r="B4160" s="655"/>
    </row>
    <row r="4161" spans="1:2">
      <c r="A4161" s="670"/>
      <c r="B4161" s="655"/>
    </row>
    <row r="4162" spans="1:2">
      <c r="A4162" s="670"/>
      <c r="B4162" s="655"/>
    </row>
    <row r="4163" spans="1:2">
      <c r="A4163" s="670"/>
      <c r="B4163" s="655"/>
    </row>
    <row r="4164" spans="1:2">
      <c r="A4164" s="670"/>
      <c r="B4164" s="655"/>
    </row>
    <row r="4165" spans="1:2">
      <c r="A4165" s="670"/>
      <c r="B4165" s="655"/>
    </row>
    <row r="4166" spans="1:2">
      <c r="A4166" s="670"/>
      <c r="B4166" s="655"/>
    </row>
    <row r="4167" spans="1:2">
      <c r="A4167" s="670"/>
      <c r="B4167" s="655"/>
    </row>
    <row r="4168" spans="1:2">
      <c r="A4168" s="670"/>
      <c r="B4168" s="655"/>
    </row>
    <row r="4169" spans="1:2">
      <c r="A4169" s="670"/>
      <c r="B4169" s="655"/>
    </row>
    <row r="4170" spans="1:2">
      <c r="A4170" s="670"/>
      <c r="B4170" s="655"/>
    </row>
    <row r="4171" spans="1:2">
      <c r="A4171" s="670"/>
      <c r="B4171" s="655"/>
    </row>
    <row r="4172" spans="1:2">
      <c r="A4172" s="670"/>
      <c r="B4172" s="655"/>
    </row>
    <row r="4173" spans="1:2">
      <c r="A4173" s="670"/>
      <c r="B4173" s="655"/>
    </row>
    <row r="4174" spans="1:2">
      <c r="A4174" s="670"/>
      <c r="B4174" s="655"/>
    </row>
    <row r="4175" spans="1:2">
      <c r="A4175" s="670"/>
      <c r="B4175" s="655"/>
    </row>
    <row r="4176" spans="1:2">
      <c r="A4176" s="670"/>
      <c r="B4176" s="655"/>
    </row>
    <row r="4177" spans="1:2">
      <c r="A4177" s="670"/>
      <c r="B4177" s="655"/>
    </row>
    <row r="4178" spans="1:2">
      <c r="A4178" s="670"/>
      <c r="B4178" s="655"/>
    </row>
    <row r="4179" spans="1:2">
      <c r="A4179" s="670"/>
      <c r="B4179" s="655"/>
    </row>
    <row r="4180" spans="1:2">
      <c r="A4180" s="670"/>
      <c r="B4180" s="655"/>
    </row>
    <row r="4181" spans="1:2">
      <c r="A4181" s="670"/>
      <c r="B4181" s="655"/>
    </row>
    <row r="4182" spans="1:2">
      <c r="A4182" s="670"/>
      <c r="B4182" s="655"/>
    </row>
    <row r="4183" spans="1:2">
      <c r="A4183" s="670"/>
      <c r="B4183" s="655"/>
    </row>
    <row r="4184" spans="1:2">
      <c r="A4184" s="670"/>
      <c r="B4184" s="655"/>
    </row>
    <row r="4185" spans="1:2">
      <c r="A4185" s="670"/>
      <c r="B4185" s="655"/>
    </row>
    <row r="4186" spans="1:2">
      <c r="A4186" s="670"/>
      <c r="B4186" s="655"/>
    </row>
    <row r="4187" spans="1:2">
      <c r="A4187" s="670"/>
      <c r="B4187" s="655"/>
    </row>
    <row r="4188" spans="1:2">
      <c r="A4188" s="670"/>
      <c r="B4188" s="655"/>
    </row>
    <row r="4189" spans="1:2">
      <c r="A4189" s="670"/>
      <c r="B4189" s="655"/>
    </row>
    <row r="4190" spans="1:2">
      <c r="A4190" s="670"/>
      <c r="B4190" s="655"/>
    </row>
    <row r="4191" spans="1:2">
      <c r="A4191" s="670"/>
      <c r="B4191" s="655"/>
    </row>
    <row r="4192" spans="1:2">
      <c r="A4192" s="670"/>
      <c r="B4192" s="655"/>
    </row>
    <row r="4193" spans="1:2">
      <c r="A4193" s="670"/>
      <c r="B4193" s="655"/>
    </row>
    <row r="4194" spans="1:2">
      <c r="A4194" s="670"/>
      <c r="B4194" s="655"/>
    </row>
    <row r="4195" spans="1:2">
      <c r="A4195" s="670"/>
      <c r="B4195" s="655"/>
    </row>
    <row r="4196" spans="1:2">
      <c r="A4196" s="670"/>
      <c r="B4196" s="655"/>
    </row>
    <row r="4197" spans="1:2">
      <c r="A4197" s="670"/>
      <c r="B4197" s="655"/>
    </row>
    <row r="4198" spans="1:2">
      <c r="A4198" s="670"/>
      <c r="B4198" s="655"/>
    </row>
    <row r="4199" spans="1:2">
      <c r="A4199" s="670"/>
      <c r="B4199" s="655"/>
    </row>
    <row r="4200" spans="1:2">
      <c r="A4200" s="670"/>
      <c r="B4200" s="655"/>
    </row>
    <row r="4201" spans="1:2">
      <c r="A4201" s="670"/>
      <c r="B4201" s="655"/>
    </row>
  </sheetData>
  <mergeCells count="6">
    <mergeCell ref="J37:L37"/>
    <mergeCell ref="A1:P1"/>
    <mergeCell ref="A2:P2"/>
    <mergeCell ref="A3:P3"/>
    <mergeCell ref="B5:G5"/>
    <mergeCell ref="I5:M5"/>
  </mergeCells>
  <phoneticPr fontId="0" type="noConversion"/>
  <printOptions horizontalCentered="1"/>
  <pageMargins left="0.6692913385826772" right="0.39370078740157483" top="0.98425196850393704" bottom="0.98425196850393704" header="0.51181102362204722" footer="0.51181102362204722"/>
  <pageSetup scale="69" orientation="landscape" r:id="rId1"/>
  <headerFooter>
    <oddHeader>&amp;C FINANCIAL STATEMENTS: MUSINA LOCAL MUNICIPALITY</oddHeader>
    <oddFooter>&amp;RPage &amp;P</oddFooter>
  </headerFooter>
</worksheet>
</file>

<file path=xl/worksheets/sheet24.xml><?xml version="1.0" encoding="utf-8"?>
<worksheet xmlns="http://schemas.openxmlformats.org/spreadsheetml/2006/main" xmlns:r="http://schemas.openxmlformats.org/officeDocument/2006/relationships">
  <sheetPr>
    <pageSetUpPr fitToPage="1"/>
  </sheetPr>
  <dimension ref="A1:R4201"/>
  <sheetViews>
    <sheetView tabSelected="1" view="pageBreakPreview" topLeftCell="B13" zoomScale="60" workbookViewId="0">
      <selection activeCell="B43" sqref="B43"/>
    </sheetView>
  </sheetViews>
  <sheetFormatPr defaultRowHeight="12.75"/>
  <cols>
    <col min="1" max="1" width="19.28515625" style="264" customWidth="1"/>
    <col min="2" max="2" width="13.7109375" style="265" bestFit="1" customWidth="1"/>
    <col min="3" max="3" width="11.28515625" style="265" bestFit="1" customWidth="1"/>
    <col min="4" max="4" width="13.7109375" style="265" bestFit="1" customWidth="1"/>
    <col min="5" max="6" width="10" style="265" bestFit="1" customWidth="1"/>
    <col min="7" max="7" width="13.7109375" style="265" bestFit="1" customWidth="1"/>
    <col min="8" max="8" width="1" style="265" customWidth="1"/>
    <col min="9" max="9" width="13.7109375" style="265" bestFit="1" customWidth="1"/>
    <col min="10" max="10" width="14" style="265" bestFit="1" customWidth="1"/>
    <col min="11" max="11" width="14" style="265" customWidth="1"/>
    <col min="12" max="12" width="8.5703125" style="265" bestFit="1" customWidth="1"/>
    <col min="13" max="13" width="13.7109375" style="265" bestFit="1" customWidth="1"/>
    <col min="14" max="14" width="0.85546875" style="265" customWidth="1"/>
    <col min="15" max="15" width="12.28515625" style="265" bestFit="1" customWidth="1"/>
    <col min="16" max="16" width="14.140625" style="264" bestFit="1" customWidth="1"/>
    <col min="17" max="17" width="11.7109375" style="276" bestFit="1" customWidth="1"/>
    <col min="18" max="18" width="11.85546875" style="276" bestFit="1" customWidth="1"/>
    <col min="19" max="16384" width="9.140625" style="264"/>
  </cols>
  <sheetData>
    <row r="1" spans="1:17">
      <c r="A1" s="1919" t="s">
        <v>3332</v>
      </c>
      <c r="B1" s="1919"/>
      <c r="C1" s="1919"/>
      <c r="D1" s="1919"/>
      <c r="E1" s="1919"/>
      <c r="F1" s="1919"/>
      <c r="G1" s="1919"/>
      <c r="H1" s="1919"/>
      <c r="I1" s="1919"/>
      <c r="J1" s="1919"/>
      <c r="K1" s="1919"/>
      <c r="L1" s="1919"/>
      <c r="M1" s="1919"/>
      <c r="N1" s="1919"/>
      <c r="O1" s="1919"/>
      <c r="P1" s="1919"/>
    </row>
    <row r="2" spans="1:17">
      <c r="A2" s="1919" t="s">
        <v>3303</v>
      </c>
      <c r="B2" s="1919"/>
      <c r="C2" s="1919"/>
      <c r="D2" s="1919"/>
      <c r="E2" s="1919"/>
      <c r="F2" s="1919"/>
      <c r="G2" s="1919"/>
      <c r="H2" s="1919"/>
      <c r="I2" s="1919"/>
      <c r="J2" s="1919"/>
      <c r="K2" s="1919"/>
      <c r="L2" s="1919"/>
      <c r="M2" s="1919"/>
      <c r="N2" s="1919"/>
      <c r="O2" s="1919"/>
      <c r="P2" s="1919"/>
    </row>
    <row r="3" spans="1:17">
      <c r="A3" s="1919" t="s">
        <v>3525</v>
      </c>
      <c r="B3" s="1919"/>
      <c r="C3" s="1919"/>
      <c r="D3" s="1919"/>
      <c r="E3" s="1919"/>
      <c r="F3" s="1919"/>
      <c r="G3" s="1919"/>
      <c r="H3" s="1919"/>
      <c r="I3" s="1919"/>
      <c r="J3" s="1919"/>
      <c r="K3" s="1919"/>
      <c r="L3" s="1919"/>
      <c r="M3" s="1919"/>
      <c r="N3" s="1919"/>
      <c r="O3" s="1919"/>
      <c r="P3" s="1919"/>
    </row>
    <row r="4" spans="1:17">
      <c r="A4" s="278"/>
      <c r="B4" s="279"/>
      <c r="C4" s="279"/>
      <c r="D4" s="279"/>
      <c r="E4" s="279"/>
      <c r="F4" s="279"/>
      <c r="G4" s="279"/>
      <c r="H4" s="279"/>
      <c r="I4" s="279"/>
      <c r="J4" s="279"/>
      <c r="K4" s="279"/>
      <c r="L4" s="279"/>
      <c r="M4" s="279"/>
      <c r="N4" s="279"/>
      <c r="O4" s="279"/>
      <c r="P4" s="280"/>
    </row>
    <row r="5" spans="1:17" ht="14.25" customHeight="1">
      <c r="A5" s="186"/>
      <c r="B5" s="1920" t="s">
        <v>755</v>
      </c>
      <c r="C5" s="1921"/>
      <c r="D5" s="1921"/>
      <c r="E5" s="1921"/>
      <c r="F5" s="1921"/>
      <c r="G5" s="1922"/>
      <c r="H5" s="187"/>
      <c r="I5" s="1920" t="s">
        <v>756</v>
      </c>
      <c r="J5" s="1921"/>
      <c r="K5" s="1921"/>
      <c r="L5" s="1921"/>
      <c r="M5" s="1922"/>
      <c r="N5" s="187"/>
      <c r="O5" s="188"/>
      <c r="P5" s="189"/>
      <c r="Q5" s="190"/>
    </row>
    <row r="6" spans="1:17" ht="38.25">
      <c r="A6" s="202"/>
      <c r="B6" s="199" t="s">
        <v>3862</v>
      </c>
      <c r="C6" s="199" t="s">
        <v>2148</v>
      </c>
      <c r="D6" s="199" t="s">
        <v>3937</v>
      </c>
      <c r="E6" s="199" t="s">
        <v>1014</v>
      </c>
      <c r="F6" s="199" t="s">
        <v>506</v>
      </c>
      <c r="G6" s="199" t="s">
        <v>3762</v>
      </c>
      <c r="H6" s="180"/>
      <c r="I6" s="199" t="s">
        <v>3761</v>
      </c>
      <c r="J6" s="199" t="s">
        <v>1015</v>
      </c>
      <c r="K6" s="199" t="s">
        <v>3941</v>
      </c>
      <c r="L6" s="177" t="s">
        <v>1016</v>
      </c>
      <c r="M6" s="199" t="s">
        <v>3762</v>
      </c>
      <c r="N6" s="180"/>
      <c r="O6" s="199" t="s">
        <v>2146</v>
      </c>
      <c r="P6" s="199" t="s">
        <v>3763</v>
      </c>
      <c r="Q6" s="191"/>
    </row>
    <row r="7" spans="1:17">
      <c r="A7" s="203"/>
      <c r="B7" s="183" t="s">
        <v>2422</v>
      </c>
      <c r="C7" s="183" t="s">
        <v>2422</v>
      </c>
      <c r="D7" s="183"/>
      <c r="E7" s="183" t="s">
        <v>2422</v>
      </c>
      <c r="F7" s="183" t="s">
        <v>2422</v>
      </c>
      <c r="G7" s="183" t="s">
        <v>2422</v>
      </c>
      <c r="H7" s="183"/>
      <c r="I7" s="183" t="s">
        <v>2422</v>
      </c>
      <c r="J7" s="183" t="s">
        <v>2422</v>
      </c>
      <c r="K7" s="183"/>
      <c r="L7" s="180" t="s">
        <v>2422</v>
      </c>
      <c r="M7" s="183" t="s">
        <v>2422</v>
      </c>
      <c r="N7" s="183"/>
      <c r="O7" s="183" t="s">
        <v>2422</v>
      </c>
      <c r="P7" s="204" t="s">
        <v>2422</v>
      </c>
      <c r="Q7" s="192"/>
    </row>
    <row r="8" spans="1:17">
      <c r="A8" s="202" t="s">
        <v>761</v>
      </c>
      <c r="B8" s="200">
        <f>SUM(B9:B19)</f>
        <v>0</v>
      </c>
      <c r="C8" s="200">
        <f>SUM(C9:C19)</f>
        <v>0</v>
      </c>
      <c r="D8" s="200"/>
      <c r="E8" s="200">
        <f>SUM(E9:E19)</f>
        <v>0</v>
      </c>
      <c r="F8" s="200">
        <f>SUM(F9:F19)</f>
        <v>0</v>
      </c>
      <c r="G8" s="200">
        <f>SUM(G9:G19)</f>
        <v>0</v>
      </c>
      <c r="H8" s="200"/>
      <c r="I8" s="200">
        <f>SUM(I9:I19)</f>
        <v>0</v>
      </c>
      <c r="J8" s="200">
        <f>SUM(J9:J19)</f>
        <v>0</v>
      </c>
      <c r="K8" s="200"/>
      <c r="L8" s="200">
        <f>SUM(L9:L19)</f>
        <v>0</v>
      </c>
      <c r="M8" s="200">
        <f>SUM(M9:M19)</f>
        <v>0</v>
      </c>
      <c r="N8" s="200"/>
      <c r="O8" s="200">
        <f>SUM(O9:O19)</f>
        <v>0</v>
      </c>
      <c r="P8" s="201">
        <f>SUM(P9:P19)</f>
        <v>0</v>
      </c>
      <c r="Q8" s="193"/>
    </row>
    <row r="9" spans="1:17" ht="25.5">
      <c r="A9" s="270" t="s">
        <v>762</v>
      </c>
      <c r="B9" s="274">
        <v>0</v>
      </c>
      <c r="C9" s="274">
        <v>0</v>
      </c>
      <c r="D9" s="274"/>
      <c r="E9" s="274">
        <v>0</v>
      </c>
      <c r="F9" s="274">
        <v>0</v>
      </c>
      <c r="G9" s="274">
        <f>+B9+C9+E9-F9</f>
        <v>0</v>
      </c>
      <c r="H9" s="272"/>
      <c r="I9" s="274">
        <v>0</v>
      </c>
      <c r="J9" s="274">
        <v>0</v>
      </c>
      <c r="K9" s="274"/>
      <c r="L9" s="281">
        <v>0</v>
      </c>
      <c r="M9" s="274">
        <f>+I9+J9-L9</f>
        <v>0</v>
      </c>
      <c r="N9" s="272"/>
      <c r="O9" s="274">
        <f>+G9-M9</f>
        <v>0</v>
      </c>
      <c r="P9" s="274">
        <v>0</v>
      </c>
      <c r="Q9" s="194"/>
    </row>
    <row r="10" spans="1:17" ht="25.5">
      <c r="A10" s="270" t="s">
        <v>763</v>
      </c>
      <c r="B10" s="250">
        <v>0</v>
      </c>
      <c r="C10" s="250">
        <v>0</v>
      </c>
      <c r="D10" s="250"/>
      <c r="E10" s="250">
        <v>0</v>
      </c>
      <c r="F10" s="250">
        <v>0</v>
      </c>
      <c r="G10" s="250">
        <f t="shared" ref="G10:G19" si="0">+B10+C10+E10-F10</f>
        <v>0</v>
      </c>
      <c r="H10" s="272"/>
      <c r="I10" s="250">
        <v>0</v>
      </c>
      <c r="J10" s="250">
        <v>0</v>
      </c>
      <c r="K10" s="250"/>
      <c r="L10" s="282">
        <v>0</v>
      </c>
      <c r="M10" s="250">
        <f t="shared" ref="M10:M19" si="1">+I10+J10-L10</f>
        <v>0</v>
      </c>
      <c r="N10" s="272"/>
      <c r="O10" s="250">
        <f t="shared" ref="O10:O19" si="2">+G10-M10</f>
        <v>0</v>
      </c>
      <c r="P10" s="250">
        <v>0</v>
      </c>
      <c r="Q10" s="194"/>
    </row>
    <row r="11" spans="1:17" ht="38.25">
      <c r="A11" s="270" t="s">
        <v>764</v>
      </c>
      <c r="B11" s="250">
        <v>0</v>
      </c>
      <c r="C11" s="250">
        <v>0</v>
      </c>
      <c r="D11" s="250"/>
      <c r="E11" s="250">
        <v>0</v>
      </c>
      <c r="F11" s="250">
        <v>0</v>
      </c>
      <c r="G11" s="250">
        <f t="shared" si="0"/>
        <v>0</v>
      </c>
      <c r="H11" s="272"/>
      <c r="I11" s="250">
        <v>0</v>
      </c>
      <c r="J11" s="250">
        <v>0</v>
      </c>
      <c r="K11" s="250"/>
      <c r="L11" s="282">
        <v>0</v>
      </c>
      <c r="M11" s="250">
        <f t="shared" si="1"/>
        <v>0</v>
      </c>
      <c r="N11" s="272"/>
      <c r="O11" s="250">
        <f t="shared" si="2"/>
        <v>0</v>
      </c>
      <c r="P11" s="250">
        <v>0</v>
      </c>
      <c r="Q11" s="194"/>
    </row>
    <row r="12" spans="1:17" ht="25.5">
      <c r="A12" s="270" t="s">
        <v>765</v>
      </c>
      <c r="B12" s="250">
        <v>0</v>
      </c>
      <c r="C12" s="250">
        <v>0</v>
      </c>
      <c r="D12" s="250"/>
      <c r="E12" s="250">
        <v>0</v>
      </c>
      <c r="F12" s="250">
        <v>0</v>
      </c>
      <c r="G12" s="250">
        <f t="shared" si="0"/>
        <v>0</v>
      </c>
      <c r="H12" s="272"/>
      <c r="I12" s="250">
        <v>0</v>
      </c>
      <c r="J12" s="250">
        <v>0</v>
      </c>
      <c r="K12" s="250"/>
      <c r="L12" s="282">
        <v>0</v>
      </c>
      <c r="M12" s="250">
        <f t="shared" si="1"/>
        <v>0</v>
      </c>
      <c r="N12" s="275"/>
      <c r="O12" s="250">
        <f t="shared" si="2"/>
        <v>0</v>
      </c>
      <c r="P12" s="250">
        <v>0</v>
      </c>
      <c r="Q12" s="194"/>
    </row>
    <row r="13" spans="1:17" ht="38.25">
      <c r="A13" s="270" t="s">
        <v>766</v>
      </c>
      <c r="B13" s="250">
        <v>0</v>
      </c>
      <c r="C13" s="250">
        <v>0</v>
      </c>
      <c r="D13" s="250"/>
      <c r="E13" s="250">
        <v>0</v>
      </c>
      <c r="F13" s="250">
        <v>0</v>
      </c>
      <c r="G13" s="250">
        <f t="shared" si="0"/>
        <v>0</v>
      </c>
      <c r="H13" s="272"/>
      <c r="I13" s="250">
        <v>0</v>
      </c>
      <c r="J13" s="250">
        <v>0</v>
      </c>
      <c r="K13" s="250"/>
      <c r="L13" s="282">
        <v>0</v>
      </c>
      <c r="M13" s="250">
        <f t="shared" si="1"/>
        <v>0</v>
      </c>
      <c r="N13" s="272"/>
      <c r="O13" s="250">
        <f t="shared" si="2"/>
        <v>0</v>
      </c>
      <c r="P13" s="250">
        <v>0</v>
      </c>
      <c r="Q13" s="194"/>
    </row>
    <row r="14" spans="1:17">
      <c r="A14" s="270" t="s">
        <v>767</v>
      </c>
      <c r="B14" s="250">
        <v>0</v>
      </c>
      <c r="C14" s="250">
        <v>0</v>
      </c>
      <c r="D14" s="250"/>
      <c r="E14" s="250">
        <v>0</v>
      </c>
      <c r="F14" s="250">
        <v>0</v>
      </c>
      <c r="G14" s="250">
        <f t="shared" si="0"/>
        <v>0</v>
      </c>
      <c r="H14" s="272"/>
      <c r="I14" s="250">
        <v>0</v>
      </c>
      <c r="J14" s="250">
        <v>0</v>
      </c>
      <c r="K14" s="250"/>
      <c r="L14" s="282">
        <v>0</v>
      </c>
      <c r="M14" s="250">
        <f t="shared" si="1"/>
        <v>0</v>
      </c>
      <c r="N14" s="272"/>
      <c r="O14" s="250">
        <f t="shared" si="2"/>
        <v>0</v>
      </c>
      <c r="P14" s="250">
        <v>0</v>
      </c>
      <c r="Q14" s="194"/>
    </row>
    <row r="15" spans="1:17">
      <c r="A15" s="270" t="s">
        <v>768</v>
      </c>
      <c r="B15" s="250">
        <v>0</v>
      </c>
      <c r="C15" s="250">
        <v>0</v>
      </c>
      <c r="D15" s="250"/>
      <c r="E15" s="250">
        <v>0</v>
      </c>
      <c r="F15" s="250">
        <v>0</v>
      </c>
      <c r="G15" s="250">
        <f t="shared" si="0"/>
        <v>0</v>
      </c>
      <c r="H15" s="272"/>
      <c r="I15" s="250">
        <v>0</v>
      </c>
      <c r="J15" s="250">
        <v>0</v>
      </c>
      <c r="K15" s="250"/>
      <c r="L15" s="282">
        <v>0</v>
      </c>
      <c r="M15" s="250">
        <f t="shared" si="1"/>
        <v>0</v>
      </c>
      <c r="N15" s="272"/>
      <c r="O15" s="250">
        <f t="shared" si="2"/>
        <v>0</v>
      </c>
      <c r="P15" s="250">
        <v>0</v>
      </c>
      <c r="Q15" s="194"/>
    </row>
    <row r="16" spans="1:17">
      <c r="A16" s="270" t="s">
        <v>769</v>
      </c>
      <c r="B16" s="250">
        <v>0</v>
      </c>
      <c r="C16" s="250">
        <v>0</v>
      </c>
      <c r="D16" s="250"/>
      <c r="E16" s="250">
        <v>0</v>
      </c>
      <c r="F16" s="250">
        <v>0</v>
      </c>
      <c r="G16" s="250">
        <f t="shared" si="0"/>
        <v>0</v>
      </c>
      <c r="H16" s="272"/>
      <c r="I16" s="250">
        <v>0</v>
      </c>
      <c r="J16" s="250">
        <v>0</v>
      </c>
      <c r="K16" s="250"/>
      <c r="L16" s="282">
        <v>0</v>
      </c>
      <c r="M16" s="250">
        <f t="shared" si="1"/>
        <v>0</v>
      </c>
      <c r="N16" s="272"/>
      <c r="O16" s="250">
        <f t="shared" si="2"/>
        <v>0</v>
      </c>
      <c r="P16" s="250">
        <v>0</v>
      </c>
      <c r="Q16" s="194"/>
    </row>
    <row r="17" spans="1:18">
      <c r="A17" s="270" t="s">
        <v>1023</v>
      </c>
      <c r="B17" s="250">
        <v>0</v>
      </c>
      <c r="C17" s="250">
        <v>0</v>
      </c>
      <c r="D17" s="250"/>
      <c r="E17" s="250"/>
      <c r="F17" s="250"/>
      <c r="G17" s="250">
        <f t="shared" si="0"/>
        <v>0</v>
      </c>
      <c r="H17" s="272"/>
      <c r="I17" s="250">
        <v>0</v>
      </c>
      <c r="J17" s="250">
        <v>0</v>
      </c>
      <c r="K17" s="250"/>
      <c r="L17" s="282"/>
      <c r="M17" s="250">
        <f t="shared" si="1"/>
        <v>0</v>
      </c>
      <c r="N17" s="272"/>
      <c r="O17" s="250">
        <f>+G17-M17</f>
        <v>0</v>
      </c>
      <c r="P17" s="250">
        <v>0</v>
      </c>
      <c r="Q17" s="194"/>
    </row>
    <row r="18" spans="1:18">
      <c r="A18" s="270" t="s">
        <v>1024</v>
      </c>
      <c r="B18" s="250">
        <v>0</v>
      </c>
      <c r="C18" s="250">
        <v>0</v>
      </c>
      <c r="D18" s="250"/>
      <c r="E18" s="250"/>
      <c r="F18" s="250"/>
      <c r="G18" s="250">
        <f t="shared" si="0"/>
        <v>0</v>
      </c>
      <c r="H18" s="272"/>
      <c r="I18" s="250">
        <v>0</v>
      </c>
      <c r="J18" s="250">
        <v>0</v>
      </c>
      <c r="K18" s="250"/>
      <c r="L18" s="282"/>
      <c r="M18" s="250">
        <f t="shared" si="1"/>
        <v>0</v>
      </c>
      <c r="N18" s="272"/>
      <c r="O18" s="250">
        <f>+G18-M18</f>
        <v>0</v>
      </c>
      <c r="P18" s="250">
        <v>0</v>
      </c>
      <c r="Q18" s="194"/>
    </row>
    <row r="19" spans="1:18" ht="25.5">
      <c r="A19" s="270" t="s">
        <v>770</v>
      </c>
      <c r="B19" s="254">
        <v>0</v>
      </c>
      <c r="C19" s="254">
        <v>0</v>
      </c>
      <c r="D19" s="254"/>
      <c r="E19" s="254">
        <v>0</v>
      </c>
      <c r="F19" s="254">
        <v>0</v>
      </c>
      <c r="G19" s="254">
        <f t="shared" si="0"/>
        <v>0</v>
      </c>
      <c r="H19" s="272"/>
      <c r="I19" s="254"/>
      <c r="J19" s="254">
        <v>0</v>
      </c>
      <c r="K19" s="254"/>
      <c r="L19" s="283">
        <v>0</v>
      </c>
      <c r="M19" s="254">
        <f t="shared" si="1"/>
        <v>0</v>
      </c>
      <c r="N19" s="272"/>
      <c r="O19" s="254">
        <f t="shared" si="2"/>
        <v>0</v>
      </c>
      <c r="P19" s="254">
        <v>0</v>
      </c>
      <c r="Q19" s="194"/>
    </row>
    <row r="20" spans="1:18" s="196" customFormat="1" ht="12.75" customHeight="1">
      <c r="A20" s="270"/>
      <c r="B20" s="272"/>
      <c r="C20" s="272"/>
      <c r="D20" s="272"/>
      <c r="E20" s="272"/>
      <c r="F20" s="272"/>
      <c r="G20" s="272"/>
      <c r="H20" s="272"/>
      <c r="I20" s="272"/>
      <c r="J20" s="272"/>
      <c r="K20" s="272"/>
      <c r="L20" s="284"/>
      <c r="M20" s="272"/>
      <c r="N20" s="272"/>
      <c r="O20" s="272"/>
      <c r="P20" s="273"/>
      <c r="Q20" s="194"/>
      <c r="R20" s="195"/>
    </row>
    <row r="21" spans="1:18" ht="25.5">
      <c r="A21" s="202" t="s">
        <v>771</v>
      </c>
      <c r="B21" s="200">
        <f>SUM(B22:B24)</f>
        <v>0</v>
      </c>
      <c r="C21" s="200">
        <f>SUM(C22:C24)</f>
        <v>0</v>
      </c>
      <c r="D21" s="200"/>
      <c r="E21" s="200">
        <f>SUM(E22:E24)</f>
        <v>0</v>
      </c>
      <c r="F21" s="200">
        <f>SUM(F22:F24)</f>
        <v>0</v>
      </c>
      <c r="G21" s="200">
        <f>SUM(G22:G24)</f>
        <v>0</v>
      </c>
      <c r="H21" s="200"/>
      <c r="I21" s="200">
        <f>SUM(I22:I24)</f>
        <v>0</v>
      </c>
      <c r="J21" s="200">
        <f>SUM(J22:J24)</f>
        <v>0</v>
      </c>
      <c r="K21" s="200"/>
      <c r="L21" s="200">
        <f>SUM(L22:L24)</f>
        <v>0</v>
      </c>
      <c r="M21" s="200">
        <f>SUM(M22:M24)</f>
        <v>0</v>
      </c>
      <c r="N21" s="200"/>
      <c r="O21" s="200">
        <f>SUM(O22:O24)</f>
        <v>0</v>
      </c>
      <c r="P21" s="201">
        <f>SUM(P22:P24)</f>
        <v>0</v>
      </c>
      <c r="Q21" s="193"/>
    </row>
    <row r="22" spans="1:18">
      <c r="A22" s="270" t="s">
        <v>1027</v>
      </c>
      <c r="B22" s="274">
        <v>0</v>
      </c>
      <c r="C22" s="274">
        <v>0</v>
      </c>
      <c r="D22" s="274"/>
      <c r="E22" s="274">
        <v>0</v>
      </c>
      <c r="F22" s="274">
        <v>0</v>
      </c>
      <c r="G22" s="274">
        <v>0</v>
      </c>
      <c r="H22" s="272"/>
      <c r="I22" s="274">
        <v>0</v>
      </c>
      <c r="J22" s="274">
        <v>0</v>
      </c>
      <c r="K22" s="274"/>
      <c r="L22" s="281">
        <v>0</v>
      </c>
      <c r="M22" s="274">
        <v>0</v>
      </c>
      <c r="N22" s="272"/>
      <c r="O22" s="274">
        <f>+G22-M22</f>
        <v>0</v>
      </c>
      <c r="P22" s="274">
        <v>0</v>
      </c>
      <c r="Q22" s="194"/>
    </row>
    <row r="23" spans="1:18">
      <c r="A23" s="270" t="s">
        <v>1049</v>
      </c>
      <c r="B23" s="250">
        <v>0</v>
      </c>
      <c r="C23" s="250">
        <v>0</v>
      </c>
      <c r="D23" s="250"/>
      <c r="E23" s="250">
        <v>0</v>
      </c>
      <c r="F23" s="250">
        <v>0</v>
      </c>
      <c r="G23" s="250">
        <v>0</v>
      </c>
      <c r="H23" s="272"/>
      <c r="I23" s="250">
        <v>0</v>
      </c>
      <c r="J23" s="250">
        <v>0</v>
      </c>
      <c r="K23" s="250"/>
      <c r="L23" s="282">
        <v>0</v>
      </c>
      <c r="M23" s="250">
        <v>0</v>
      </c>
      <c r="N23" s="272"/>
      <c r="O23" s="250">
        <f>+G23-M23</f>
        <v>0</v>
      </c>
      <c r="P23" s="250">
        <v>0</v>
      </c>
      <c r="Q23" s="194"/>
    </row>
    <row r="24" spans="1:18">
      <c r="A24" s="270" t="s">
        <v>2349</v>
      </c>
      <c r="B24" s="254">
        <v>0</v>
      </c>
      <c r="C24" s="254">
        <v>0</v>
      </c>
      <c r="D24" s="254"/>
      <c r="E24" s="254">
        <v>0</v>
      </c>
      <c r="F24" s="254">
        <v>0</v>
      </c>
      <c r="G24" s="254">
        <f>+B24+C24+E24-F24</f>
        <v>0</v>
      </c>
      <c r="H24" s="272"/>
      <c r="I24" s="254">
        <v>0</v>
      </c>
      <c r="J24" s="254">
        <v>0</v>
      </c>
      <c r="K24" s="254"/>
      <c r="L24" s="283">
        <v>0</v>
      </c>
      <c r="M24" s="254">
        <f>+I24+J24-L24</f>
        <v>0</v>
      </c>
      <c r="N24" s="272"/>
      <c r="O24" s="254">
        <f>+G24-M24</f>
        <v>0</v>
      </c>
      <c r="P24" s="254">
        <v>0</v>
      </c>
      <c r="Q24" s="194"/>
    </row>
    <row r="25" spans="1:18">
      <c r="A25" s="270"/>
      <c r="B25" s="272" t="s">
        <v>45</v>
      </c>
      <c r="C25" s="272" t="s">
        <v>45</v>
      </c>
      <c r="D25" s="272"/>
      <c r="E25" s="272"/>
      <c r="F25" s="272"/>
      <c r="G25" s="272" t="s">
        <v>45</v>
      </c>
      <c r="H25" s="272"/>
      <c r="I25" s="272"/>
      <c r="J25" s="272" t="s">
        <v>45</v>
      </c>
      <c r="K25" s="272"/>
      <c r="L25" s="284"/>
      <c r="M25" s="272"/>
      <c r="N25" s="272"/>
      <c r="O25" s="272"/>
      <c r="P25" s="273"/>
      <c r="Q25" s="197"/>
    </row>
    <row r="26" spans="1:18">
      <c r="A26" s="202" t="s">
        <v>2141</v>
      </c>
      <c r="B26" s="200">
        <f>SUM(B27:B34)</f>
        <v>700</v>
      </c>
      <c r="C26" s="200">
        <f>SUM(C27:C34)</f>
        <v>0</v>
      </c>
      <c r="D26" s="200">
        <f>SUM(D29)</f>
        <v>423376.42</v>
      </c>
      <c r="E26" s="200">
        <f>SUM(E27:E34)</f>
        <v>0</v>
      </c>
      <c r="F26" s="200">
        <f>SUM(F27:F34)</f>
        <v>0</v>
      </c>
      <c r="G26" s="200">
        <f>SUM(G27:G34)</f>
        <v>424076.42</v>
      </c>
      <c r="H26" s="200"/>
      <c r="I26" s="200">
        <f>SUM(I27:I34)</f>
        <v>138</v>
      </c>
      <c r="J26" s="200">
        <f>SUM(J27:J34)</f>
        <v>141263.74000000002</v>
      </c>
      <c r="K26" s="200">
        <f>SUM(K29)</f>
        <v>110580</v>
      </c>
      <c r="L26" s="200">
        <f>SUM(L27:L34)</f>
        <v>0</v>
      </c>
      <c r="M26" s="200">
        <f>SUM(M27:M34)</f>
        <v>251981.74000000002</v>
      </c>
      <c r="N26" s="200"/>
      <c r="O26" s="200">
        <f>SUM(O27:O34)</f>
        <v>172094.67999999996</v>
      </c>
      <c r="P26" s="201">
        <f>SUM(P27:P34)</f>
        <v>0</v>
      </c>
      <c r="Q26" s="193"/>
    </row>
    <row r="27" spans="1:18">
      <c r="A27" s="641" t="s">
        <v>45</v>
      </c>
      <c r="B27" s="274">
        <v>0</v>
      </c>
      <c r="C27" s="274">
        <v>0</v>
      </c>
      <c r="D27" s="274"/>
      <c r="E27" s="274">
        <v>0</v>
      </c>
      <c r="F27" s="274">
        <v>0</v>
      </c>
      <c r="G27" s="274">
        <f t="shared" ref="G27:G34" si="3">+B27+C27+E27-F27</f>
        <v>0</v>
      </c>
      <c r="H27" s="272"/>
      <c r="I27" s="274">
        <v>0</v>
      </c>
      <c r="J27" s="274">
        <v>0</v>
      </c>
      <c r="K27" s="274"/>
      <c r="L27" s="281">
        <v>0</v>
      </c>
      <c r="M27" s="274">
        <f t="shared" ref="M27:M34" si="4">+I27+J27-L27</f>
        <v>0</v>
      </c>
      <c r="N27" s="272"/>
      <c r="O27" s="274">
        <f t="shared" ref="O27:O34" si="5">+G27-M27</f>
        <v>0</v>
      </c>
      <c r="P27" s="274">
        <v>0</v>
      </c>
      <c r="Q27" s="194"/>
    </row>
    <row r="28" spans="1:18">
      <c r="A28" s="641" t="s">
        <v>45</v>
      </c>
      <c r="B28" s="250">
        <v>0</v>
      </c>
      <c r="C28" s="250">
        <v>0</v>
      </c>
      <c r="D28" s="250"/>
      <c r="E28" s="250">
        <v>0</v>
      </c>
      <c r="F28" s="250">
        <v>0</v>
      </c>
      <c r="G28" s="250">
        <v>0</v>
      </c>
      <c r="H28" s="272"/>
      <c r="I28" s="250">
        <v>0</v>
      </c>
      <c r="J28" s="250">
        <v>0</v>
      </c>
      <c r="K28" s="250"/>
      <c r="L28" s="282">
        <v>0</v>
      </c>
      <c r="M28" s="250">
        <f>+I28+J28-L28</f>
        <v>0</v>
      </c>
      <c r="N28" s="272"/>
      <c r="O28" s="250">
        <f t="shared" si="5"/>
        <v>0</v>
      </c>
      <c r="P28" s="250">
        <v>0</v>
      </c>
      <c r="Q28" s="194"/>
    </row>
    <row r="29" spans="1:18">
      <c r="A29" s="270" t="s">
        <v>2143</v>
      </c>
      <c r="B29" s="250">
        <v>0</v>
      </c>
      <c r="C29" s="250">
        <v>0</v>
      </c>
      <c r="D29" s="250">
        <v>423376.42</v>
      </c>
      <c r="E29" s="250">
        <v>0</v>
      </c>
      <c r="F29" s="250">
        <v>0</v>
      </c>
      <c r="G29" s="250">
        <f>SUM(B29:F29)</f>
        <v>423376.42</v>
      </c>
      <c r="H29" s="272"/>
      <c r="I29" s="250">
        <v>0</v>
      </c>
      <c r="J29" s="250">
        <v>141125.14000000001</v>
      </c>
      <c r="K29" s="250">
        <v>110580</v>
      </c>
      <c r="L29" s="282">
        <v>0</v>
      </c>
      <c r="M29" s="250">
        <f>+I29+J29-L29+K29</f>
        <v>251705.14</v>
      </c>
      <c r="N29" s="272"/>
      <c r="O29" s="250">
        <f t="shared" si="5"/>
        <v>171671.27999999997</v>
      </c>
      <c r="P29" s="250">
        <v>0</v>
      </c>
      <c r="Q29" s="194"/>
    </row>
    <row r="30" spans="1:18">
      <c r="A30" s="641" t="s">
        <v>3940</v>
      </c>
      <c r="B30" s="250">
        <v>700</v>
      </c>
      <c r="C30" s="250">
        <v>0</v>
      </c>
      <c r="D30" s="250"/>
      <c r="E30" s="250">
        <v>0</v>
      </c>
      <c r="F30" s="250">
        <v>0</v>
      </c>
      <c r="G30" s="250">
        <f t="shared" si="3"/>
        <v>700</v>
      </c>
      <c r="H30" s="272"/>
      <c r="I30" s="250">
        <v>138</v>
      </c>
      <c r="J30" s="250">
        <v>138.6</v>
      </c>
      <c r="K30" s="250"/>
      <c r="L30" s="282">
        <v>0</v>
      </c>
      <c r="M30" s="250">
        <f t="shared" si="4"/>
        <v>276.60000000000002</v>
      </c>
      <c r="N30" s="272"/>
      <c r="O30" s="250">
        <f t="shared" si="5"/>
        <v>423.4</v>
      </c>
      <c r="P30" s="250">
        <v>0</v>
      </c>
      <c r="Q30" s="194"/>
    </row>
    <row r="31" spans="1:18">
      <c r="A31" s="641" t="s">
        <v>45</v>
      </c>
      <c r="B31" s="250">
        <v>0</v>
      </c>
      <c r="C31" s="250">
        <v>0</v>
      </c>
      <c r="D31" s="250"/>
      <c r="E31" s="250">
        <v>0</v>
      </c>
      <c r="F31" s="250">
        <v>0</v>
      </c>
      <c r="G31" s="250">
        <f t="shared" si="3"/>
        <v>0</v>
      </c>
      <c r="H31" s="272"/>
      <c r="I31" s="250">
        <v>0</v>
      </c>
      <c r="J31" s="250">
        <v>0</v>
      </c>
      <c r="K31" s="250"/>
      <c r="L31" s="282">
        <v>0</v>
      </c>
      <c r="M31" s="250">
        <f t="shared" si="4"/>
        <v>0</v>
      </c>
      <c r="N31" s="272"/>
      <c r="O31" s="250">
        <f>+G31-M31</f>
        <v>0</v>
      </c>
      <c r="P31" s="250">
        <v>0</v>
      </c>
      <c r="Q31" s="194"/>
    </row>
    <row r="32" spans="1:18">
      <c r="A32" s="641" t="s">
        <v>45</v>
      </c>
      <c r="B32" s="250">
        <v>0</v>
      </c>
      <c r="C32" s="250">
        <v>0</v>
      </c>
      <c r="D32" s="250"/>
      <c r="E32" s="250">
        <v>0</v>
      </c>
      <c r="F32" s="250">
        <v>0</v>
      </c>
      <c r="G32" s="250">
        <f t="shared" si="3"/>
        <v>0</v>
      </c>
      <c r="H32" s="272"/>
      <c r="I32" s="250">
        <v>0</v>
      </c>
      <c r="J32" s="250">
        <v>0</v>
      </c>
      <c r="K32" s="250"/>
      <c r="L32" s="282">
        <v>0</v>
      </c>
      <c r="M32" s="250">
        <f t="shared" si="4"/>
        <v>0</v>
      </c>
      <c r="N32" s="272"/>
      <c r="O32" s="250">
        <f t="shared" si="5"/>
        <v>0</v>
      </c>
      <c r="P32" s="250">
        <v>0</v>
      </c>
      <c r="Q32" s="194"/>
    </row>
    <row r="33" spans="1:17">
      <c r="A33" s="641" t="s">
        <v>45</v>
      </c>
      <c r="B33" s="250">
        <v>0</v>
      </c>
      <c r="C33" s="250">
        <v>0</v>
      </c>
      <c r="D33" s="250"/>
      <c r="E33" s="250">
        <v>0</v>
      </c>
      <c r="F33" s="250">
        <v>0</v>
      </c>
      <c r="G33" s="250">
        <f t="shared" si="3"/>
        <v>0</v>
      </c>
      <c r="H33" s="272"/>
      <c r="I33" s="250">
        <v>0</v>
      </c>
      <c r="J33" s="250">
        <v>0</v>
      </c>
      <c r="K33" s="250"/>
      <c r="L33" s="282">
        <v>0</v>
      </c>
      <c r="M33" s="250">
        <f t="shared" si="4"/>
        <v>0</v>
      </c>
      <c r="N33" s="272"/>
      <c r="O33" s="250">
        <f t="shared" si="5"/>
        <v>0</v>
      </c>
      <c r="P33" s="250">
        <v>0</v>
      </c>
      <c r="Q33" s="194"/>
    </row>
    <row r="34" spans="1:17">
      <c r="A34" s="641" t="s">
        <v>45</v>
      </c>
      <c r="B34" s="254">
        <v>0</v>
      </c>
      <c r="C34" s="254">
        <v>0</v>
      </c>
      <c r="D34" s="254"/>
      <c r="E34" s="254">
        <v>0</v>
      </c>
      <c r="F34" s="254">
        <v>0</v>
      </c>
      <c r="G34" s="254">
        <f t="shared" si="3"/>
        <v>0</v>
      </c>
      <c r="H34" s="272"/>
      <c r="I34" s="254">
        <v>0</v>
      </c>
      <c r="J34" s="254">
        <v>0</v>
      </c>
      <c r="K34" s="254"/>
      <c r="L34" s="283">
        <v>0</v>
      </c>
      <c r="M34" s="254">
        <f t="shared" si="4"/>
        <v>0</v>
      </c>
      <c r="N34" s="272"/>
      <c r="O34" s="254">
        <f t="shared" si="5"/>
        <v>0</v>
      </c>
      <c r="P34" s="254">
        <v>0</v>
      </c>
      <c r="Q34" s="194"/>
    </row>
    <row r="35" spans="1:17">
      <c r="A35" s="270"/>
      <c r="B35" s="272"/>
      <c r="C35" s="272"/>
      <c r="D35" s="272"/>
      <c r="E35" s="272"/>
      <c r="F35" s="272"/>
      <c r="G35" s="272"/>
      <c r="H35" s="272"/>
      <c r="I35" s="272"/>
      <c r="J35" s="272"/>
      <c r="K35" s="272"/>
      <c r="L35" s="284"/>
      <c r="M35" s="272"/>
      <c r="N35" s="272"/>
      <c r="O35" s="272"/>
      <c r="P35" s="273"/>
      <c r="Q35" s="197"/>
    </row>
    <row r="36" spans="1:17">
      <c r="A36" s="202" t="s">
        <v>2145</v>
      </c>
      <c r="B36" s="200">
        <f t="shared" ref="B36:G36" si="6">B26+B21+B8</f>
        <v>700</v>
      </c>
      <c r="C36" s="200">
        <f t="shared" si="6"/>
        <v>0</v>
      </c>
      <c r="D36" s="200">
        <f t="shared" si="6"/>
        <v>423376.42</v>
      </c>
      <c r="E36" s="200">
        <f t="shared" si="6"/>
        <v>0</v>
      </c>
      <c r="F36" s="200">
        <f t="shared" si="6"/>
        <v>0</v>
      </c>
      <c r="G36" s="200">
        <f t="shared" si="6"/>
        <v>424076.42</v>
      </c>
      <c r="H36" s="200"/>
      <c r="I36" s="200">
        <f>I26+I21+I8</f>
        <v>138</v>
      </c>
      <c r="J36" s="200">
        <f>J26+J21+J8</f>
        <v>141263.74000000002</v>
      </c>
      <c r="K36" s="200">
        <f>K26+K21+K8</f>
        <v>110580</v>
      </c>
      <c r="L36" s="200">
        <f>L26+L21+L8</f>
        <v>0</v>
      </c>
      <c r="M36" s="200">
        <f>M26+M21+M8</f>
        <v>251981.74000000002</v>
      </c>
      <c r="N36" s="200"/>
      <c r="O36" s="200">
        <f>O26+O21+O8</f>
        <v>172094.67999999996</v>
      </c>
      <c r="P36" s="201">
        <f>P26+P21+P8</f>
        <v>0</v>
      </c>
      <c r="Q36" s="193"/>
    </row>
    <row r="37" spans="1:17">
      <c r="A37" s="202"/>
      <c r="B37" s="200"/>
      <c r="C37" s="447"/>
      <c r="D37" s="640"/>
      <c r="E37" s="447"/>
      <c r="F37" s="447"/>
      <c r="G37" s="447"/>
      <c r="H37" s="447"/>
      <c r="I37" s="447"/>
      <c r="J37" s="1918"/>
      <c r="K37" s="1918"/>
      <c r="L37" s="1918"/>
      <c r="M37" s="447"/>
      <c r="N37" s="447"/>
      <c r="O37" s="447"/>
      <c r="P37" s="205"/>
      <c r="Q37" s="198"/>
    </row>
    <row r="38" spans="1:17">
      <c r="A38" s="218"/>
      <c r="B38" s="275"/>
      <c r="C38" s="272"/>
      <c r="D38" s="272"/>
      <c r="E38" s="272"/>
      <c r="F38" s="272"/>
      <c r="G38" s="272"/>
      <c r="H38" s="272"/>
      <c r="I38" s="272"/>
      <c r="J38" s="272"/>
      <c r="K38" s="272"/>
      <c r="L38" s="272"/>
      <c r="M38" s="272"/>
      <c r="N38" s="272"/>
      <c r="O38" s="272"/>
      <c r="P38" s="285"/>
    </row>
    <row r="39" spans="1:17">
      <c r="A39" s="218"/>
      <c r="B39" s="214"/>
    </row>
    <row r="40" spans="1:17">
      <c r="A40" s="218"/>
      <c r="B40" s="214"/>
    </row>
    <row r="41" spans="1:17">
      <c r="A41" s="218"/>
      <c r="B41" s="214"/>
    </row>
    <row r="42" spans="1:17">
      <c r="A42" s="218"/>
      <c r="B42" s="214"/>
    </row>
    <row r="43" spans="1:17">
      <c r="A43" s="218"/>
      <c r="B43" s="214"/>
      <c r="J43" s="276"/>
      <c r="K43" s="276"/>
    </row>
    <row r="44" spans="1:17">
      <c r="A44" s="218"/>
      <c r="B44" s="214"/>
      <c r="J44" s="276"/>
      <c r="K44" s="276"/>
    </row>
    <row r="45" spans="1:17">
      <c r="A45" s="218"/>
      <c r="B45" s="214"/>
      <c r="J45" s="276"/>
      <c r="K45" s="276"/>
    </row>
    <row r="46" spans="1:17">
      <c r="A46" s="218"/>
      <c r="B46" s="214"/>
    </row>
    <row r="47" spans="1:17">
      <c r="A47" s="218"/>
      <c r="B47" s="214"/>
      <c r="J47" s="276"/>
      <c r="K47" s="276"/>
    </row>
    <row r="48" spans="1:17">
      <c r="A48" s="218"/>
      <c r="B48" s="214"/>
      <c r="J48" s="276"/>
      <c r="K48" s="276"/>
    </row>
    <row r="49" spans="1:11">
      <c r="A49" s="218"/>
      <c r="B49" s="214"/>
      <c r="J49" s="276"/>
      <c r="K49" s="276"/>
    </row>
    <row r="50" spans="1:11">
      <c r="A50" s="218"/>
      <c r="B50" s="214"/>
    </row>
    <row r="51" spans="1:11">
      <c r="A51" s="218"/>
      <c r="B51" s="214"/>
    </row>
    <row r="52" spans="1:11">
      <c r="A52" s="218"/>
      <c r="B52" s="214"/>
    </row>
    <row r="53" spans="1:11">
      <c r="A53" s="218"/>
      <c r="B53" s="214"/>
    </row>
    <row r="54" spans="1:11">
      <c r="A54" s="218"/>
      <c r="B54" s="214"/>
    </row>
    <row r="55" spans="1:11">
      <c r="A55" s="218"/>
      <c r="B55" s="214"/>
    </row>
    <row r="56" spans="1:11">
      <c r="A56" s="218"/>
      <c r="B56" s="214"/>
    </row>
    <row r="57" spans="1:11">
      <c r="A57" s="218"/>
      <c r="B57" s="214"/>
    </row>
    <row r="58" spans="1:11">
      <c r="A58" s="218"/>
      <c r="B58" s="214"/>
    </row>
    <row r="59" spans="1:11">
      <c r="A59" s="218"/>
      <c r="B59" s="214"/>
      <c r="I59" s="214"/>
      <c r="J59" s="214"/>
      <c r="K59" s="214"/>
    </row>
    <row r="60" spans="1:11">
      <c r="A60" s="218"/>
      <c r="B60" s="214"/>
      <c r="I60" s="214"/>
      <c r="J60" s="214"/>
      <c r="K60" s="214"/>
    </row>
    <row r="61" spans="1:11">
      <c r="A61" s="218"/>
      <c r="B61" s="214"/>
      <c r="I61" s="214"/>
      <c r="J61" s="214"/>
      <c r="K61" s="214"/>
    </row>
    <row r="62" spans="1:11">
      <c r="A62" s="218"/>
      <c r="B62" s="214"/>
      <c r="I62" s="214"/>
      <c r="J62" s="214"/>
      <c r="K62" s="214"/>
    </row>
    <row r="63" spans="1:11">
      <c r="A63" s="218"/>
      <c r="B63" s="214"/>
      <c r="I63" s="214"/>
      <c r="J63" s="214"/>
      <c r="K63" s="214"/>
    </row>
    <row r="64" spans="1:11">
      <c r="A64" s="218"/>
      <c r="B64" s="214"/>
      <c r="I64" s="214"/>
      <c r="J64" s="214"/>
      <c r="K64" s="214"/>
    </row>
    <row r="65" spans="1:11">
      <c r="A65" s="218"/>
      <c r="B65" s="214"/>
      <c r="I65" s="214"/>
      <c r="J65" s="214"/>
      <c r="K65" s="214"/>
    </row>
    <row r="66" spans="1:11">
      <c r="A66" s="218"/>
      <c r="B66" s="214"/>
    </row>
    <row r="67" spans="1:11">
      <c r="A67" s="218"/>
      <c r="B67" s="214"/>
    </row>
    <row r="68" spans="1:11">
      <c r="A68" s="218"/>
      <c r="B68" s="214"/>
    </row>
    <row r="69" spans="1:11">
      <c r="A69" s="218"/>
      <c r="B69" s="214"/>
    </row>
    <row r="70" spans="1:11">
      <c r="A70" s="218"/>
      <c r="B70" s="214"/>
    </row>
    <row r="71" spans="1:11">
      <c r="A71" s="218"/>
      <c r="B71" s="214"/>
    </row>
    <row r="72" spans="1:11">
      <c r="A72" s="218"/>
      <c r="B72" s="214"/>
    </row>
    <row r="73" spans="1:11">
      <c r="A73" s="218"/>
      <c r="B73" s="214"/>
    </row>
    <row r="74" spans="1:11">
      <c r="A74" s="218"/>
      <c r="B74" s="214"/>
    </row>
    <row r="75" spans="1:11">
      <c r="A75" s="218"/>
      <c r="B75" s="214"/>
    </row>
    <row r="76" spans="1:11">
      <c r="A76" s="218"/>
      <c r="B76" s="214"/>
    </row>
    <row r="77" spans="1:11">
      <c r="A77" s="218"/>
      <c r="B77" s="214"/>
    </row>
    <row r="78" spans="1:11">
      <c r="A78" s="218"/>
      <c r="B78" s="214"/>
    </row>
    <row r="79" spans="1:11">
      <c r="A79" s="218"/>
      <c r="B79" s="214"/>
    </row>
    <row r="80" spans="1:11">
      <c r="A80" s="218"/>
      <c r="B80" s="214"/>
    </row>
    <row r="81" spans="1:2">
      <c r="A81" s="218"/>
      <c r="B81" s="214"/>
    </row>
    <row r="82" spans="1:2">
      <c r="A82" s="218"/>
      <c r="B82" s="214"/>
    </row>
    <row r="83" spans="1:2">
      <c r="A83" s="218"/>
      <c r="B83" s="214"/>
    </row>
    <row r="84" spans="1:2">
      <c r="A84" s="218"/>
      <c r="B84" s="214"/>
    </row>
    <row r="85" spans="1:2">
      <c r="A85" s="218"/>
      <c r="B85" s="214"/>
    </row>
    <row r="86" spans="1:2">
      <c r="A86" s="218"/>
      <c r="B86" s="214"/>
    </row>
    <row r="87" spans="1:2">
      <c r="A87" s="218"/>
      <c r="B87" s="214"/>
    </row>
    <row r="88" spans="1:2">
      <c r="A88" s="218"/>
      <c r="B88" s="214"/>
    </row>
    <row r="89" spans="1:2">
      <c r="A89" s="218"/>
      <c r="B89" s="214"/>
    </row>
    <row r="90" spans="1:2">
      <c r="A90" s="218"/>
      <c r="B90" s="214"/>
    </row>
    <row r="91" spans="1:2">
      <c r="A91" s="218"/>
      <c r="B91" s="214"/>
    </row>
    <row r="92" spans="1:2">
      <c r="A92" s="218"/>
      <c r="B92" s="214"/>
    </row>
    <row r="93" spans="1:2">
      <c r="A93" s="218"/>
      <c r="B93" s="214"/>
    </row>
    <row r="94" spans="1:2">
      <c r="A94" s="218"/>
      <c r="B94" s="214"/>
    </row>
    <row r="95" spans="1:2">
      <c r="A95" s="218"/>
      <c r="B95" s="214"/>
    </row>
    <row r="96" spans="1:2">
      <c r="A96" s="218"/>
      <c r="B96" s="214"/>
    </row>
    <row r="97" spans="1:2">
      <c r="A97" s="218"/>
      <c r="B97" s="214"/>
    </row>
    <row r="98" spans="1:2">
      <c r="A98" s="218"/>
      <c r="B98" s="214"/>
    </row>
    <row r="99" spans="1:2">
      <c r="A99" s="218"/>
      <c r="B99" s="214"/>
    </row>
    <row r="100" spans="1:2">
      <c r="A100" s="218"/>
      <c r="B100" s="214"/>
    </row>
    <row r="101" spans="1:2">
      <c r="A101" s="218"/>
      <c r="B101" s="214"/>
    </row>
    <row r="102" spans="1:2">
      <c r="A102" s="218"/>
      <c r="B102" s="214"/>
    </row>
    <row r="103" spans="1:2">
      <c r="A103" s="218"/>
      <c r="B103" s="214"/>
    </row>
    <row r="104" spans="1:2">
      <c r="A104" s="218"/>
      <c r="B104" s="214"/>
    </row>
    <row r="105" spans="1:2">
      <c r="A105" s="218"/>
      <c r="B105" s="214"/>
    </row>
    <row r="106" spans="1:2">
      <c r="A106" s="218"/>
      <c r="B106" s="214"/>
    </row>
    <row r="107" spans="1:2">
      <c r="A107" s="218"/>
      <c r="B107" s="214"/>
    </row>
    <row r="108" spans="1:2">
      <c r="A108" s="218"/>
      <c r="B108" s="214"/>
    </row>
    <row r="109" spans="1:2">
      <c r="A109" s="218"/>
      <c r="B109" s="214"/>
    </row>
    <row r="110" spans="1:2">
      <c r="A110" s="218"/>
      <c r="B110" s="214"/>
    </row>
    <row r="111" spans="1:2">
      <c r="A111" s="218"/>
      <c r="B111" s="214"/>
    </row>
    <row r="112" spans="1:2">
      <c r="A112" s="218"/>
      <c r="B112" s="214"/>
    </row>
    <row r="113" spans="1:2">
      <c r="A113" s="218"/>
      <c r="B113" s="214"/>
    </row>
    <row r="114" spans="1:2">
      <c r="A114" s="218"/>
      <c r="B114" s="214"/>
    </row>
    <row r="115" spans="1:2">
      <c r="A115" s="218"/>
      <c r="B115" s="214"/>
    </row>
    <row r="116" spans="1:2">
      <c r="A116" s="218"/>
      <c r="B116" s="214"/>
    </row>
    <row r="117" spans="1:2">
      <c r="A117" s="218"/>
      <c r="B117" s="214"/>
    </row>
    <row r="118" spans="1:2">
      <c r="A118" s="218"/>
      <c r="B118" s="214"/>
    </row>
    <row r="119" spans="1:2">
      <c r="A119" s="218"/>
      <c r="B119" s="214"/>
    </row>
    <row r="120" spans="1:2">
      <c r="A120" s="218"/>
      <c r="B120" s="214"/>
    </row>
    <row r="121" spans="1:2">
      <c r="A121" s="218"/>
      <c r="B121" s="214"/>
    </row>
    <row r="122" spans="1:2">
      <c r="A122" s="218"/>
      <c r="B122" s="214"/>
    </row>
    <row r="123" spans="1:2">
      <c r="A123" s="218"/>
      <c r="B123" s="214"/>
    </row>
    <row r="124" spans="1:2">
      <c r="A124" s="218"/>
      <c r="B124" s="214"/>
    </row>
    <row r="125" spans="1:2">
      <c r="A125" s="218"/>
      <c r="B125" s="214"/>
    </row>
    <row r="126" spans="1:2">
      <c r="A126" s="218"/>
      <c r="B126" s="214"/>
    </row>
    <row r="127" spans="1:2">
      <c r="A127" s="218"/>
      <c r="B127" s="214"/>
    </row>
    <row r="128" spans="1:2">
      <c r="A128" s="218"/>
      <c r="B128" s="214"/>
    </row>
    <row r="129" spans="1:2">
      <c r="A129" s="218"/>
      <c r="B129" s="214"/>
    </row>
    <row r="130" spans="1:2">
      <c r="A130" s="218"/>
      <c r="B130" s="214"/>
    </row>
    <row r="131" spans="1:2">
      <c r="A131" s="218"/>
      <c r="B131" s="214"/>
    </row>
    <row r="132" spans="1:2">
      <c r="A132" s="218"/>
      <c r="B132" s="214"/>
    </row>
    <row r="133" spans="1:2">
      <c r="A133" s="218"/>
      <c r="B133" s="214"/>
    </row>
    <row r="134" spans="1:2">
      <c r="A134" s="218"/>
      <c r="B134" s="214"/>
    </row>
    <row r="135" spans="1:2">
      <c r="A135" s="218"/>
      <c r="B135" s="214"/>
    </row>
    <row r="136" spans="1:2">
      <c r="A136" s="218"/>
      <c r="B136" s="214"/>
    </row>
    <row r="137" spans="1:2">
      <c r="A137" s="218"/>
      <c r="B137" s="214"/>
    </row>
    <row r="138" spans="1:2">
      <c r="A138" s="218"/>
      <c r="B138" s="214"/>
    </row>
    <row r="139" spans="1:2">
      <c r="A139" s="218"/>
      <c r="B139" s="214"/>
    </row>
    <row r="140" spans="1:2">
      <c r="A140" s="218"/>
      <c r="B140" s="214"/>
    </row>
    <row r="141" spans="1:2">
      <c r="A141" s="218"/>
      <c r="B141" s="214"/>
    </row>
    <row r="142" spans="1:2">
      <c r="A142" s="218"/>
      <c r="B142" s="214"/>
    </row>
    <row r="143" spans="1:2">
      <c r="A143" s="218"/>
      <c r="B143" s="214"/>
    </row>
    <row r="144" spans="1:2">
      <c r="A144" s="218"/>
      <c r="B144" s="214"/>
    </row>
    <row r="145" spans="1:2">
      <c r="A145" s="218"/>
      <c r="B145" s="214"/>
    </row>
    <row r="146" spans="1:2">
      <c r="A146" s="218"/>
      <c r="B146" s="214"/>
    </row>
    <row r="147" spans="1:2">
      <c r="A147" s="218"/>
      <c r="B147" s="214"/>
    </row>
    <row r="148" spans="1:2">
      <c r="A148" s="218"/>
      <c r="B148" s="214"/>
    </row>
    <row r="149" spans="1:2">
      <c r="A149" s="218"/>
      <c r="B149" s="214"/>
    </row>
    <row r="150" spans="1:2">
      <c r="A150" s="218"/>
      <c r="B150" s="214"/>
    </row>
    <row r="151" spans="1:2">
      <c r="A151" s="218"/>
      <c r="B151" s="214"/>
    </row>
    <row r="152" spans="1:2">
      <c r="A152" s="218"/>
      <c r="B152" s="214"/>
    </row>
    <row r="153" spans="1:2">
      <c r="A153" s="218"/>
      <c r="B153" s="214"/>
    </row>
    <row r="154" spans="1:2">
      <c r="A154" s="218"/>
      <c r="B154" s="214"/>
    </row>
    <row r="155" spans="1:2">
      <c r="A155" s="218"/>
      <c r="B155" s="214"/>
    </row>
    <row r="156" spans="1:2">
      <c r="A156" s="218"/>
      <c r="B156" s="214"/>
    </row>
    <row r="157" spans="1:2">
      <c r="A157" s="218"/>
      <c r="B157" s="214"/>
    </row>
    <row r="158" spans="1:2">
      <c r="A158" s="218"/>
      <c r="B158" s="214"/>
    </row>
    <row r="159" spans="1:2">
      <c r="A159" s="218"/>
      <c r="B159" s="214"/>
    </row>
    <row r="160" spans="1:2">
      <c r="A160" s="218"/>
      <c r="B160" s="214"/>
    </row>
    <row r="161" spans="1:2">
      <c r="A161" s="218"/>
      <c r="B161" s="214"/>
    </row>
    <row r="162" spans="1:2">
      <c r="A162" s="218"/>
      <c r="B162" s="214"/>
    </row>
    <row r="163" spans="1:2">
      <c r="A163" s="218"/>
      <c r="B163" s="214"/>
    </row>
    <row r="164" spans="1:2">
      <c r="A164" s="218"/>
      <c r="B164" s="214"/>
    </row>
    <row r="165" spans="1:2">
      <c r="A165" s="218"/>
      <c r="B165" s="214"/>
    </row>
    <row r="166" spans="1:2">
      <c r="A166" s="218"/>
      <c r="B166" s="214"/>
    </row>
    <row r="167" spans="1:2">
      <c r="A167" s="218"/>
      <c r="B167" s="214"/>
    </row>
    <row r="168" spans="1:2">
      <c r="A168" s="218"/>
      <c r="B168" s="214"/>
    </row>
    <row r="169" spans="1:2">
      <c r="A169" s="218"/>
      <c r="B169" s="214"/>
    </row>
    <row r="170" spans="1:2">
      <c r="A170" s="218"/>
      <c r="B170" s="214"/>
    </row>
    <row r="171" spans="1:2">
      <c r="A171" s="218"/>
      <c r="B171" s="214"/>
    </row>
    <row r="172" spans="1:2">
      <c r="A172" s="218"/>
      <c r="B172" s="214"/>
    </row>
    <row r="173" spans="1:2">
      <c r="A173" s="218"/>
      <c r="B173" s="214"/>
    </row>
    <row r="174" spans="1:2">
      <c r="A174" s="218"/>
      <c r="B174" s="214"/>
    </row>
    <row r="175" spans="1:2">
      <c r="A175" s="218"/>
      <c r="B175" s="214"/>
    </row>
    <row r="176" spans="1:2">
      <c r="A176" s="218"/>
      <c r="B176" s="214"/>
    </row>
    <row r="177" spans="1:2">
      <c r="A177" s="218"/>
      <c r="B177" s="214"/>
    </row>
    <row r="178" spans="1:2">
      <c r="A178" s="218"/>
      <c r="B178" s="214"/>
    </row>
    <row r="179" spans="1:2">
      <c r="A179" s="218"/>
      <c r="B179" s="214"/>
    </row>
    <row r="180" spans="1:2">
      <c r="A180" s="218"/>
      <c r="B180" s="214"/>
    </row>
    <row r="181" spans="1:2">
      <c r="A181" s="218"/>
      <c r="B181" s="214"/>
    </row>
    <row r="182" spans="1:2">
      <c r="A182" s="218"/>
      <c r="B182" s="214"/>
    </row>
    <row r="183" spans="1:2">
      <c r="A183" s="218"/>
      <c r="B183" s="214"/>
    </row>
    <row r="184" spans="1:2">
      <c r="A184" s="218"/>
      <c r="B184" s="214"/>
    </row>
    <row r="185" spans="1:2">
      <c r="A185" s="218"/>
      <c r="B185" s="214"/>
    </row>
    <row r="186" spans="1:2">
      <c r="A186" s="218"/>
      <c r="B186" s="214"/>
    </row>
    <row r="187" spans="1:2">
      <c r="A187" s="218"/>
      <c r="B187" s="214"/>
    </row>
    <row r="188" spans="1:2">
      <c r="A188" s="218"/>
      <c r="B188" s="214"/>
    </row>
    <row r="189" spans="1:2">
      <c r="A189" s="218"/>
      <c r="B189" s="214"/>
    </row>
    <row r="190" spans="1:2">
      <c r="A190" s="218"/>
      <c r="B190" s="214"/>
    </row>
    <row r="191" spans="1:2">
      <c r="A191" s="218"/>
      <c r="B191" s="214"/>
    </row>
    <row r="192" spans="1:2">
      <c r="A192" s="218"/>
      <c r="B192" s="214"/>
    </row>
    <row r="193" spans="1:2">
      <c r="A193" s="218"/>
      <c r="B193" s="214"/>
    </row>
    <row r="194" spans="1:2">
      <c r="A194" s="218"/>
      <c r="B194" s="214"/>
    </row>
    <row r="195" spans="1:2">
      <c r="A195" s="218"/>
      <c r="B195" s="214"/>
    </row>
    <row r="196" spans="1:2">
      <c r="A196" s="218"/>
      <c r="B196" s="214"/>
    </row>
    <row r="197" spans="1:2">
      <c r="A197" s="218"/>
      <c r="B197" s="214"/>
    </row>
    <row r="198" spans="1:2">
      <c r="A198" s="218"/>
      <c r="B198" s="214"/>
    </row>
    <row r="199" spans="1:2">
      <c r="A199" s="218"/>
      <c r="B199" s="214"/>
    </row>
    <row r="200" spans="1:2">
      <c r="A200" s="218"/>
      <c r="B200" s="214"/>
    </row>
    <row r="201" spans="1:2">
      <c r="A201" s="218"/>
      <c r="B201" s="214"/>
    </row>
    <row r="202" spans="1:2">
      <c r="A202" s="218"/>
      <c r="B202" s="214"/>
    </row>
    <row r="203" spans="1:2">
      <c r="A203" s="218"/>
      <c r="B203" s="214"/>
    </row>
    <row r="204" spans="1:2">
      <c r="A204" s="218"/>
      <c r="B204" s="214"/>
    </row>
    <row r="205" spans="1:2">
      <c r="A205" s="218"/>
      <c r="B205" s="214"/>
    </row>
    <row r="206" spans="1:2">
      <c r="A206" s="218"/>
      <c r="B206" s="214"/>
    </row>
    <row r="207" spans="1:2">
      <c r="A207" s="218"/>
      <c r="B207" s="214"/>
    </row>
    <row r="208" spans="1:2">
      <c r="A208" s="218"/>
      <c r="B208" s="214"/>
    </row>
    <row r="209" spans="1:2">
      <c r="A209" s="218"/>
      <c r="B209" s="214"/>
    </row>
    <row r="210" spans="1:2">
      <c r="A210" s="218"/>
      <c r="B210" s="214"/>
    </row>
    <row r="211" spans="1:2">
      <c r="A211" s="218"/>
      <c r="B211" s="214"/>
    </row>
    <row r="212" spans="1:2">
      <c r="A212" s="218"/>
      <c r="B212" s="214"/>
    </row>
    <row r="213" spans="1:2">
      <c r="A213" s="218"/>
      <c r="B213" s="214"/>
    </row>
    <row r="214" spans="1:2">
      <c r="A214" s="218"/>
      <c r="B214" s="214"/>
    </row>
    <row r="215" spans="1:2">
      <c r="A215" s="218"/>
      <c r="B215" s="214"/>
    </row>
    <row r="216" spans="1:2">
      <c r="A216" s="218"/>
      <c r="B216" s="214"/>
    </row>
    <row r="217" spans="1:2">
      <c r="A217" s="218"/>
      <c r="B217" s="214"/>
    </row>
    <row r="218" spans="1:2">
      <c r="A218" s="218"/>
      <c r="B218" s="214"/>
    </row>
    <row r="219" spans="1:2">
      <c r="A219" s="218"/>
      <c r="B219" s="214"/>
    </row>
    <row r="220" spans="1:2">
      <c r="A220" s="218"/>
      <c r="B220" s="214"/>
    </row>
    <row r="221" spans="1:2">
      <c r="A221" s="218"/>
      <c r="B221" s="214"/>
    </row>
    <row r="222" spans="1:2">
      <c r="A222" s="218"/>
      <c r="B222" s="214"/>
    </row>
    <row r="223" spans="1:2">
      <c r="A223" s="218"/>
      <c r="B223" s="214"/>
    </row>
    <row r="224" spans="1:2">
      <c r="A224" s="218"/>
      <c r="B224" s="214"/>
    </row>
    <row r="225" spans="1:2">
      <c r="A225" s="218"/>
      <c r="B225" s="214"/>
    </row>
    <row r="226" spans="1:2">
      <c r="A226" s="218"/>
      <c r="B226" s="214"/>
    </row>
    <row r="227" spans="1:2">
      <c r="A227" s="218"/>
      <c r="B227" s="214"/>
    </row>
    <row r="228" spans="1:2">
      <c r="A228" s="218"/>
      <c r="B228" s="214"/>
    </row>
    <row r="229" spans="1:2">
      <c r="A229" s="218"/>
      <c r="B229" s="214"/>
    </row>
    <row r="230" spans="1:2">
      <c r="A230" s="218"/>
      <c r="B230" s="214"/>
    </row>
    <row r="231" spans="1:2">
      <c r="A231" s="218"/>
      <c r="B231" s="214"/>
    </row>
    <row r="232" spans="1:2">
      <c r="A232" s="218"/>
      <c r="B232" s="214"/>
    </row>
    <row r="233" spans="1:2">
      <c r="A233" s="218"/>
      <c r="B233" s="214"/>
    </row>
    <row r="234" spans="1:2">
      <c r="A234" s="218"/>
      <c r="B234" s="214"/>
    </row>
    <row r="235" spans="1:2">
      <c r="A235" s="218"/>
      <c r="B235" s="214"/>
    </row>
    <row r="236" spans="1:2">
      <c r="A236" s="218"/>
      <c r="B236" s="214"/>
    </row>
    <row r="237" spans="1:2">
      <c r="A237" s="218"/>
      <c r="B237" s="214"/>
    </row>
    <row r="238" spans="1:2">
      <c r="A238" s="218"/>
      <c r="B238" s="214"/>
    </row>
    <row r="239" spans="1:2">
      <c r="A239" s="218"/>
      <c r="B239" s="214"/>
    </row>
    <row r="240" spans="1:2">
      <c r="A240" s="218"/>
      <c r="B240" s="214"/>
    </row>
    <row r="241" spans="1:2">
      <c r="A241" s="218"/>
      <c r="B241" s="214"/>
    </row>
    <row r="242" spans="1:2">
      <c r="A242" s="218"/>
      <c r="B242" s="214"/>
    </row>
    <row r="243" spans="1:2">
      <c r="A243" s="218"/>
      <c r="B243" s="214"/>
    </row>
    <row r="244" spans="1:2">
      <c r="A244" s="218"/>
      <c r="B244" s="214"/>
    </row>
    <row r="245" spans="1:2">
      <c r="A245" s="218"/>
      <c r="B245" s="214"/>
    </row>
    <row r="246" spans="1:2">
      <c r="A246" s="218"/>
      <c r="B246" s="214"/>
    </row>
    <row r="247" spans="1:2">
      <c r="A247" s="218"/>
      <c r="B247" s="214"/>
    </row>
    <row r="248" spans="1:2">
      <c r="A248" s="218"/>
      <c r="B248" s="214"/>
    </row>
    <row r="249" spans="1:2">
      <c r="A249" s="218"/>
      <c r="B249" s="214"/>
    </row>
    <row r="250" spans="1:2">
      <c r="A250" s="218"/>
      <c r="B250" s="214"/>
    </row>
    <row r="251" spans="1:2">
      <c r="A251" s="218"/>
      <c r="B251" s="214"/>
    </row>
    <row r="252" spans="1:2">
      <c r="A252" s="218"/>
      <c r="B252" s="214"/>
    </row>
    <row r="253" spans="1:2">
      <c r="A253" s="218"/>
      <c r="B253" s="214"/>
    </row>
    <row r="254" spans="1:2">
      <c r="A254" s="218"/>
      <c r="B254" s="214"/>
    </row>
    <row r="255" spans="1:2">
      <c r="A255" s="218"/>
      <c r="B255" s="214"/>
    </row>
    <row r="256" spans="1:2">
      <c r="A256" s="218"/>
      <c r="B256" s="214"/>
    </row>
    <row r="257" spans="1:2">
      <c r="A257" s="218"/>
      <c r="B257" s="214"/>
    </row>
    <row r="258" spans="1:2">
      <c r="A258" s="218"/>
      <c r="B258" s="214"/>
    </row>
    <row r="259" spans="1:2">
      <c r="A259" s="218"/>
      <c r="B259" s="214"/>
    </row>
    <row r="260" spans="1:2">
      <c r="A260" s="218"/>
      <c r="B260" s="214"/>
    </row>
    <row r="261" spans="1:2">
      <c r="A261" s="218"/>
      <c r="B261" s="214"/>
    </row>
    <row r="262" spans="1:2">
      <c r="A262" s="218"/>
      <c r="B262" s="214"/>
    </row>
    <row r="263" spans="1:2">
      <c r="A263" s="218"/>
      <c r="B263" s="214"/>
    </row>
    <row r="264" spans="1:2">
      <c r="A264" s="218"/>
      <c r="B264" s="214"/>
    </row>
    <row r="265" spans="1:2">
      <c r="A265" s="218"/>
      <c r="B265" s="214"/>
    </row>
    <row r="266" spans="1:2">
      <c r="A266" s="218"/>
      <c r="B266" s="214"/>
    </row>
    <row r="267" spans="1:2">
      <c r="A267" s="218"/>
      <c r="B267" s="214"/>
    </row>
    <row r="268" spans="1:2">
      <c r="A268" s="218"/>
      <c r="B268" s="214"/>
    </row>
    <row r="269" spans="1:2">
      <c r="A269" s="218"/>
      <c r="B269" s="214"/>
    </row>
    <row r="270" spans="1:2">
      <c r="A270" s="218"/>
      <c r="B270" s="214"/>
    </row>
    <row r="271" spans="1:2">
      <c r="A271" s="218"/>
      <c r="B271" s="214"/>
    </row>
    <row r="272" spans="1:2">
      <c r="A272" s="218"/>
      <c r="B272" s="214"/>
    </row>
    <row r="273" spans="1:2">
      <c r="A273" s="218"/>
      <c r="B273" s="214"/>
    </row>
    <row r="274" spans="1:2">
      <c r="A274" s="218"/>
      <c r="B274" s="214"/>
    </row>
    <row r="275" spans="1:2">
      <c r="A275" s="218"/>
      <c r="B275" s="214"/>
    </row>
    <row r="276" spans="1:2">
      <c r="A276" s="218"/>
      <c r="B276" s="214"/>
    </row>
    <row r="277" spans="1:2">
      <c r="A277" s="218"/>
      <c r="B277" s="214"/>
    </row>
    <row r="278" spans="1:2">
      <c r="A278" s="218"/>
      <c r="B278" s="214"/>
    </row>
    <row r="279" spans="1:2">
      <c r="A279" s="218"/>
      <c r="B279" s="214"/>
    </row>
    <row r="280" spans="1:2">
      <c r="A280" s="218"/>
      <c r="B280" s="214"/>
    </row>
    <row r="281" spans="1:2">
      <c r="A281" s="218"/>
      <c r="B281" s="214"/>
    </row>
    <row r="282" spans="1:2">
      <c r="A282" s="218"/>
      <c r="B282" s="214"/>
    </row>
    <row r="283" spans="1:2">
      <c r="A283" s="218"/>
      <c r="B283" s="214"/>
    </row>
    <row r="284" spans="1:2">
      <c r="A284" s="218"/>
      <c r="B284" s="214"/>
    </row>
    <row r="285" spans="1:2">
      <c r="A285" s="218"/>
      <c r="B285" s="214"/>
    </row>
    <row r="286" spans="1:2">
      <c r="A286" s="218"/>
      <c r="B286" s="214"/>
    </row>
    <row r="287" spans="1:2">
      <c r="A287" s="218"/>
      <c r="B287" s="214"/>
    </row>
    <row r="288" spans="1:2">
      <c r="A288" s="218"/>
      <c r="B288" s="214"/>
    </row>
    <row r="289" spans="1:2">
      <c r="A289" s="218"/>
      <c r="B289" s="214"/>
    </row>
    <row r="290" spans="1:2">
      <c r="A290" s="218"/>
      <c r="B290" s="214"/>
    </row>
    <row r="291" spans="1:2">
      <c r="A291" s="218"/>
      <c r="B291" s="214"/>
    </row>
    <row r="292" spans="1:2">
      <c r="A292" s="218"/>
      <c r="B292" s="214"/>
    </row>
    <row r="293" spans="1:2">
      <c r="A293" s="218"/>
      <c r="B293" s="214"/>
    </row>
    <row r="294" spans="1:2">
      <c r="A294" s="218"/>
      <c r="B294" s="214"/>
    </row>
    <row r="295" spans="1:2">
      <c r="A295" s="218"/>
      <c r="B295" s="214"/>
    </row>
    <row r="296" spans="1:2">
      <c r="A296" s="218"/>
      <c r="B296" s="214"/>
    </row>
    <row r="297" spans="1:2">
      <c r="A297" s="218"/>
      <c r="B297" s="214"/>
    </row>
    <row r="298" spans="1:2">
      <c r="A298" s="218"/>
      <c r="B298" s="214"/>
    </row>
    <row r="299" spans="1:2">
      <c r="A299" s="218"/>
      <c r="B299" s="214"/>
    </row>
    <row r="300" spans="1:2">
      <c r="A300" s="218"/>
      <c r="B300" s="214"/>
    </row>
    <row r="301" spans="1:2">
      <c r="A301" s="218"/>
      <c r="B301" s="214"/>
    </row>
    <row r="302" spans="1:2">
      <c r="A302" s="218"/>
      <c r="B302" s="214"/>
    </row>
    <row r="303" spans="1:2">
      <c r="A303" s="218"/>
      <c r="B303" s="214"/>
    </row>
    <row r="304" spans="1:2">
      <c r="A304" s="218"/>
      <c r="B304" s="214"/>
    </row>
    <row r="305" spans="1:2">
      <c r="A305" s="218"/>
      <c r="B305" s="214"/>
    </row>
    <row r="306" spans="1:2">
      <c r="A306" s="218"/>
      <c r="B306" s="214"/>
    </row>
    <row r="307" spans="1:2">
      <c r="A307" s="218"/>
      <c r="B307" s="214"/>
    </row>
    <row r="308" spans="1:2">
      <c r="A308" s="218"/>
      <c r="B308" s="214"/>
    </row>
    <row r="309" spans="1:2">
      <c r="A309" s="218"/>
      <c r="B309" s="214"/>
    </row>
    <row r="310" spans="1:2">
      <c r="A310" s="218"/>
      <c r="B310" s="214"/>
    </row>
    <row r="311" spans="1:2">
      <c r="A311" s="218"/>
      <c r="B311" s="214"/>
    </row>
    <row r="312" spans="1:2">
      <c r="A312" s="218"/>
      <c r="B312" s="214"/>
    </row>
    <row r="313" spans="1:2">
      <c r="A313" s="218"/>
      <c r="B313" s="214"/>
    </row>
    <row r="314" spans="1:2">
      <c r="A314" s="218"/>
      <c r="B314" s="214"/>
    </row>
    <row r="315" spans="1:2">
      <c r="A315" s="218"/>
      <c r="B315" s="214"/>
    </row>
    <row r="316" spans="1:2">
      <c r="A316" s="218"/>
      <c r="B316" s="214"/>
    </row>
    <row r="317" spans="1:2">
      <c r="A317" s="218"/>
      <c r="B317" s="214"/>
    </row>
    <row r="318" spans="1:2">
      <c r="A318" s="218"/>
      <c r="B318" s="214"/>
    </row>
    <row r="319" spans="1:2">
      <c r="A319" s="218"/>
      <c r="B319" s="214"/>
    </row>
    <row r="320" spans="1:2">
      <c r="A320" s="218"/>
      <c r="B320" s="214"/>
    </row>
    <row r="321" spans="1:2">
      <c r="A321" s="218"/>
      <c r="B321" s="214"/>
    </row>
    <row r="322" spans="1:2">
      <c r="A322" s="218"/>
      <c r="B322" s="214"/>
    </row>
    <row r="323" spans="1:2">
      <c r="A323" s="218"/>
      <c r="B323" s="214"/>
    </row>
    <row r="324" spans="1:2">
      <c r="A324" s="218"/>
      <c r="B324" s="214"/>
    </row>
    <row r="325" spans="1:2">
      <c r="A325" s="218"/>
      <c r="B325" s="214"/>
    </row>
    <row r="326" spans="1:2">
      <c r="A326" s="218"/>
      <c r="B326" s="214"/>
    </row>
    <row r="327" spans="1:2">
      <c r="A327" s="218"/>
      <c r="B327" s="214"/>
    </row>
    <row r="328" spans="1:2">
      <c r="A328" s="218"/>
      <c r="B328" s="214"/>
    </row>
    <row r="329" spans="1:2">
      <c r="A329" s="218"/>
      <c r="B329" s="214"/>
    </row>
    <row r="330" spans="1:2">
      <c r="A330" s="218"/>
      <c r="B330" s="214"/>
    </row>
    <row r="331" spans="1:2">
      <c r="A331" s="218"/>
      <c r="B331" s="214"/>
    </row>
    <row r="332" spans="1:2">
      <c r="A332" s="218"/>
      <c r="B332" s="214"/>
    </row>
    <row r="333" spans="1:2">
      <c r="A333" s="218"/>
      <c r="B333" s="214"/>
    </row>
    <row r="334" spans="1:2">
      <c r="A334" s="218"/>
      <c r="B334" s="214"/>
    </row>
    <row r="335" spans="1:2">
      <c r="A335" s="218"/>
      <c r="B335" s="214"/>
    </row>
    <row r="336" spans="1:2">
      <c r="A336" s="218"/>
      <c r="B336" s="214"/>
    </row>
    <row r="337" spans="1:2">
      <c r="A337" s="218"/>
      <c r="B337" s="214"/>
    </row>
    <row r="338" spans="1:2">
      <c r="A338" s="218"/>
      <c r="B338" s="214"/>
    </row>
    <row r="339" spans="1:2">
      <c r="A339" s="218"/>
      <c r="B339" s="214"/>
    </row>
    <row r="340" spans="1:2">
      <c r="A340" s="218"/>
      <c r="B340" s="214"/>
    </row>
    <row r="341" spans="1:2">
      <c r="A341" s="218"/>
      <c r="B341" s="214"/>
    </row>
    <row r="342" spans="1:2">
      <c r="A342" s="218"/>
      <c r="B342" s="214"/>
    </row>
    <row r="343" spans="1:2">
      <c r="A343" s="218"/>
      <c r="B343" s="214"/>
    </row>
    <row r="344" spans="1:2">
      <c r="A344" s="218"/>
      <c r="B344" s="214"/>
    </row>
    <row r="345" spans="1:2">
      <c r="A345" s="218"/>
      <c r="B345" s="214"/>
    </row>
    <row r="346" spans="1:2">
      <c r="A346" s="218"/>
      <c r="B346" s="214"/>
    </row>
    <row r="347" spans="1:2">
      <c r="A347" s="218"/>
      <c r="B347" s="214"/>
    </row>
    <row r="348" spans="1:2">
      <c r="A348" s="218"/>
      <c r="B348" s="214"/>
    </row>
    <row r="349" spans="1:2">
      <c r="A349" s="218"/>
      <c r="B349" s="214"/>
    </row>
    <row r="350" spans="1:2">
      <c r="A350" s="218"/>
      <c r="B350" s="214"/>
    </row>
    <row r="351" spans="1:2">
      <c r="A351" s="218"/>
      <c r="B351" s="214"/>
    </row>
    <row r="352" spans="1:2">
      <c r="A352" s="218"/>
      <c r="B352" s="214"/>
    </row>
    <row r="353" spans="1:2">
      <c r="A353" s="218"/>
      <c r="B353" s="214"/>
    </row>
    <row r="354" spans="1:2">
      <c r="A354" s="218"/>
      <c r="B354" s="214"/>
    </row>
    <row r="355" spans="1:2">
      <c r="A355" s="218"/>
      <c r="B355" s="214"/>
    </row>
    <row r="356" spans="1:2">
      <c r="A356" s="218"/>
      <c r="B356" s="214"/>
    </row>
    <row r="357" spans="1:2">
      <c r="A357" s="218"/>
      <c r="B357" s="214"/>
    </row>
    <row r="358" spans="1:2">
      <c r="A358" s="218"/>
      <c r="B358" s="214"/>
    </row>
    <row r="359" spans="1:2">
      <c r="A359" s="218"/>
      <c r="B359" s="214"/>
    </row>
    <row r="360" spans="1:2">
      <c r="A360" s="218"/>
      <c r="B360" s="214"/>
    </row>
    <row r="361" spans="1:2">
      <c r="A361" s="218"/>
      <c r="B361" s="214"/>
    </row>
    <row r="362" spans="1:2">
      <c r="A362" s="218"/>
      <c r="B362" s="214"/>
    </row>
    <row r="363" spans="1:2">
      <c r="A363" s="218"/>
      <c r="B363" s="214"/>
    </row>
    <row r="364" spans="1:2">
      <c r="A364" s="218"/>
      <c r="B364" s="214"/>
    </row>
    <row r="365" spans="1:2">
      <c r="A365" s="218"/>
      <c r="B365" s="214"/>
    </row>
    <row r="366" spans="1:2">
      <c r="A366" s="218"/>
      <c r="B366" s="214"/>
    </row>
    <row r="367" spans="1:2">
      <c r="A367" s="218"/>
      <c r="B367" s="214"/>
    </row>
    <row r="368" spans="1:2">
      <c r="A368" s="218"/>
      <c r="B368" s="214"/>
    </row>
    <row r="369" spans="1:2">
      <c r="A369" s="218"/>
      <c r="B369" s="214"/>
    </row>
    <row r="370" spans="1:2">
      <c r="A370" s="218"/>
      <c r="B370" s="214"/>
    </row>
    <row r="371" spans="1:2">
      <c r="A371" s="218"/>
      <c r="B371" s="214"/>
    </row>
    <row r="372" spans="1:2">
      <c r="A372" s="218"/>
      <c r="B372" s="214"/>
    </row>
    <row r="373" spans="1:2">
      <c r="A373" s="218"/>
      <c r="B373" s="214"/>
    </row>
    <row r="374" spans="1:2">
      <c r="A374" s="218"/>
      <c r="B374" s="214"/>
    </row>
    <row r="375" spans="1:2">
      <c r="A375" s="218"/>
      <c r="B375" s="214"/>
    </row>
    <row r="376" spans="1:2">
      <c r="A376" s="218"/>
      <c r="B376" s="214"/>
    </row>
    <row r="377" spans="1:2">
      <c r="A377" s="218"/>
      <c r="B377" s="214"/>
    </row>
    <row r="378" spans="1:2">
      <c r="A378" s="218"/>
      <c r="B378" s="214"/>
    </row>
    <row r="379" spans="1:2">
      <c r="A379" s="218"/>
      <c r="B379" s="214"/>
    </row>
    <row r="380" spans="1:2">
      <c r="A380" s="218"/>
      <c r="B380" s="214"/>
    </row>
    <row r="381" spans="1:2">
      <c r="A381" s="218"/>
      <c r="B381" s="214"/>
    </row>
    <row r="382" spans="1:2">
      <c r="A382" s="218"/>
      <c r="B382" s="214"/>
    </row>
    <row r="383" spans="1:2">
      <c r="A383" s="218"/>
      <c r="B383" s="214"/>
    </row>
    <row r="384" spans="1:2">
      <c r="A384" s="218"/>
      <c r="B384" s="214"/>
    </row>
    <row r="385" spans="1:2">
      <c r="A385" s="218"/>
      <c r="B385" s="214"/>
    </row>
    <row r="386" spans="1:2">
      <c r="A386" s="218"/>
      <c r="B386" s="214"/>
    </row>
    <row r="387" spans="1:2">
      <c r="A387" s="218"/>
      <c r="B387" s="214"/>
    </row>
    <row r="388" spans="1:2">
      <c r="A388" s="218"/>
      <c r="B388" s="214"/>
    </row>
    <row r="389" spans="1:2">
      <c r="A389" s="218"/>
      <c r="B389" s="214"/>
    </row>
    <row r="390" spans="1:2">
      <c r="A390" s="218"/>
      <c r="B390" s="214"/>
    </row>
    <row r="391" spans="1:2">
      <c r="A391" s="218"/>
      <c r="B391" s="214"/>
    </row>
    <row r="392" spans="1:2">
      <c r="A392" s="218"/>
      <c r="B392" s="214"/>
    </row>
    <row r="393" spans="1:2">
      <c r="A393" s="218"/>
      <c r="B393" s="214"/>
    </row>
    <row r="394" spans="1:2">
      <c r="A394" s="218"/>
      <c r="B394" s="214"/>
    </row>
    <row r="395" spans="1:2">
      <c r="A395" s="218"/>
      <c r="B395" s="214"/>
    </row>
    <row r="396" spans="1:2">
      <c r="A396" s="218"/>
      <c r="B396" s="214"/>
    </row>
    <row r="397" spans="1:2">
      <c r="A397" s="218"/>
      <c r="B397" s="214"/>
    </row>
    <row r="398" spans="1:2">
      <c r="A398" s="218"/>
      <c r="B398" s="214"/>
    </row>
    <row r="399" spans="1:2">
      <c r="A399" s="218"/>
      <c r="B399" s="214"/>
    </row>
    <row r="400" spans="1:2">
      <c r="A400" s="218"/>
      <c r="B400" s="214"/>
    </row>
    <row r="401" spans="1:2">
      <c r="A401" s="218"/>
      <c r="B401" s="214"/>
    </row>
    <row r="402" spans="1:2">
      <c r="A402" s="218"/>
      <c r="B402" s="214"/>
    </row>
    <row r="403" spans="1:2">
      <c r="A403" s="218"/>
      <c r="B403" s="214"/>
    </row>
    <row r="404" spans="1:2">
      <c r="A404" s="218"/>
      <c r="B404" s="214"/>
    </row>
    <row r="405" spans="1:2">
      <c r="A405" s="218"/>
      <c r="B405" s="214"/>
    </row>
    <row r="406" spans="1:2">
      <c r="A406" s="218"/>
      <c r="B406" s="214"/>
    </row>
    <row r="407" spans="1:2">
      <c r="A407" s="218"/>
      <c r="B407" s="214"/>
    </row>
    <row r="408" spans="1:2">
      <c r="A408" s="218"/>
      <c r="B408" s="214"/>
    </row>
    <row r="409" spans="1:2">
      <c r="A409" s="218"/>
      <c r="B409" s="214"/>
    </row>
    <row r="410" spans="1:2">
      <c r="A410" s="218"/>
      <c r="B410" s="214"/>
    </row>
    <row r="411" spans="1:2">
      <c r="A411" s="218"/>
      <c r="B411" s="214"/>
    </row>
    <row r="412" spans="1:2">
      <c r="A412" s="218"/>
      <c r="B412" s="214"/>
    </row>
    <row r="413" spans="1:2">
      <c r="A413" s="218"/>
      <c r="B413" s="214"/>
    </row>
    <row r="414" spans="1:2">
      <c r="A414" s="218"/>
      <c r="B414" s="214"/>
    </row>
    <row r="415" spans="1:2">
      <c r="A415" s="218"/>
      <c r="B415" s="214"/>
    </row>
    <row r="416" spans="1:2">
      <c r="A416" s="218"/>
      <c r="B416" s="214"/>
    </row>
    <row r="417" spans="1:2">
      <c r="A417" s="218"/>
      <c r="B417" s="214"/>
    </row>
    <row r="418" spans="1:2">
      <c r="A418" s="218"/>
      <c r="B418" s="214"/>
    </row>
    <row r="419" spans="1:2">
      <c r="A419" s="218"/>
      <c r="B419" s="214"/>
    </row>
    <row r="420" spans="1:2">
      <c r="A420" s="218"/>
      <c r="B420" s="214"/>
    </row>
    <row r="421" spans="1:2">
      <c r="A421" s="218"/>
      <c r="B421" s="214"/>
    </row>
    <row r="422" spans="1:2">
      <c r="A422" s="218"/>
      <c r="B422" s="214"/>
    </row>
    <row r="423" spans="1:2">
      <c r="A423" s="218"/>
      <c r="B423" s="214"/>
    </row>
    <row r="424" spans="1:2">
      <c r="A424" s="218"/>
      <c r="B424" s="214"/>
    </row>
    <row r="425" spans="1:2">
      <c r="A425" s="218"/>
      <c r="B425" s="214"/>
    </row>
    <row r="426" spans="1:2">
      <c r="A426" s="218"/>
      <c r="B426" s="214"/>
    </row>
    <row r="427" spans="1:2">
      <c r="A427" s="218"/>
      <c r="B427" s="214"/>
    </row>
    <row r="428" spans="1:2">
      <c r="A428" s="218"/>
      <c r="B428" s="214"/>
    </row>
    <row r="429" spans="1:2">
      <c r="A429" s="218"/>
      <c r="B429" s="214"/>
    </row>
    <row r="430" spans="1:2">
      <c r="A430" s="218"/>
      <c r="B430" s="214"/>
    </row>
    <row r="431" spans="1:2">
      <c r="A431" s="218"/>
      <c r="B431" s="214"/>
    </row>
    <row r="432" spans="1:2">
      <c r="A432" s="218"/>
      <c r="B432" s="214"/>
    </row>
    <row r="433" spans="1:2">
      <c r="A433" s="218"/>
      <c r="B433" s="214"/>
    </row>
    <row r="434" spans="1:2">
      <c r="A434" s="218"/>
      <c r="B434" s="214"/>
    </row>
    <row r="435" spans="1:2">
      <c r="A435" s="218"/>
      <c r="B435" s="214"/>
    </row>
    <row r="436" spans="1:2">
      <c r="A436" s="218"/>
      <c r="B436" s="214"/>
    </row>
    <row r="437" spans="1:2">
      <c r="A437" s="218"/>
      <c r="B437" s="214"/>
    </row>
    <row r="438" spans="1:2">
      <c r="A438" s="218"/>
      <c r="B438" s="214"/>
    </row>
    <row r="439" spans="1:2">
      <c r="A439" s="218"/>
      <c r="B439" s="214"/>
    </row>
    <row r="440" spans="1:2">
      <c r="A440" s="218"/>
      <c r="B440" s="214"/>
    </row>
    <row r="441" spans="1:2">
      <c r="A441" s="218"/>
      <c r="B441" s="214"/>
    </row>
    <row r="442" spans="1:2">
      <c r="A442" s="218"/>
      <c r="B442" s="214"/>
    </row>
    <row r="443" spans="1:2">
      <c r="A443" s="218"/>
      <c r="B443" s="214"/>
    </row>
    <row r="444" spans="1:2">
      <c r="A444" s="218"/>
      <c r="B444" s="214"/>
    </row>
    <row r="445" spans="1:2">
      <c r="A445" s="218"/>
      <c r="B445" s="214"/>
    </row>
    <row r="446" spans="1:2">
      <c r="A446" s="218"/>
      <c r="B446" s="214"/>
    </row>
    <row r="447" spans="1:2">
      <c r="A447" s="218"/>
      <c r="B447" s="214"/>
    </row>
    <row r="448" spans="1:2">
      <c r="A448" s="218"/>
      <c r="B448" s="214"/>
    </row>
    <row r="449" spans="1:2">
      <c r="A449" s="218"/>
      <c r="B449" s="214"/>
    </row>
    <row r="450" spans="1:2">
      <c r="A450" s="218"/>
      <c r="B450" s="214"/>
    </row>
    <row r="451" spans="1:2">
      <c r="A451" s="218"/>
      <c r="B451" s="214"/>
    </row>
    <row r="452" spans="1:2">
      <c r="A452" s="218"/>
      <c r="B452" s="214"/>
    </row>
    <row r="453" spans="1:2">
      <c r="A453" s="218"/>
      <c r="B453" s="214"/>
    </row>
    <row r="454" spans="1:2">
      <c r="A454" s="218"/>
      <c r="B454" s="214"/>
    </row>
    <row r="455" spans="1:2">
      <c r="A455" s="218"/>
      <c r="B455" s="214"/>
    </row>
    <row r="456" spans="1:2">
      <c r="A456" s="218"/>
      <c r="B456" s="214"/>
    </row>
    <row r="457" spans="1:2">
      <c r="A457" s="218"/>
      <c r="B457" s="214"/>
    </row>
    <row r="458" spans="1:2">
      <c r="A458" s="218"/>
      <c r="B458" s="214"/>
    </row>
    <row r="459" spans="1:2">
      <c r="A459" s="218"/>
      <c r="B459" s="214"/>
    </row>
    <row r="460" spans="1:2">
      <c r="A460" s="218"/>
      <c r="B460" s="214"/>
    </row>
    <row r="461" spans="1:2">
      <c r="A461" s="218"/>
      <c r="B461" s="214"/>
    </row>
    <row r="462" spans="1:2">
      <c r="A462" s="218"/>
      <c r="B462" s="214"/>
    </row>
    <row r="463" spans="1:2">
      <c r="A463" s="218"/>
      <c r="B463" s="214"/>
    </row>
    <row r="464" spans="1:2">
      <c r="A464" s="218"/>
      <c r="B464" s="214"/>
    </row>
    <row r="465" spans="1:2">
      <c r="A465" s="218"/>
      <c r="B465" s="214"/>
    </row>
    <row r="466" spans="1:2">
      <c r="A466" s="218"/>
      <c r="B466" s="214"/>
    </row>
    <row r="467" spans="1:2">
      <c r="A467" s="218"/>
      <c r="B467" s="214"/>
    </row>
    <row r="468" spans="1:2">
      <c r="A468" s="218"/>
      <c r="B468" s="214"/>
    </row>
    <row r="469" spans="1:2">
      <c r="A469" s="218"/>
      <c r="B469" s="214"/>
    </row>
    <row r="470" spans="1:2">
      <c r="A470" s="218"/>
      <c r="B470" s="214"/>
    </row>
    <row r="471" spans="1:2">
      <c r="A471" s="218"/>
      <c r="B471" s="214"/>
    </row>
    <row r="472" spans="1:2">
      <c r="A472" s="218"/>
      <c r="B472" s="214"/>
    </row>
    <row r="473" spans="1:2">
      <c r="A473" s="218"/>
      <c r="B473" s="214"/>
    </row>
    <row r="474" spans="1:2">
      <c r="A474" s="218"/>
      <c r="B474" s="214"/>
    </row>
    <row r="475" spans="1:2">
      <c r="A475" s="218"/>
      <c r="B475" s="214"/>
    </row>
    <row r="476" spans="1:2">
      <c r="A476" s="218"/>
      <c r="B476" s="214"/>
    </row>
    <row r="477" spans="1:2">
      <c r="A477" s="218"/>
      <c r="B477" s="214"/>
    </row>
    <row r="478" spans="1:2">
      <c r="A478" s="218"/>
      <c r="B478" s="214"/>
    </row>
    <row r="479" spans="1:2">
      <c r="A479" s="218"/>
      <c r="B479" s="214"/>
    </row>
    <row r="480" spans="1:2">
      <c r="A480" s="218"/>
      <c r="B480" s="214"/>
    </row>
    <row r="481" spans="1:2">
      <c r="A481" s="218"/>
      <c r="B481" s="214"/>
    </row>
    <row r="482" spans="1:2">
      <c r="A482" s="218"/>
      <c r="B482" s="214"/>
    </row>
    <row r="483" spans="1:2">
      <c r="A483" s="218"/>
      <c r="B483" s="214"/>
    </row>
    <row r="484" spans="1:2">
      <c r="A484" s="218"/>
      <c r="B484" s="214"/>
    </row>
    <row r="485" spans="1:2">
      <c r="A485" s="218"/>
      <c r="B485" s="214"/>
    </row>
    <row r="486" spans="1:2">
      <c r="A486" s="218"/>
      <c r="B486" s="214"/>
    </row>
    <row r="487" spans="1:2">
      <c r="A487" s="218"/>
      <c r="B487" s="214"/>
    </row>
    <row r="488" spans="1:2">
      <c r="A488" s="218"/>
      <c r="B488" s="214"/>
    </row>
    <row r="489" spans="1:2">
      <c r="A489" s="218"/>
      <c r="B489" s="214"/>
    </row>
    <row r="490" spans="1:2">
      <c r="A490" s="218"/>
      <c r="B490" s="214"/>
    </row>
    <row r="491" spans="1:2">
      <c r="A491" s="218"/>
      <c r="B491" s="214"/>
    </row>
    <row r="492" spans="1:2">
      <c r="A492" s="218"/>
      <c r="B492" s="214"/>
    </row>
    <row r="493" spans="1:2">
      <c r="A493" s="218"/>
      <c r="B493" s="214"/>
    </row>
    <row r="494" spans="1:2">
      <c r="A494" s="218"/>
      <c r="B494" s="214"/>
    </row>
    <row r="495" spans="1:2">
      <c r="A495" s="218"/>
      <c r="B495" s="214"/>
    </row>
    <row r="496" spans="1:2">
      <c r="A496" s="218"/>
      <c r="B496" s="214"/>
    </row>
    <row r="497" spans="1:2">
      <c r="A497" s="218"/>
      <c r="B497" s="214"/>
    </row>
    <row r="498" spans="1:2">
      <c r="A498" s="218"/>
      <c r="B498" s="214"/>
    </row>
    <row r="499" spans="1:2">
      <c r="A499" s="218"/>
      <c r="B499" s="214"/>
    </row>
    <row r="500" spans="1:2">
      <c r="A500" s="218"/>
      <c r="B500" s="214"/>
    </row>
    <row r="501" spans="1:2">
      <c r="A501" s="218"/>
      <c r="B501" s="214"/>
    </row>
    <row r="502" spans="1:2">
      <c r="A502" s="218"/>
      <c r="B502" s="214"/>
    </row>
    <row r="503" spans="1:2">
      <c r="A503" s="218"/>
      <c r="B503" s="214"/>
    </row>
    <row r="504" spans="1:2">
      <c r="A504" s="218"/>
      <c r="B504" s="214"/>
    </row>
    <row r="505" spans="1:2">
      <c r="A505" s="218"/>
      <c r="B505" s="214"/>
    </row>
    <row r="506" spans="1:2">
      <c r="A506" s="218"/>
      <c r="B506" s="214"/>
    </row>
    <row r="507" spans="1:2">
      <c r="A507" s="218"/>
      <c r="B507" s="214"/>
    </row>
    <row r="508" spans="1:2">
      <c r="A508" s="218"/>
      <c r="B508" s="214"/>
    </row>
    <row r="509" spans="1:2">
      <c r="A509" s="218"/>
      <c r="B509" s="214"/>
    </row>
    <row r="510" spans="1:2">
      <c r="A510" s="218"/>
      <c r="B510" s="214"/>
    </row>
    <row r="511" spans="1:2">
      <c r="A511" s="218"/>
      <c r="B511" s="214"/>
    </row>
    <row r="512" spans="1:2">
      <c r="A512" s="218"/>
      <c r="B512" s="214"/>
    </row>
    <row r="513" spans="1:2">
      <c r="A513" s="218"/>
      <c r="B513" s="214"/>
    </row>
    <row r="514" spans="1:2">
      <c r="A514" s="218"/>
      <c r="B514" s="214"/>
    </row>
    <row r="515" spans="1:2">
      <c r="A515" s="218"/>
      <c r="B515" s="214"/>
    </row>
    <row r="516" spans="1:2">
      <c r="A516" s="218"/>
      <c r="B516" s="214"/>
    </row>
    <row r="517" spans="1:2">
      <c r="A517" s="218"/>
      <c r="B517" s="214"/>
    </row>
    <row r="518" spans="1:2">
      <c r="A518" s="218"/>
      <c r="B518" s="214"/>
    </row>
    <row r="519" spans="1:2">
      <c r="A519" s="218"/>
      <c r="B519" s="214"/>
    </row>
    <row r="520" spans="1:2">
      <c r="A520" s="218"/>
      <c r="B520" s="214"/>
    </row>
    <row r="521" spans="1:2">
      <c r="A521" s="218"/>
      <c r="B521" s="214"/>
    </row>
    <row r="522" spans="1:2">
      <c r="A522" s="218"/>
      <c r="B522" s="214"/>
    </row>
    <row r="523" spans="1:2">
      <c r="A523" s="218"/>
      <c r="B523" s="214"/>
    </row>
    <row r="524" spans="1:2">
      <c r="A524" s="218"/>
      <c r="B524" s="214"/>
    </row>
    <row r="525" spans="1:2">
      <c r="A525" s="218"/>
      <c r="B525" s="214"/>
    </row>
    <row r="526" spans="1:2">
      <c r="A526" s="218"/>
      <c r="B526" s="214"/>
    </row>
    <row r="527" spans="1:2">
      <c r="A527" s="218"/>
      <c r="B527" s="214"/>
    </row>
    <row r="528" spans="1:2">
      <c r="A528" s="218"/>
      <c r="B528" s="214"/>
    </row>
    <row r="529" spans="1:2">
      <c r="A529" s="218"/>
      <c r="B529" s="214"/>
    </row>
    <row r="530" spans="1:2">
      <c r="A530" s="218"/>
      <c r="B530" s="214"/>
    </row>
    <row r="531" spans="1:2">
      <c r="A531" s="218"/>
      <c r="B531" s="214"/>
    </row>
    <row r="532" spans="1:2">
      <c r="A532" s="218"/>
      <c r="B532" s="214"/>
    </row>
    <row r="533" spans="1:2">
      <c r="A533" s="218"/>
      <c r="B533" s="214"/>
    </row>
    <row r="534" spans="1:2">
      <c r="A534" s="218"/>
      <c r="B534" s="214"/>
    </row>
    <row r="535" spans="1:2">
      <c r="A535" s="218"/>
      <c r="B535" s="214"/>
    </row>
    <row r="536" spans="1:2">
      <c r="A536" s="218"/>
      <c r="B536" s="214"/>
    </row>
    <row r="537" spans="1:2">
      <c r="A537" s="218"/>
      <c r="B537" s="214"/>
    </row>
    <row r="538" spans="1:2">
      <c r="A538" s="218"/>
      <c r="B538" s="214"/>
    </row>
    <row r="539" spans="1:2">
      <c r="A539" s="218"/>
      <c r="B539" s="214"/>
    </row>
    <row r="540" spans="1:2">
      <c r="A540" s="218"/>
      <c r="B540" s="214"/>
    </row>
    <row r="541" spans="1:2">
      <c r="A541" s="218"/>
      <c r="B541" s="214"/>
    </row>
    <row r="542" spans="1:2">
      <c r="A542" s="218"/>
      <c r="B542" s="214"/>
    </row>
    <row r="543" spans="1:2">
      <c r="A543" s="218"/>
      <c r="B543" s="214"/>
    </row>
    <row r="544" spans="1:2">
      <c r="A544" s="218"/>
      <c r="B544" s="214"/>
    </row>
    <row r="545" spans="1:2">
      <c r="A545" s="218"/>
      <c r="B545" s="214"/>
    </row>
    <row r="546" spans="1:2">
      <c r="A546" s="218"/>
      <c r="B546" s="214"/>
    </row>
    <row r="547" spans="1:2">
      <c r="A547" s="218"/>
      <c r="B547" s="214"/>
    </row>
    <row r="548" spans="1:2">
      <c r="A548" s="218"/>
      <c r="B548" s="214"/>
    </row>
    <row r="549" spans="1:2">
      <c r="A549" s="218"/>
      <c r="B549" s="214"/>
    </row>
    <row r="550" spans="1:2">
      <c r="A550" s="218"/>
      <c r="B550" s="214"/>
    </row>
    <row r="551" spans="1:2">
      <c r="A551" s="218"/>
      <c r="B551" s="214"/>
    </row>
    <row r="552" spans="1:2">
      <c r="A552" s="218"/>
      <c r="B552" s="214"/>
    </row>
    <row r="553" spans="1:2">
      <c r="A553" s="218"/>
      <c r="B553" s="214"/>
    </row>
    <row r="554" spans="1:2">
      <c r="A554" s="218"/>
      <c r="B554" s="214"/>
    </row>
    <row r="555" spans="1:2">
      <c r="A555" s="218"/>
      <c r="B555" s="214"/>
    </row>
    <row r="556" spans="1:2">
      <c r="A556" s="218"/>
      <c r="B556" s="214"/>
    </row>
    <row r="557" spans="1:2">
      <c r="A557" s="218"/>
      <c r="B557" s="214"/>
    </row>
    <row r="558" spans="1:2">
      <c r="A558" s="218"/>
      <c r="B558" s="214"/>
    </row>
    <row r="559" spans="1:2">
      <c r="A559" s="218"/>
      <c r="B559" s="214"/>
    </row>
    <row r="560" spans="1:2">
      <c r="A560" s="218"/>
      <c r="B560" s="214"/>
    </row>
    <row r="561" spans="1:2">
      <c r="A561" s="218"/>
      <c r="B561" s="214"/>
    </row>
    <row r="562" spans="1:2">
      <c r="A562" s="218"/>
      <c r="B562" s="214"/>
    </row>
    <row r="563" spans="1:2">
      <c r="A563" s="218"/>
      <c r="B563" s="214"/>
    </row>
    <row r="564" spans="1:2">
      <c r="A564" s="218"/>
      <c r="B564" s="214"/>
    </row>
    <row r="565" spans="1:2">
      <c r="A565" s="218"/>
      <c r="B565" s="214"/>
    </row>
    <row r="566" spans="1:2">
      <c r="A566" s="218"/>
      <c r="B566" s="214"/>
    </row>
    <row r="567" spans="1:2">
      <c r="A567" s="218"/>
      <c r="B567" s="214"/>
    </row>
    <row r="568" spans="1:2">
      <c r="A568" s="218"/>
      <c r="B568" s="214"/>
    </row>
    <row r="569" spans="1:2">
      <c r="A569" s="218"/>
      <c r="B569" s="214"/>
    </row>
    <row r="570" spans="1:2">
      <c r="A570" s="218"/>
      <c r="B570" s="214"/>
    </row>
    <row r="571" spans="1:2">
      <c r="A571" s="218"/>
      <c r="B571" s="214"/>
    </row>
    <row r="572" spans="1:2">
      <c r="A572" s="218"/>
      <c r="B572" s="214"/>
    </row>
    <row r="573" spans="1:2">
      <c r="A573" s="218"/>
      <c r="B573" s="214"/>
    </row>
    <row r="574" spans="1:2">
      <c r="A574" s="218"/>
      <c r="B574" s="214"/>
    </row>
    <row r="575" spans="1:2">
      <c r="A575" s="218"/>
      <c r="B575" s="214"/>
    </row>
    <row r="576" spans="1:2">
      <c r="A576" s="218"/>
      <c r="B576" s="214"/>
    </row>
    <row r="577" spans="1:2">
      <c r="A577" s="218"/>
      <c r="B577" s="214"/>
    </row>
    <row r="578" spans="1:2">
      <c r="A578" s="218"/>
      <c r="B578" s="214"/>
    </row>
    <row r="579" spans="1:2">
      <c r="A579" s="218"/>
      <c r="B579" s="214"/>
    </row>
    <row r="580" spans="1:2">
      <c r="A580" s="218"/>
      <c r="B580" s="214"/>
    </row>
    <row r="581" spans="1:2">
      <c r="A581" s="218"/>
      <c r="B581" s="214"/>
    </row>
    <row r="582" spans="1:2">
      <c r="A582" s="218"/>
      <c r="B582" s="214"/>
    </row>
    <row r="583" spans="1:2">
      <c r="A583" s="218"/>
      <c r="B583" s="214"/>
    </row>
    <row r="584" spans="1:2">
      <c r="A584" s="218"/>
      <c r="B584" s="214"/>
    </row>
    <row r="585" spans="1:2">
      <c r="A585" s="218"/>
      <c r="B585" s="214"/>
    </row>
    <row r="586" spans="1:2">
      <c r="A586" s="218"/>
      <c r="B586" s="214"/>
    </row>
    <row r="587" spans="1:2">
      <c r="A587" s="218"/>
      <c r="B587" s="214"/>
    </row>
    <row r="588" spans="1:2">
      <c r="A588" s="218"/>
      <c r="B588" s="214"/>
    </row>
    <row r="589" spans="1:2">
      <c r="A589" s="218"/>
      <c r="B589" s="214"/>
    </row>
    <row r="590" spans="1:2">
      <c r="A590" s="218"/>
      <c r="B590" s="214"/>
    </row>
    <row r="591" spans="1:2">
      <c r="A591" s="218"/>
      <c r="B591" s="214"/>
    </row>
    <row r="592" spans="1:2">
      <c r="A592" s="218"/>
      <c r="B592" s="214"/>
    </row>
    <row r="593" spans="1:2">
      <c r="A593" s="218"/>
      <c r="B593" s="214"/>
    </row>
    <row r="594" spans="1:2">
      <c r="A594" s="218"/>
      <c r="B594" s="214"/>
    </row>
    <row r="595" spans="1:2">
      <c r="A595" s="218"/>
      <c r="B595" s="214"/>
    </row>
    <row r="596" spans="1:2">
      <c r="A596" s="218"/>
      <c r="B596" s="214"/>
    </row>
    <row r="597" spans="1:2">
      <c r="A597" s="218"/>
      <c r="B597" s="214"/>
    </row>
    <row r="598" spans="1:2">
      <c r="A598" s="218"/>
      <c r="B598" s="214"/>
    </row>
    <row r="599" spans="1:2">
      <c r="A599" s="218"/>
      <c r="B599" s="214"/>
    </row>
    <row r="600" spans="1:2">
      <c r="A600" s="218"/>
      <c r="B600" s="214"/>
    </row>
    <row r="601" spans="1:2">
      <c r="A601" s="218"/>
      <c r="B601" s="214"/>
    </row>
    <row r="602" spans="1:2">
      <c r="A602" s="218"/>
      <c r="B602" s="214"/>
    </row>
    <row r="603" spans="1:2">
      <c r="A603" s="218"/>
      <c r="B603" s="214"/>
    </row>
    <row r="604" spans="1:2">
      <c r="A604" s="218"/>
      <c r="B604" s="214"/>
    </row>
    <row r="605" spans="1:2">
      <c r="A605" s="218"/>
      <c r="B605" s="214"/>
    </row>
    <row r="606" spans="1:2">
      <c r="A606" s="218"/>
      <c r="B606" s="214"/>
    </row>
    <row r="607" spans="1:2">
      <c r="A607" s="218"/>
      <c r="B607" s="214"/>
    </row>
    <row r="608" spans="1:2">
      <c r="A608" s="218"/>
      <c r="B608" s="214"/>
    </row>
    <row r="609" spans="1:2">
      <c r="A609" s="218"/>
      <c r="B609" s="214"/>
    </row>
    <row r="610" spans="1:2">
      <c r="A610" s="218"/>
      <c r="B610" s="214"/>
    </row>
    <row r="611" spans="1:2">
      <c r="A611" s="218"/>
      <c r="B611" s="214"/>
    </row>
    <row r="612" spans="1:2">
      <c r="A612" s="218"/>
      <c r="B612" s="214"/>
    </row>
    <row r="613" spans="1:2">
      <c r="A613" s="218"/>
      <c r="B613" s="214"/>
    </row>
    <row r="614" spans="1:2">
      <c r="A614" s="218"/>
      <c r="B614" s="214"/>
    </row>
    <row r="615" spans="1:2">
      <c r="A615" s="218"/>
      <c r="B615" s="214"/>
    </row>
    <row r="616" spans="1:2">
      <c r="A616" s="218"/>
      <c r="B616" s="214"/>
    </row>
    <row r="617" spans="1:2">
      <c r="A617" s="218"/>
      <c r="B617" s="214"/>
    </row>
    <row r="618" spans="1:2">
      <c r="A618" s="218"/>
      <c r="B618" s="214"/>
    </row>
    <row r="619" spans="1:2">
      <c r="A619" s="218"/>
      <c r="B619" s="214"/>
    </row>
    <row r="620" spans="1:2">
      <c r="A620" s="218"/>
      <c r="B620" s="214"/>
    </row>
    <row r="621" spans="1:2">
      <c r="A621" s="218"/>
      <c r="B621" s="214"/>
    </row>
    <row r="622" spans="1:2">
      <c r="A622" s="218"/>
      <c r="B622" s="214"/>
    </row>
    <row r="623" spans="1:2">
      <c r="A623" s="218"/>
      <c r="B623" s="214"/>
    </row>
    <row r="624" spans="1:2">
      <c r="A624" s="218"/>
      <c r="B624" s="214"/>
    </row>
    <row r="625" spans="1:2">
      <c r="A625" s="218"/>
      <c r="B625" s="214"/>
    </row>
    <row r="626" spans="1:2">
      <c r="A626" s="218"/>
      <c r="B626" s="214"/>
    </row>
    <row r="627" spans="1:2">
      <c r="A627" s="218"/>
      <c r="B627" s="214"/>
    </row>
    <row r="628" spans="1:2">
      <c r="A628" s="218"/>
      <c r="B628" s="214"/>
    </row>
    <row r="629" spans="1:2">
      <c r="A629" s="218"/>
      <c r="B629" s="214"/>
    </row>
    <row r="630" spans="1:2">
      <c r="A630" s="218"/>
      <c r="B630" s="214"/>
    </row>
    <row r="631" spans="1:2">
      <c r="A631" s="218"/>
      <c r="B631" s="214"/>
    </row>
    <row r="632" spans="1:2">
      <c r="A632" s="218"/>
      <c r="B632" s="214"/>
    </row>
    <row r="633" spans="1:2">
      <c r="A633" s="218"/>
      <c r="B633" s="214"/>
    </row>
    <row r="634" spans="1:2">
      <c r="A634" s="218"/>
      <c r="B634" s="214"/>
    </row>
    <row r="635" spans="1:2">
      <c r="A635" s="218"/>
      <c r="B635" s="214"/>
    </row>
    <row r="636" spans="1:2">
      <c r="A636" s="218"/>
      <c r="B636" s="214"/>
    </row>
    <row r="637" spans="1:2">
      <c r="A637" s="218"/>
      <c r="B637" s="214"/>
    </row>
    <row r="638" spans="1:2">
      <c r="A638" s="218"/>
      <c r="B638" s="214"/>
    </row>
    <row r="639" spans="1:2">
      <c r="A639" s="218"/>
      <c r="B639" s="214"/>
    </row>
    <row r="640" spans="1:2">
      <c r="A640" s="218"/>
      <c r="B640" s="214"/>
    </row>
    <row r="641" spans="1:2">
      <c r="A641" s="218"/>
      <c r="B641" s="214"/>
    </row>
    <row r="642" spans="1:2">
      <c r="A642" s="218"/>
      <c r="B642" s="214"/>
    </row>
    <row r="643" spans="1:2">
      <c r="A643" s="218"/>
      <c r="B643" s="214"/>
    </row>
    <row r="644" spans="1:2">
      <c r="A644" s="218"/>
      <c r="B644" s="214"/>
    </row>
    <row r="645" spans="1:2">
      <c r="A645" s="218"/>
      <c r="B645" s="214"/>
    </row>
    <row r="646" spans="1:2">
      <c r="A646" s="218"/>
      <c r="B646" s="214"/>
    </row>
    <row r="647" spans="1:2">
      <c r="A647" s="218"/>
      <c r="B647" s="214"/>
    </row>
    <row r="648" spans="1:2">
      <c r="A648" s="218"/>
      <c r="B648" s="214"/>
    </row>
    <row r="649" spans="1:2">
      <c r="A649" s="218"/>
      <c r="B649" s="214"/>
    </row>
    <row r="650" spans="1:2">
      <c r="A650" s="218"/>
      <c r="B650" s="214"/>
    </row>
    <row r="651" spans="1:2">
      <c r="A651" s="218"/>
      <c r="B651" s="214"/>
    </row>
    <row r="652" spans="1:2">
      <c r="A652" s="218"/>
      <c r="B652" s="214"/>
    </row>
    <row r="653" spans="1:2">
      <c r="A653" s="218"/>
      <c r="B653" s="214"/>
    </row>
    <row r="654" spans="1:2">
      <c r="A654" s="218"/>
      <c r="B654" s="214"/>
    </row>
    <row r="655" spans="1:2">
      <c r="A655" s="218"/>
      <c r="B655" s="214"/>
    </row>
    <row r="656" spans="1:2">
      <c r="A656" s="218"/>
      <c r="B656" s="214"/>
    </row>
    <row r="657" spans="1:2">
      <c r="A657" s="218"/>
      <c r="B657" s="214"/>
    </row>
    <row r="658" spans="1:2">
      <c r="A658" s="218"/>
      <c r="B658" s="214"/>
    </row>
    <row r="659" spans="1:2">
      <c r="A659" s="218"/>
      <c r="B659" s="214"/>
    </row>
    <row r="660" spans="1:2">
      <c r="A660" s="218"/>
      <c r="B660" s="214"/>
    </row>
    <row r="661" spans="1:2">
      <c r="A661" s="218"/>
      <c r="B661" s="214"/>
    </row>
    <row r="662" spans="1:2">
      <c r="A662" s="218"/>
      <c r="B662" s="214"/>
    </row>
    <row r="663" spans="1:2">
      <c r="A663" s="218"/>
      <c r="B663" s="214"/>
    </row>
    <row r="664" spans="1:2">
      <c r="A664" s="218"/>
      <c r="B664" s="214"/>
    </row>
    <row r="665" spans="1:2">
      <c r="A665" s="218"/>
      <c r="B665" s="214"/>
    </row>
    <row r="666" spans="1:2">
      <c r="A666" s="218"/>
      <c r="B666" s="214"/>
    </row>
    <row r="667" spans="1:2">
      <c r="A667" s="218"/>
      <c r="B667" s="214"/>
    </row>
    <row r="668" spans="1:2">
      <c r="A668" s="218"/>
      <c r="B668" s="214"/>
    </row>
    <row r="669" spans="1:2">
      <c r="A669" s="218"/>
      <c r="B669" s="214"/>
    </row>
    <row r="670" spans="1:2">
      <c r="A670" s="218"/>
      <c r="B670" s="214"/>
    </row>
    <row r="671" spans="1:2">
      <c r="A671" s="218"/>
      <c r="B671" s="214"/>
    </row>
    <row r="672" spans="1:2">
      <c r="A672" s="218"/>
      <c r="B672" s="214"/>
    </row>
    <row r="673" spans="1:2">
      <c r="A673" s="218"/>
      <c r="B673" s="214"/>
    </row>
    <row r="674" spans="1:2">
      <c r="A674" s="218"/>
      <c r="B674" s="214"/>
    </row>
    <row r="675" spans="1:2">
      <c r="A675" s="218"/>
      <c r="B675" s="214"/>
    </row>
    <row r="676" spans="1:2">
      <c r="A676" s="218"/>
      <c r="B676" s="214"/>
    </row>
    <row r="677" spans="1:2">
      <c r="A677" s="218"/>
      <c r="B677" s="214"/>
    </row>
    <row r="678" spans="1:2">
      <c r="A678" s="218"/>
      <c r="B678" s="214"/>
    </row>
    <row r="679" spans="1:2">
      <c r="A679" s="218"/>
      <c r="B679" s="214"/>
    </row>
    <row r="680" spans="1:2">
      <c r="A680" s="218"/>
      <c r="B680" s="214"/>
    </row>
    <row r="681" spans="1:2">
      <c r="A681" s="218"/>
      <c r="B681" s="214"/>
    </row>
    <row r="682" spans="1:2">
      <c r="A682" s="218"/>
      <c r="B682" s="214"/>
    </row>
    <row r="683" spans="1:2">
      <c r="A683" s="218"/>
      <c r="B683" s="214"/>
    </row>
    <row r="684" spans="1:2">
      <c r="A684" s="218"/>
      <c r="B684" s="214"/>
    </row>
    <row r="685" spans="1:2">
      <c r="A685" s="218"/>
      <c r="B685" s="214"/>
    </row>
    <row r="686" spans="1:2">
      <c r="A686" s="218"/>
      <c r="B686" s="214"/>
    </row>
    <row r="687" spans="1:2">
      <c r="A687" s="218"/>
      <c r="B687" s="214"/>
    </row>
    <row r="688" spans="1:2">
      <c r="A688" s="218"/>
      <c r="B688" s="214"/>
    </row>
    <row r="689" spans="1:2">
      <c r="A689" s="218"/>
      <c r="B689" s="214"/>
    </row>
    <row r="690" spans="1:2">
      <c r="A690" s="218"/>
      <c r="B690" s="214"/>
    </row>
    <row r="691" spans="1:2">
      <c r="A691" s="218"/>
      <c r="B691" s="214"/>
    </row>
    <row r="692" spans="1:2">
      <c r="A692" s="218"/>
      <c r="B692" s="214"/>
    </row>
    <row r="693" spans="1:2">
      <c r="A693" s="218"/>
      <c r="B693" s="214"/>
    </row>
    <row r="694" spans="1:2">
      <c r="A694" s="218"/>
      <c r="B694" s="214"/>
    </row>
    <row r="695" spans="1:2">
      <c r="A695" s="218"/>
      <c r="B695" s="214"/>
    </row>
    <row r="696" spans="1:2">
      <c r="A696" s="218"/>
      <c r="B696" s="214"/>
    </row>
    <row r="697" spans="1:2">
      <c r="A697" s="218"/>
      <c r="B697" s="214"/>
    </row>
    <row r="698" spans="1:2">
      <c r="A698" s="218"/>
      <c r="B698" s="214"/>
    </row>
    <row r="699" spans="1:2">
      <c r="A699" s="218"/>
      <c r="B699" s="214"/>
    </row>
    <row r="700" spans="1:2">
      <c r="A700" s="218"/>
      <c r="B700" s="214"/>
    </row>
    <row r="701" spans="1:2">
      <c r="A701" s="218"/>
      <c r="B701" s="214"/>
    </row>
    <row r="702" spans="1:2">
      <c r="A702" s="218"/>
      <c r="B702" s="214"/>
    </row>
    <row r="703" spans="1:2">
      <c r="A703" s="218"/>
      <c r="B703" s="214"/>
    </row>
    <row r="704" spans="1:2">
      <c r="A704" s="218"/>
      <c r="B704" s="214"/>
    </row>
    <row r="705" spans="1:2">
      <c r="A705" s="218"/>
      <c r="B705" s="214"/>
    </row>
    <row r="706" spans="1:2">
      <c r="A706" s="218"/>
      <c r="B706" s="214"/>
    </row>
    <row r="707" spans="1:2">
      <c r="A707" s="218"/>
      <c r="B707" s="214"/>
    </row>
    <row r="708" spans="1:2">
      <c r="A708" s="218"/>
      <c r="B708" s="214"/>
    </row>
    <row r="709" spans="1:2">
      <c r="A709" s="218"/>
      <c r="B709" s="214"/>
    </row>
    <row r="710" spans="1:2">
      <c r="A710" s="218"/>
      <c r="B710" s="214"/>
    </row>
    <row r="711" spans="1:2">
      <c r="A711" s="218"/>
      <c r="B711" s="214"/>
    </row>
    <row r="712" spans="1:2">
      <c r="A712" s="218"/>
      <c r="B712" s="214"/>
    </row>
    <row r="713" spans="1:2">
      <c r="A713" s="218"/>
      <c r="B713" s="214"/>
    </row>
    <row r="714" spans="1:2">
      <c r="A714" s="218"/>
      <c r="B714" s="214"/>
    </row>
    <row r="715" spans="1:2">
      <c r="A715" s="218"/>
      <c r="B715" s="214"/>
    </row>
    <row r="716" spans="1:2">
      <c r="A716" s="218"/>
      <c r="B716" s="214"/>
    </row>
    <row r="717" spans="1:2">
      <c r="A717" s="218"/>
      <c r="B717" s="214"/>
    </row>
    <row r="718" spans="1:2">
      <c r="A718" s="218"/>
      <c r="B718" s="214"/>
    </row>
    <row r="719" spans="1:2">
      <c r="A719" s="218"/>
      <c r="B719" s="214"/>
    </row>
    <row r="720" spans="1:2">
      <c r="A720" s="218"/>
      <c r="B720" s="214"/>
    </row>
    <row r="721" spans="1:2">
      <c r="A721" s="218"/>
      <c r="B721" s="214"/>
    </row>
    <row r="722" spans="1:2">
      <c r="A722" s="218"/>
      <c r="B722" s="214"/>
    </row>
    <row r="723" spans="1:2">
      <c r="A723" s="218"/>
      <c r="B723" s="214"/>
    </row>
    <row r="724" spans="1:2">
      <c r="A724" s="218"/>
      <c r="B724" s="214"/>
    </row>
    <row r="725" spans="1:2">
      <c r="A725" s="218"/>
      <c r="B725" s="214"/>
    </row>
    <row r="726" spans="1:2">
      <c r="A726" s="218"/>
      <c r="B726" s="214"/>
    </row>
    <row r="727" spans="1:2">
      <c r="A727" s="218"/>
      <c r="B727" s="214"/>
    </row>
    <row r="728" spans="1:2">
      <c r="A728" s="218"/>
      <c r="B728" s="214"/>
    </row>
    <row r="729" spans="1:2">
      <c r="A729" s="218"/>
      <c r="B729" s="214"/>
    </row>
    <row r="730" spans="1:2">
      <c r="A730" s="218"/>
      <c r="B730" s="214"/>
    </row>
    <row r="731" spans="1:2">
      <c r="A731" s="218"/>
      <c r="B731" s="214"/>
    </row>
    <row r="732" spans="1:2">
      <c r="A732" s="218"/>
      <c r="B732" s="214"/>
    </row>
    <row r="733" spans="1:2">
      <c r="A733" s="218"/>
      <c r="B733" s="214"/>
    </row>
    <row r="734" spans="1:2">
      <c r="A734" s="218"/>
      <c r="B734" s="214"/>
    </row>
    <row r="735" spans="1:2">
      <c r="A735" s="218"/>
      <c r="B735" s="214"/>
    </row>
    <row r="736" spans="1:2">
      <c r="A736" s="218"/>
      <c r="B736" s="214"/>
    </row>
    <row r="737" spans="1:2">
      <c r="A737" s="218"/>
      <c r="B737" s="214"/>
    </row>
    <row r="738" spans="1:2">
      <c r="A738" s="218"/>
      <c r="B738" s="214"/>
    </row>
    <row r="739" spans="1:2">
      <c r="A739" s="218"/>
      <c r="B739" s="214"/>
    </row>
    <row r="740" spans="1:2">
      <c r="A740" s="218"/>
      <c r="B740" s="214"/>
    </row>
    <row r="741" spans="1:2">
      <c r="A741" s="218"/>
      <c r="B741" s="214"/>
    </row>
    <row r="742" spans="1:2">
      <c r="A742" s="218"/>
      <c r="B742" s="214"/>
    </row>
    <row r="743" spans="1:2">
      <c r="A743" s="218"/>
      <c r="B743" s="214"/>
    </row>
    <row r="744" spans="1:2">
      <c r="A744" s="218"/>
      <c r="B744" s="214"/>
    </row>
    <row r="745" spans="1:2">
      <c r="A745" s="218"/>
      <c r="B745" s="214"/>
    </row>
    <row r="746" spans="1:2">
      <c r="A746" s="218"/>
      <c r="B746" s="214"/>
    </row>
    <row r="747" spans="1:2">
      <c r="A747" s="218"/>
      <c r="B747" s="214"/>
    </row>
    <row r="748" spans="1:2">
      <c r="A748" s="218"/>
      <c r="B748" s="214"/>
    </row>
    <row r="749" spans="1:2">
      <c r="A749" s="218"/>
      <c r="B749" s="214"/>
    </row>
    <row r="750" spans="1:2">
      <c r="A750" s="218"/>
      <c r="B750" s="214"/>
    </row>
    <row r="751" spans="1:2">
      <c r="A751" s="218"/>
      <c r="B751" s="214"/>
    </row>
    <row r="752" spans="1:2">
      <c r="A752" s="218"/>
      <c r="B752" s="214"/>
    </row>
    <row r="753" spans="1:2">
      <c r="A753" s="218"/>
      <c r="B753" s="214"/>
    </row>
    <row r="754" spans="1:2">
      <c r="A754" s="218"/>
      <c r="B754" s="214"/>
    </row>
    <row r="755" spans="1:2">
      <c r="A755" s="218"/>
      <c r="B755" s="214"/>
    </row>
    <row r="756" spans="1:2">
      <c r="A756" s="218"/>
      <c r="B756" s="214"/>
    </row>
    <row r="757" spans="1:2">
      <c r="A757" s="218"/>
      <c r="B757" s="214"/>
    </row>
    <row r="758" spans="1:2">
      <c r="A758" s="218"/>
      <c r="B758" s="214"/>
    </row>
    <row r="759" spans="1:2">
      <c r="A759" s="218"/>
      <c r="B759" s="214"/>
    </row>
    <row r="760" spans="1:2">
      <c r="A760" s="218"/>
      <c r="B760" s="214"/>
    </row>
    <row r="761" spans="1:2">
      <c r="A761" s="218"/>
      <c r="B761" s="214"/>
    </row>
    <row r="762" spans="1:2">
      <c r="A762" s="218"/>
      <c r="B762" s="214"/>
    </row>
    <row r="763" spans="1:2">
      <c r="A763" s="218"/>
      <c r="B763" s="214"/>
    </row>
    <row r="764" spans="1:2">
      <c r="A764" s="218"/>
      <c r="B764" s="214"/>
    </row>
    <row r="765" spans="1:2">
      <c r="A765" s="218"/>
      <c r="B765" s="214"/>
    </row>
    <row r="766" spans="1:2">
      <c r="A766" s="218"/>
      <c r="B766" s="214"/>
    </row>
    <row r="767" spans="1:2">
      <c r="A767" s="218"/>
      <c r="B767" s="214"/>
    </row>
    <row r="768" spans="1:2">
      <c r="A768" s="218"/>
      <c r="B768" s="214"/>
    </row>
    <row r="769" spans="1:2">
      <c r="A769" s="218"/>
      <c r="B769" s="214"/>
    </row>
    <row r="770" spans="1:2">
      <c r="A770" s="218"/>
      <c r="B770" s="214"/>
    </row>
    <row r="771" spans="1:2">
      <c r="A771" s="218"/>
      <c r="B771" s="214"/>
    </row>
    <row r="772" spans="1:2">
      <c r="A772" s="218"/>
      <c r="B772" s="214"/>
    </row>
    <row r="773" spans="1:2">
      <c r="A773" s="218"/>
      <c r="B773" s="214"/>
    </row>
    <row r="774" spans="1:2">
      <c r="A774" s="218"/>
      <c r="B774" s="214"/>
    </row>
    <row r="775" spans="1:2">
      <c r="A775" s="218"/>
      <c r="B775" s="214"/>
    </row>
    <row r="776" spans="1:2">
      <c r="A776" s="218"/>
      <c r="B776" s="214"/>
    </row>
    <row r="777" spans="1:2">
      <c r="A777" s="218"/>
      <c r="B777" s="214"/>
    </row>
    <row r="778" spans="1:2">
      <c r="A778" s="218"/>
      <c r="B778" s="214"/>
    </row>
    <row r="779" spans="1:2">
      <c r="A779" s="218"/>
      <c r="B779" s="214"/>
    </row>
    <row r="780" spans="1:2">
      <c r="A780" s="218"/>
      <c r="B780" s="214"/>
    </row>
    <row r="781" spans="1:2">
      <c r="A781" s="218"/>
      <c r="B781" s="214"/>
    </row>
    <row r="782" spans="1:2">
      <c r="A782" s="218"/>
      <c r="B782" s="214"/>
    </row>
    <row r="783" spans="1:2">
      <c r="A783" s="218"/>
      <c r="B783" s="214"/>
    </row>
    <row r="784" spans="1:2">
      <c r="A784" s="218"/>
      <c r="B784" s="214"/>
    </row>
    <row r="785" spans="1:2">
      <c r="A785" s="218"/>
      <c r="B785" s="214"/>
    </row>
    <row r="786" spans="1:2">
      <c r="A786" s="218"/>
      <c r="B786" s="214"/>
    </row>
    <row r="787" spans="1:2">
      <c r="A787" s="218"/>
      <c r="B787" s="214"/>
    </row>
    <row r="788" spans="1:2">
      <c r="A788" s="218"/>
      <c r="B788" s="214"/>
    </row>
    <row r="789" spans="1:2">
      <c r="A789" s="218"/>
      <c r="B789" s="214"/>
    </row>
    <row r="790" spans="1:2">
      <c r="A790" s="218"/>
      <c r="B790" s="214"/>
    </row>
    <row r="791" spans="1:2">
      <c r="A791" s="218"/>
      <c r="B791" s="214"/>
    </row>
    <row r="792" spans="1:2">
      <c r="A792" s="218"/>
      <c r="B792" s="214"/>
    </row>
    <row r="793" spans="1:2">
      <c r="A793" s="218"/>
      <c r="B793" s="214"/>
    </row>
    <row r="794" spans="1:2">
      <c r="A794" s="218"/>
      <c r="B794" s="214"/>
    </row>
    <row r="795" spans="1:2">
      <c r="A795" s="218"/>
      <c r="B795" s="214"/>
    </row>
    <row r="796" spans="1:2">
      <c r="A796" s="218"/>
      <c r="B796" s="214"/>
    </row>
    <row r="797" spans="1:2">
      <c r="A797" s="218"/>
      <c r="B797" s="214"/>
    </row>
    <row r="798" spans="1:2">
      <c r="A798" s="218"/>
      <c r="B798" s="214"/>
    </row>
    <row r="799" spans="1:2">
      <c r="A799" s="218"/>
      <c r="B799" s="214"/>
    </row>
    <row r="800" spans="1:2">
      <c r="A800" s="218"/>
      <c r="B800" s="214"/>
    </row>
    <row r="801" spans="1:2">
      <c r="A801" s="218"/>
      <c r="B801" s="214"/>
    </row>
    <row r="802" spans="1:2">
      <c r="A802" s="218"/>
      <c r="B802" s="214"/>
    </row>
    <row r="803" spans="1:2">
      <c r="A803" s="218"/>
      <c r="B803" s="214"/>
    </row>
    <row r="804" spans="1:2">
      <c r="A804" s="218"/>
      <c r="B804" s="214"/>
    </row>
    <row r="805" spans="1:2">
      <c r="A805" s="218"/>
      <c r="B805" s="214"/>
    </row>
    <row r="806" spans="1:2">
      <c r="A806" s="218"/>
      <c r="B806" s="214"/>
    </row>
    <row r="807" spans="1:2">
      <c r="A807" s="218"/>
      <c r="B807" s="214"/>
    </row>
    <row r="808" spans="1:2">
      <c r="A808" s="218"/>
      <c r="B808" s="214"/>
    </row>
    <row r="809" spans="1:2">
      <c r="A809" s="218"/>
      <c r="B809" s="214"/>
    </row>
    <row r="810" spans="1:2">
      <c r="A810" s="218"/>
      <c r="B810" s="214"/>
    </row>
    <row r="811" spans="1:2">
      <c r="A811" s="218"/>
      <c r="B811" s="214"/>
    </row>
    <row r="812" spans="1:2">
      <c r="A812" s="218"/>
      <c r="B812" s="214"/>
    </row>
    <row r="813" spans="1:2">
      <c r="A813" s="218"/>
      <c r="B813" s="214"/>
    </row>
    <row r="814" spans="1:2">
      <c r="A814" s="218"/>
      <c r="B814" s="214"/>
    </row>
    <row r="815" spans="1:2">
      <c r="A815" s="218"/>
      <c r="B815" s="214"/>
    </row>
    <row r="816" spans="1:2">
      <c r="A816" s="218"/>
      <c r="B816" s="214"/>
    </row>
    <row r="817" spans="1:2">
      <c r="A817" s="218"/>
      <c r="B817" s="214"/>
    </row>
    <row r="818" spans="1:2">
      <c r="A818" s="218"/>
      <c r="B818" s="214"/>
    </row>
    <row r="819" spans="1:2">
      <c r="A819" s="218"/>
      <c r="B819" s="214"/>
    </row>
    <row r="820" spans="1:2">
      <c r="A820" s="218"/>
      <c r="B820" s="214"/>
    </row>
    <row r="821" spans="1:2">
      <c r="A821" s="218"/>
      <c r="B821" s="214"/>
    </row>
    <row r="822" spans="1:2">
      <c r="A822" s="218"/>
      <c r="B822" s="214"/>
    </row>
    <row r="823" spans="1:2">
      <c r="A823" s="218"/>
      <c r="B823" s="214"/>
    </row>
    <row r="824" spans="1:2">
      <c r="A824" s="218"/>
      <c r="B824" s="214"/>
    </row>
    <row r="825" spans="1:2">
      <c r="A825" s="218"/>
      <c r="B825" s="214"/>
    </row>
    <row r="826" spans="1:2">
      <c r="A826" s="218"/>
      <c r="B826" s="214"/>
    </row>
    <row r="827" spans="1:2">
      <c r="A827" s="218"/>
      <c r="B827" s="214"/>
    </row>
    <row r="828" spans="1:2">
      <c r="A828" s="218"/>
      <c r="B828" s="214"/>
    </row>
    <row r="829" spans="1:2">
      <c r="A829" s="218"/>
      <c r="B829" s="214"/>
    </row>
    <row r="830" spans="1:2">
      <c r="A830" s="218"/>
      <c r="B830" s="214"/>
    </row>
    <row r="831" spans="1:2">
      <c r="A831" s="218"/>
      <c r="B831" s="214"/>
    </row>
    <row r="832" spans="1:2">
      <c r="A832" s="218"/>
      <c r="B832" s="214"/>
    </row>
    <row r="833" spans="1:2">
      <c r="A833" s="218"/>
      <c r="B833" s="214"/>
    </row>
    <row r="834" spans="1:2">
      <c r="A834" s="218"/>
      <c r="B834" s="214"/>
    </row>
    <row r="835" spans="1:2">
      <c r="A835" s="218"/>
      <c r="B835" s="214"/>
    </row>
    <row r="836" spans="1:2">
      <c r="A836" s="218"/>
      <c r="B836" s="214"/>
    </row>
    <row r="837" spans="1:2">
      <c r="A837" s="218"/>
      <c r="B837" s="214"/>
    </row>
    <row r="838" spans="1:2">
      <c r="A838" s="218"/>
      <c r="B838" s="214"/>
    </row>
    <row r="839" spans="1:2">
      <c r="A839" s="218"/>
      <c r="B839" s="214"/>
    </row>
    <row r="840" spans="1:2">
      <c r="A840" s="218"/>
      <c r="B840" s="214"/>
    </row>
    <row r="841" spans="1:2">
      <c r="A841" s="218"/>
      <c r="B841" s="214"/>
    </row>
    <row r="842" spans="1:2">
      <c r="A842" s="218"/>
      <c r="B842" s="214"/>
    </row>
    <row r="843" spans="1:2">
      <c r="A843" s="218"/>
      <c r="B843" s="214"/>
    </row>
    <row r="844" spans="1:2">
      <c r="A844" s="218"/>
      <c r="B844" s="214"/>
    </row>
    <row r="845" spans="1:2">
      <c r="A845" s="218"/>
      <c r="B845" s="214"/>
    </row>
    <row r="846" spans="1:2">
      <c r="A846" s="218"/>
      <c r="B846" s="214"/>
    </row>
    <row r="847" spans="1:2">
      <c r="A847" s="218"/>
      <c r="B847" s="214"/>
    </row>
    <row r="848" spans="1:2">
      <c r="A848" s="218"/>
      <c r="B848" s="214"/>
    </row>
    <row r="849" spans="1:2">
      <c r="A849" s="218"/>
      <c r="B849" s="214"/>
    </row>
    <row r="850" spans="1:2">
      <c r="A850" s="218"/>
      <c r="B850" s="214"/>
    </row>
    <row r="851" spans="1:2">
      <c r="A851" s="218"/>
      <c r="B851" s="214"/>
    </row>
    <row r="852" spans="1:2">
      <c r="A852" s="218"/>
      <c r="B852" s="214"/>
    </row>
    <row r="853" spans="1:2">
      <c r="A853" s="218"/>
      <c r="B853" s="214"/>
    </row>
    <row r="854" spans="1:2">
      <c r="A854" s="218"/>
      <c r="B854" s="214"/>
    </row>
    <row r="855" spans="1:2">
      <c r="A855" s="218"/>
      <c r="B855" s="214"/>
    </row>
    <row r="856" spans="1:2">
      <c r="A856" s="218"/>
      <c r="B856" s="214"/>
    </row>
    <row r="857" spans="1:2">
      <c r="A857" s="218"/>
      <c r="B857" s="214"/>
    </row>
    <row r="858" spans="1:2">
      <c r="A858" s="218"/>
      <c r="B858" s="214"/>
    </row>
    <row r="859" spans="1:2">
      <c r="A859" s="218"/>
      <c r="B859" s="214"/>
    </row>
    <row r="860" spans="1:2">
      <c r="A860" s="218"/>
      <c r="B860" s="214"/>
    </row>
    <row r="861" spans="1:2">
      <c r="A861" s="218"/>
      <c r="B861" s="214"/>
    </row>
    <row r="862" spans="1:2">
      <c r="A862" s="218"/>
      <c r="B862" s="214"/>
    </row>
    <row r="863" spans="1:2">
      <c r="A863" s="218"/>
      <c r="B863" s="214"/>
    </row>
    <row r="864" spans="1:2">
      <c r="A864" s="218"/>
      <c r="B864" s="214"/>
    </row>
    <row r="865" spans="1:2">
      <c r="A865" s="218"/>
      <c r="B865" s="214"/>
    </row>
    <row r="866" spans="1:2">
      <c r="A866" s="218"/>
      <c r="B866" s="214"/>
    </row>
    <row r="867" spans="1:2">
      <c r="A867" s="218"/>
      <c r="B867" s="214"/>
    </row>
    <row r="868" spans="1:2">
      <c r="A868" s="218"/>
      <c r="B868" s="214"/>
    </row>
    <row r="869" spans="1:2">
      <c r="A869" s="218"/>
      <c r="B869" s="214"/>
    </row>
    <row r="870" spans="1:2">
      <c r="A870" s="218"/>
      <c r="B870" s="214"/>
    </row>
    <row r="871" spans="1:2">
      <c r="A871" s="218"/>
      <c r="B871" s="214"/>
    </row>
    <row r="872" spans="1:2">
      <c r="A872" s="218"/>
      <c r="B872" s="214"/>
    </row>
    <row r="873" spans="1:2">
      <c r="A873" s="218"/>
      <c r="B873" s="214"/>
    </row>
    <row r="874" spans="1:2">
      <c r="A874" s="218"/>
      <c r="B874" s="214"/>
    </row>
    <row r="875" spans="1:2">
      <c r="A875" s="218"/>
      <c r="B875" s="214"/>
    </row>
    <row r="876" spans="1:2">
      <c r="A876" s="218"/>
      <c r="B876" s="214"/>
    </row>
    <row r="877" spans="1:2">
      <c r="A877" s="218"/>
      <c r="B877" s="214"/>
    </row>
    <row r="878" spans="1:2">
      <c r="A878" s="218"/>
      <c r="B878" s="214"/>
    </row>
    <row r="879" spans="1:2">
      <c r="A879" s="218"/>
      <c r="B879" s="214"/>
    </row>
    <row r="880" spans="1:2">
      <c r="A880" s="218"/>
      <c r="B880" s="214"/>
    </row>
    <row r="881" spans="1:2">
      <c r="A881" s="218"/>
      <c r="B881" s="214"/>
    </row>
    <row r="882" spans="1:2">
      <c r="A882" s="218"/>
      <c r="B882" s="214"/>
    </row>
    <row r="883" spans="1:2">
      <c r="A883" s="218"/>
      <c r="B883" s="214"/>
    </row>
    <row r="884" spans="1:2">
      <c r="A884" s="218"/>
      <c r="B884" s="214"/>
    </row>
    <row r="885" spans="1:2">
      <c r="A885" s="218"/>
      <c r="B885" s="214"/>
    </row>
    <row r="886" spans="1:2">
      <c r="A886" s="218"/>
      <c r="B886" s="214"/>
    </row>
    <row r="887" spans="1:2">
      <c r="A887" s="218"/>
      <c r="B887" s="214"/>
    </row>
    <row r="888" spans="1:2">
      <c r="A888" s="218"/>
      <c r="B888" s="214"/>
    </row>
    <row r="889" spans="1:2">
      <c r="A889" s="218"/>
      <c r="B889" s="214"/>
    </row>
    <row r="890" spans="1:2">
      <c r="A890" s="218"/>
      <c r="B890" s="214"/>
    </row>
    <row r="891" spans="1:2">
      <c r="A891" s="218"/>
      <c r="B891" s="214"/>
    </row>
    <row r="892" spans="1:2">
      <c r="A892" s="218"/>
      <c r="B892" s="214"/>
    </row>
    <row r="893" spans="1:2">
      <c r="A893" s="218"/>
      <c r="B893" s="214"/>
    </row>
    <row r="894" spans="1:2">
      <c r="A894" s="218"/>
      <c r="B894" s="214"/>
    </row>
    <row r="895" spans="1:2">
      <c r="A895" s="218"/>
      <c r="B895" s="214"/>
    </row>
    <row r="896" spans="1:2">
      <c r="A896" s="218"/>
      <c r="B896" s="214"/>
    </row>
    <row r="897" spans="1:2">
      <c r="A897" s="218"/>
      <c r="B897" s="214"/>
    </row>
    <row r="898" spans="1:2">
      <c r="A898" s="218"/>
      <c r="B898" s="214"/>
    </row>
    <row r="899" spans="1:2">
      <c r="A899" s="218"/>
      <c r="B899" s="214"/>
    </row>
    <row r="900" spans="1:2">
      <c r="A900" s="218"/>
      <c r="B900" s="214"/>
    </row>
    <row r="901" spans="1:2">
      <c r="A901" s="218"/>
      <c r="B901" s="214"/>
    </row>
    <row r="902" spans="1:2">
      <c r="A902" s="218"/>
      <c r="B902" s="214"/>
    </row>
    <row r="903" spans="1:2">
      <c r="A903" s="218"/>
      <c r="B903" s="214"/>
    </row>
    <row r="904" spans="1:2">
      <c r="A904" s="218"/>
      <c r="B904" s="214"/>
    </row>
    <row r="905" spans="1:2">
      <c r="A905" s="218"/>
      <c r="B905" s="214"/>
    </row>
    <row r="906" spans="1:2">
      <c r="A906" s="218"/>
      <c r="B906" s="214"/>
    </row>
    <row r="907" spans="1:2">
      <c r="A907" s="218"/>
      <c r="B907" s="214"/>
    </row>
    <row r="908" spans="1:2">
      <c r="A908" s="218"/>
      <c r="B908" s="214"/>
    </row>
    <row r="909" spans="1:2">
      <c r="A909" s="218"/>
      <c r="B909" s="214"/>
    </row>
    <row r="910" spans="1:2">
      <c r="A910" s="218"/>
      <c r="B910" s="214"/>
    </row>
    <row r="911" spans="1:2">
      <c r="A911" s="218"/>
      <c r="B911" s="214"/>
    </row>
    <row r="912" spans="1:2">
      <c r="A912" s="218"/>
      <c r="B912" s="214"/>
    </row>
    <row r="913" spans="1:2">
      <c r="A913" s="218"/>
      <c r="B913" s="214"/>
    </row>
    <row r="914" spans="1:2">
      <c r="A914" s="218"/>
      <c r="B914" s="214"/>
    </row>
    <row r="915" spans="1:2">
      <c r="A915" s="218"/>
      <c r="B915" s="214"/>
    </row>
    <row r="916" spans="1:2">
      <c r="A916" s="218"/>
      <c r="B916" s="214"/>
    </row>
    <row r="917" spans="1:2">
      <c r="A917" s="218"/>
      <c r="B917" s="214"/>
    </row>
    <row r="918" spans="1:2">
      <c r="A918" s="218"/>
      <c r="B918" s="214"/>
    </row>
    <row r="919" spans="1:2">
      <c r="A919" s="218"/>
      <c r="B919" s="214"/>
    </row>
    <row r="920" spans="1:2">
      <c r="A920" s="218"/>
      <c r="B920" s="214"/>
    </row>
    <row r="921" spans="1:2">
      <c r="A921" s="218"/>
      <c r="B921" s="214"/>
    </row>
    <row r="922" spans="1:2">
      <c r="A922" s="218"/>
      <c r="B922" s="214"/>
    </row>
    <row r="923" spans="1:2">
      <c r="A923" s="218"/>
      <c r="B923" s="214"/>
    </row>
    <row r="924" spans="1:2">
      <c r="A924" s="218"/>
      <c r="B924" s="214"/>
    </row>
    <row r="925" spans="1:2">
      <c r="A925" s="218"/>
      <c r="B925" s="214"/>
    </row>
    <row r="926" spans="1:2">
      <c r="A926" s="218"/>
      <c r="B926" s="214"/>
    </row>
    <row r="927" spans="1:2">
      <c r="A927" s="218"/>
      <c r="B927" s="214"/>
    </row>
    <row r="928" spans="1:2">
      <c r="A928" s="218"/>
      <c r="B928" s="214"/>
    </row>
    <row r="929" spans="1:2">
      <c r="A929" s="218"/>
      <c r="B929" s="214"/>
    </row>
    <row r="930" spans="1:2">
      <c r="A930" s="218"/>
      <c r="B930" s="214"/>
    </row>
    <row r="931" spans="1:2">
      <c r="A931" s="218"/>
      <c r="B931" s="214"/>
    </row>
    <row r="932" spans="1:2">
      <c r="A932" s="218"/>
      <c r="B932" s="214"/>
    </row>
    <row r="933" spans="1:2">
      <c r="A933" s="218"/>
      <c r="B933" s="214"/>
    </row>
    <row r="934" spans="1:2">
      <c r="A934" s="218"/>
      <c r="B934" s="214"/>
    </row>
    <row r="935" spans="1:2">
      <c r="A935" s="218"/>
      <c r="B935" s="214"/>
    </row>
    <row r="936" spans="1:2">
      <c r="A936" s="218"/>
      <c r="B936" s="214"/>
    </row>
    <row r="937" spans="1:2">
      <c r="A937" s="218"/>
      <c r="B937" s="214"/>
    </row>
    <row r="938" spans="1:2">
      <c r="A938" s="218"/>
      <c r="B938" s="214"/>
    </row>
    <row r="939" spans="1:2">
      <c r="A939" s="218"/>
      <c r="B939" s="214"/>
    </row>
    <row r="940" spans="1:2">
      <c r="A940" s="218"/>
      <c r="B940" s="214"/>
    </row>
    <row r="941" spans="1:2">
      <c r="A941" s="218"/>
      <c r="B941" s="214"/>
    </row>
    <row r="942" spans="1:2">
      <c r="A942" s="218"/>
      <c r="B942" s="214"/>
    </row>
    <row r="943" spans="1:2">
      <c r="A943" s="218"/>
      <c r="B943" s="214"/>
    </row>
    <row r="944" spans="1:2">
      <c r="A944" s="218"/>
      <c r="B944" s="214"/>
    </row>
    <row r="945" spans="1:2">
      <c r="A945" s="218"/>
      <c r="B945" s="214"/>
    </row>
    <row r="946" spans="1:2">
      <c r="A946" s="218"/>
      <c r="B946" s="214"/>
    </row>
    <row r="947" spans="1:2">
      <c r="A947" s="218"/>
      <c r="B947" s="214"/>
    </row>
    <row r="948" spans="1:2">
      <c r="A948" s="218"/>
      <c r="B948" s="214"/>
    </row>
    <row r="949" spans="1:2">
      <c r="A949" s="218"/>
      <c r="B949" s="214"/>
    </row>
    <row r="950" spans="1:2">
      <c r="A950" s="218"/>
      <c r="B950" s="214"/>
    </row>
    <row r="951" spans="1:2">
      <c r="A951" s="218"/>
      <c r="B951" s="214"/>
    </row>
    <row r="952" spans="1:2">
      <c r="A952" s="218"/>
      <c r="B952" s="214"/>
    </row>
    <row r="953" spans="1:2">
      <c r="A953" s="218"/>
      <c r="B953" s="214"/>
    </row>
    <row r="954" spans="1:2">
      <c r="A954" s="218"/>
      <c r="B954" s="214"/>
    </row>
    <row r="955" spans="1:2">
      <c r="A955" s="218"/>
      <c r="B955" s="214"/>
    </row>
    <row r="956" spans="1:2">
      <c r="A956" s="218"/>
      <c r="B956" s="214"/>
    </row>
    <row r="957" spans="1:2">
      <c r="A957" s="218"/>
      <c r="B957" s="214"/>
    </row>
    <row r="958" spans="1:2">
      <c r="A958" s="218"/>
      <c r="B958" s="214"/>
    </row>
    <row r="959" spans="1:2">
      <c r="A959" s="218"/>
      <c r="B959" s="214"/>
    </row>
    <row r="960" spans="1:2">
      <c r="A960" s="218"/>
      <c r="B960" s="214"/>
    </row>
    <row r="961" spans="1:2">
      <c r="A961" s="218"/>
      <c r="B961" s="214"/>
    </row>
    <row r="962" spans="1:2">
      <c r="A962" s="218"/>
      <c r="B962" s="214"/>
    </row>
    <row r="963" spans="1:2">
      <c r="A963" s="218"/>
      <c r="B963" s="214"/>
    </row>
    <row r="964" spans="1:2">
      <c r="A964" s="218"/>
      <c r="B964" s="214"/>
    </row>
    <row r="965" spans="1:2">
      <c r="A965" s="218"/>
      <c r="B965" s="214"/>
    </row>
    <row r="966" spans="1:2">
      <c r="A966" s="218"/>
      <c r="B966" s="214"/>
    </row>
    <row r="967" spans="1:2">
      <c r="A967" s="218"/>
      <c r="B967" s="214"/>
    </row>
    <row r="968" spans="1:2">
      <c r="A968" s="218"/>
      <c r="B968" s="214"/>
    </row>
    <row r="969" spans="1:2">
      <c r="A969" s="218"/>
      <c r="B969" s="214"/>
    </row>
    <row r="970" spans="1:2">
      <c r="A970" s="218"/>
      <c r="B970" s="214"/>
    </row>
    <row r="971" spans="1:2">
      <c r="A971" s="218"/>
      <c r="B971" s="214"/>
    </row>
    <row r="972" spans="1:2">
      <c r="A972" s="218"/>
      <c r="B972" s="214"/>
    </row>
    <row r="973" spans="1:2">
      <c r="A973" s="218"/>
      <c r="B973" s="214"/>
    </row>
    <row r="974" spans="1:2">
      <c r="A974" s="218"/>
      <c r="B974" s="214"/>
    </row>
    <row r="975" spans="1:2">
      <c r="A975" s="218"/>
      <c r="B975" s="214"/>
    </row>
    <row r="976" spans="1:2">
      <c r="A976" s="218"/>
      <c r="B976" s="214"/>
    </row>
    <row r="977" spans="1:2">
      <c r="A977" s="218"/>
      <c r="B977" s="214"/>
    </row>
    <row r="978" spans="1:2">
      <c r="A978" s="218"/>
      <c r="B978" s="214"/>
    </row>
    <row r="979" spans="1:2">
      <c r="A979" s="218"/>
      <c r="B979" s="214"/>
    </row>
    <row r="980" spans="1:2">
      <c r="A980" s="218"/>
      <c r="B980" s="214"/>
    </row>
    <row r="981" spans="1:2">
      <c r="A981" s="218"/>
      <c r="B981" s="214"/>
    </row>
    <row r="982" spans="1:2">
      <c r="A982" s="218"/>
      <c r="B982" s="214"/>
    </row>
    <row r="983" spans="1:2">
      <c r="A983" s="218"/>
      <c r="B983" s="214"/>
    </row>
    <row r="984" spans="1:2">
      <c r="A984" s="218"/>
      <c r="B984" s="214"/>
    </row>
    <row r="985" spans="1:2">
      <c r="A985" s="218"/>
      <c r="B985" s="214"/>
    </row>
    <row r="986" spans="1:2">
      <c r="A986" s="218"/>
      <c r="B986" s="214"/>
    </row>
    <row r="987" spans="1:2">
      <c r="A987" s="218"/>
      <c r="B987" s="214"/>
    </row>
    <row r="988" spans="1:2">
      <c r="A988" s="218"/>
      <c r="B988" s="214"/>
    </row>
    <row r="989" spans="1:2">
      <c r="A989" s="218"/>
      <c r="B989" s="214"/>
    </row>
    <row r="990" spans="1:2">
      <c r="A990" s="218"/>
      <c r="B990" s="214"/>
    </row>
    <row r="991" spans="1:2">
      <c r="A991" s="218"/>
      <c r="B991" s="214"/>
    </row>
    <row r="992" spans="1:2">
      <c r="A992" s="218"/>
      <c r="B992" s="214"/>
    </row>
    <row r="993" spans="1:2">
      <c r="A993" s="218"/>
      <c r="B993" s="214"/>
    </row>
    <row r="994" spans="1:2">
      <c r="A994" s="218"/>
      <c r="B994" s="214"/>
    </row>
    <row r="995" spans="1:2">
      <c r="A995" s="218"/>
      <c r="B995" s="214"/>
    </row>
    <row r="996" spans="1:2">
      <c r="A996" s="218"/>
      <c r="B996" s="214"/>
    </row>
    <row r="997" spans="1:2">
      <c r="A997" s="218"/>
      <c r="B997" s="214"/>
    </row>
    <row r="998" spans="1:2">
      <c r="A998" s="218"/>
      <c r="B998" s="214"/>
    </row>
    <row r="999" spans="1:2">
      <c r="A999" s="218"/>
      <c r="B999" s="214"/>
    </row>
    <row r="1000" spans="1:2">
      <c r="A1000" s="218"/>
      <c r="B1000" s="214"/>
    </row>
    <row r="1001" spans="1:2">
      <c r="A1001" s="218"/>
      <c r="B1001" s="214"/>
    </row>
    <row r="1002" spans="1:2">
      <c r="A1002" s="218"/>
      <c r="B1002" s="214"/>
    </row>
    <row r="1003" spans="1:2">
      <c r="A1003" s="218"/>
      <c r="B1003" s="214"/>
    </row>
    <row r="1004" spans="1:2">
      <c r="A1004" s="218"/>
      <c r="B1004" s="214"/>
    </row>
    <row r="1005" spans="1:2">
      <c r="A1005" s="218"/>
      <c r="B1005" s="214"/>
    </row>
    <row r="1006" spans="1:2">
      <c r="A1006" s="218"/>
      <c r="B1006" s="214"/>
    </row>
    <row r="1007" spans="1:2">
      <c r="A1007" s="218"/>
      <c r="B1007" s="214"/>
    </row>
    <row r="1008" spans="1:2">
      <c r="A1008" s="218"/>
      <c r="B1008" s="214"/>
    </row>
    <row r="1009" spans="1:2">
      <c r="A1009" s="218"/>
      <c r="B1009" s="214"/>
    </row>
    <row r="1010" spans="1:2">
      <c r="A1010" s="218"/>
      <c r="B1010" s="214"/>
    </row>
    <row r="1011" spans="1:2">
      <c r="A1011" s="218"/>
      <c r="B1011" s="214"/>
    </row>
    <row r="1012" spans="1:2">
      <c r="A1012" s="218"/>
      <c r="B1012" s="214"/>
    </row>
    <row r="1013" spans="1:2">
      <c r="A1013" s="218"/>
      <c r="B1013" s="214"/>
    </row>
    <row r="1014" spans="1:2">
      <c r="A1014" s="218"/>
      <c r="B1014" s="214"/>
    </row>
    <row r="1015" spans="1:2">
      <c r="A1015" s="218"/>
      <c r="B1015" s="214"/>
    </row>
    <row r="1016" spans="1:2">
      <c r="A1016" s="218"/>
      <c r="B1016" s="214"/>
    </row>
    <row r="1017" spans="1:2">
      <c r="A1017" s="218"/>
      <c r="B1017" s="214"/>
    </row>
    <row r="1018" spans="1:2">
      <c r="A1018" s="218"/>
      <c r="B1018" s="214"/>
    </row>
    <row r="1019" spans="1:2">
      <c r="A1019" s="218"/>
      <c r="B1019" s="214"/>
    </row>
    <row r="1020" spans="1:2">
      <c r="A1020" s="218"/>
      <c r="B1020" s="214"/>
    </row>
    <row r="1021" spans="1:2">
      <c r="A1021" s="218"/>
      <c r="B1021" s="214"/>
    </row>
    <row r="1022" spans="1:2">
      <c r="A1022" s="218"/>
      <c r="B1022" s="214"/>
    </row>
    <row r="1023" spans="1:2">
      <c r="A1023" s="218"/>
      <c r="B1023" s="214"/>
    </row>
    <row r="1024" spans="1:2">
      <c r="A1024" s="218"/>
      <c r="B1024" s="214"/>
    </row>
    <row r="1025" spans="1:2">
      <c r="A1025" s="218"/>
      <c r="B1025" s="214"/>
    </row>
    <row r="1026" spans="1:2">
      <c r="A1026" s="218"/>
      <c r="B1026" s="214"/>
    </row>
    <row r="1027" spans="1:2">
      <c r="A1027" s="218"/>
      <c r="B1027" s="214"/>
    </row>
    <row r="1028" spans="1:2">
      <c r="A1028" s="218"/>
      <c r="B1028" s="214"/>
    </row>
    <row r="1029" spans="1:2">
      <c r="A1029" s="218"/>
      <c r="B1029" s="214"/>
    </row>
    <row r="1030" spans="1:2">
      <c r="A1030" s="218"/>
      <c r="B1030" s="214"/>
    </row>
    <row r="1031" spans="1:2">
      <c r="A1031" s="218"/>
      <c r="B1031" s="214"/>
    </row>
    <row r="1032" spans="1:2">
      <c r="A1032" s="218"/>
      <c r="B1032" s="214"/>
    </row>
    <row r="1033" spans="1:2">
      <c r="A1033" s="218"/>
      <c r="B1033" s="214"/>
    </row>
    <row r="1034" spans="1:2">
      <c r="A1034" s="218"/>
      <c r="B1034" s="214"/>
    </row>
    <row r="1035" spans="1:2">
      <c r="A1035" s="218"/>
      <c r="B1035" s="214"/>
    </row>
    <row r="1036" spans="1:2">
      <c r="A1036" s="218"/>
      <c r="B1036" s="214"/>
    </row>
    <row r="1037" spans="1:2">
      <c r="A1037" s="218"/>
      <c r="B1037" s="214"/>
    </row>
    <row r="1038" spans="1:2">
      <c r="A1038" s="218"/>
      <c r="B1038" s="214"/>
    </row>
    <row r="1039" spans="1:2">
      <c r="A1039" s="218"/>
      <c r="B1039" s="214"/>
    </row>
    <row r="1040" spans="1:2">
      <c r="A1040" s="218"/>
      <c r="B1040" s="214"/>
    </row>
    <row r="1041" spans="1:2">
      <c r="A1041" s="218"/>
      <c r="B1041" s="214"/>
    </row>
    <row r="1042" spans="1:2">
      <c r="A1042" s="218"/>
      <c r="B1042" s="214"/>
    </row>
    <row r="1043" spans="1:2">
      <c r="A1043" s="218"/>
      <c r="B1043" s="214"/>
    </row>
    <row r="1044" spans="1:2">
      <c r="A1044" s="218"/>
      <c r="B1044" s="214"/>
    </row>
    <row r="1045" spans="1:2">
      <c r="A1045" s="218"/>
      <c r="B1045" s="214"/>
    </row>
    <row r="1046" spans="1:2">
      <c r="A1046" s="218"/>
      <c r="B1046" s="214"/>
    </row>
    <row r="1047" spans="1:2">
      <c r="A1047" s="218"/>
      <c r="B1047" s="214"/>
    </row>
    <row r="1048" spans="1:2">
      <c r="A1048" s="218"/>
      <c r="B1048" s="214"/>
    </row>
    <row r="1049" spans="1:2">
      <c r="A1049" s="218"/>
      <c r="B1049" s="214"/>
    </row>
    <row r="1050" spans="1:2">
      <c r="A1050" s="218"/>
      <c r="B1050" s="214"/>
    </row>
    <row r="1051" spans="1:2">
      <c r="A1051" s="218"/>
      <c r="B1051" s="214"/>
    </row>
    <row r="1052" spans="1:2">
      <c r="A1052" s="218"/>
      <c r="B1052" s="214"/>
    </row>
    <row r="1053" spans="1:2">
      <c r="A1053" s="218"/>
      <c r="B1053" s="214"/>
    </row>
    <row r="1054" spans="1:2">
      <c r="A1054" s="218"/>
      <c r="B1054" s="214"/>
    </row>
    <row r="1055" spans="1:2">
      <c r="A1055" s="218"/>
      <c r="B1055" s="214"/>
    </row>
    <row r="1056" spans="1:2">
      <c r="A1056" s="218"/>
      <c r="B1056" s="214"/>
    </row>
    <row r="1057" spans="1:2">
      <c r="A1057" s="218"/>
      <c r="B1057" s="214"/>
    </row>
    <row r="1058" spans="1:2">
      <c r="A1058" s="218"/>
      <c r="B1058" s="214"/>
    </row>
    <row r="1059" spans="1:2">
      <c r="A1059" s="218"/>
      <c r="B1059" s="214"/>
    </row>
    <row r="1060" spans="1:2">
      <c r="A1060" s="218"/>
      <c r="B1060" s="214"/>
    </row>
    <row r="1061" spans="1:2">
      <c r="A1061" s="218"/>
      <c r="B1061" s="214"/>
    </row>
    <row r="1062" spans="1:2">
      <c r="A1062" s="218"/>
      <c r="B1062" s="214"/>
    </row>
    <row r="1063" spans="1:2">
      <c r="A1063" s="218"/>
      <c r="B1063" s="214"/>
    </row>
    <row r="1064" spans="1:2">
      <c r="A1064" s="218"/>
      <c r="B1064" s="214"/>
    </row>
    <row r="1065" spans="1:2">
      <c r="A1065" s="218"/>
      <c r="B1065" s="214"/>
    </row>
    <row r="1066" spans="1:2">
      <c r="A1066" s="218"/>
      <c r="B1066" s="214"/>
    </row>
    <row r="1067" spans="1:2">
      <c r="A1067" s="218"/>
      <c r="B1067" s="214"/>
    </row>
    <row r="1068" spans="1:2">
      <c r="A1068" s="218"/>
      <c r="B1068" s="214"/>
    </row>
    <row r="1069" spans="1:2">
      <c r="A1069" s="218"/>
      <c r="B1069" s="214"/>
    </row>
    <row r="1070" spans="1:2">
      <c r="A1070" s="218"/>
      <c r="B1070" s="214"/>
    </row>
    <row r="1071" spans="1:2">
      <c r="A1071" s="218"/>
      <c r="B1071" s="214"/>
    </row>
    <row r="1072" spans="1:2">
      <c r="A1072" s="218"/>
      <c r="B1072" s="214"/>
    </row>
    <row r="1073" spans="1:2">
      <c r="A1073" s="218"/>
      <c r="B1073" s="214"/>
    </row>
    <row r="1074" spans="1:2">
      <c r="A1074" s="218"/>
      <c r="B1074" s="214"/>
    </row>
    <row r="1075" spans="1:2">
      <c r="A1075" s="218"/>
      <c r="B1075" s="214"/>
    </row>
    <row r="1076" spans="1:2">
      <c r="A1076" s="218"/>
      <c r="B1076" s="214"/>
    </row>
    <row r="1077" spans="1:2">
      <c r="A1077" s="218"/>
      <c r="B1077" s="214"/>
    </row>
    <row r="1078" spans="1:2">
      <c r="A1078" s="218"/>
      <c r="B1078" s="214"/>
    </row>
    <row r="1079" spans="1:2">
      <c r="A1079" s="218"/>
      <c r="B1079" s="214"/>
    </row>
    <row r="1080" spans="1:2">
      <c r="A1080" s="218"/>
      <c r="B1080" s="214"/>
    </row>
    <row r="1081" spans="1:2">
      <c r="A1081" s="218"/>
      <c r="B1081" s="214"/>
    </row>
    <row r="1082" spans="1:2">
      <c r="A1082" s="218"/>
      <c r="B1082" s="214"/>
    </row>
    <row r="1083" spans="1:2">
      <c r="A1083" s="218"/>
      <c r="B1083" s="214"/>
    </row>
    <row r="1084" spans="1:2">
      <c r="A1084" s="218"/>
      <c r="B1084" s="214"/>
    </row>
    <row r="1085" spans="1:2">
      <c r="A1085" s="218"/>
      <c r="B1085" s="214"/>
    </row>
    <row r="1086" spans="1:2">
      <c r="A1086" s="218"/>
      <c r="B1086" s="214"/>
    </row>
    <row r="1087" spans="1:2">
      <c r="A1087" s="218"/>
      <c r="B1087" s="214"/>
    </row>
    <row r="1088" spans="1:2">
      <c r="A1088" s="218"/>
      <c r="B1088" s="214"/>
    </row>
    <row r="1089" spans="1:2">
      <c r="A1089" s="218"/>
      <c r="B1089" s="214"/>
    </row>
    <row r="1090" spans="1:2">
      <c r="A1090" s="218"/>
      <c r="B1090" s="214"/>
    </row>
    <row r="1091" spans="1:2">
      <c r="A1091" s="218"/>
      <c r="B1091" s="214"/>
    </row>
    <row r="1092" spans="1:2">
      <c r="A1092" s="218"/>
      <c r="B1092" s="214"/>
    </row>
    <row r="1093" spans="1:2">
      <c r="A1093" s="218"/>
      <c r="B1093" s="214"/>
    </row>
    <row r="1094" spans="1:2">
      <c r="A1094" s="218"/>
      <c r="B1094" s="214"/>
    </row>
    <row r="1095" spans="1:2">
      <c r="A1095" s="218"/>
      <c r="B1095" s="214"/>
    </row>
    <row r="1096" spans="1:2">
      <c r="A1096" s="218"/>
      <c r="B1096" s="214"/>
    </row>
    <row r="1097" spans="1:2">
      <c r="A1097" s="218"/>
      <c r="B1097" s="214"/>
    </row>
    <row r="1098" spans="1:2">
      <c r="A1098" s="218"/>
      <c r="B1098" s="214"/>
    </row>
    <row r="1099" spans="1:2">
      <c r="A1099" s="218"/>
      <c r="B1099" s="214"/>
    </row>
    <row r="1100" spans="1:2">
      <c r="A1100" s="218"/>
      <c r="B1100" s="214"/>
    </row>
    <row r="1101" spans="1:2">
      <c r="A1101" s="218"/>
      <c r="B1101" s="214"/>
    </row>
    <row r="1102" spans="1:2">
      <c r="A1102" s="218"/>
      <c r="B1102" s="214"/>
    </row>
    <row r="1103" spans="1:2">
      <c r="A1103" s="218"/>
      <c r="B1103" s="214"/>
    </row>
    <row r="1104" spans="1:2">
      <c r="A1104" s="218"/>
      <c r="B1104" s="214"/>
    </row>
    <row r="1105" spans="1:2">
      <c r="A1105" s="218"/>
      <c r="B1105" s="214"/>
    </row>
    <row r="1106" spans="1:2">
      <c r="A1106" s="218"/>
      <c r="B1106" s="214"/>
    </row>
    <row r="1107" spans="1:2">
      <c r="A1107" s="218"/>
      <c r="B1107" s="214"/>
    </row>
    <row r="1108" spans="1:2">
      <c r="A1108" s="218"/>
      <c r="B1108" s="214"/>
    </row>
    <row r="1109" spans="1:2">
      <c r="A1109" s="218"/>
      <c r="B1109" s="214"/>
    </row>
    <row r="1110" spans="1:2">
      <c r="A1110" s="218"/>
      <c r="B1110" s="214"/>
    </row>
    <row r="1111" spans="1:2">
      <c r="A1111" s="218"/>
      <c r="B1111" s="214"/>
    </row>
    <row r="1112" spans="1:2">
      <c r="A1112" s="218"/>
      <c r="B1112" s="214"/>
    </row>
    <row r="1113" spans="1:2">
      <c r="A1113" s="218"/>
      <c r="B1113" s="214"/>
    </row>
    <row r="1114" spans="1:2">
      <c r="A1114" s="218"/>
      <c r="B1114" s="214"/>
    </row>
    <row r="1115" spans="1:2">
      <c r="A1115" s="218"/>
      <c r="B1115" s="214"/>
    </row>
    <row r="1116" spans="1:2">
      <c r="A1116" s="218"/>
      <c r="B1116" s="214"/>
    </row>
    <row r="1117" spans="1:2">
      <c r="A1117" s="218"/>
      <c r="B1117" s="214"/>
    </row>
    <row r="1118" spans="1:2">
      <c r="A1118" s="218"/>
      <c r="B1118" s="214"/>
    </row>
    <row r="1119" spans="1:2">
      <c r="A1119" s="218"/>
      <c r="B1119" s="214"/>
    </row>
    <row r="1120" spans="1:2">
      <c r="A1120" s="218"/>
      <c r="B1120" s="214"/>
    </row>
    <row r="1121" spans="1:2">
      <c r="A1121" s="218"/>
      <c r="B1121" s="214"/>
    </row>
    <row r="1122" spans="1:2">
      <c r="A1122" s="218"/>
      <c r="B1122" s="214"/>
    </row>
    <row r="1123" spans="1:2">
      <c r="A1123" s="218"/>
      <c r="B1123" s="214"/>
    </row>
    <row r="1124" spans="1:2">
      <c r="A1124" s="218"/>
      <c r="B1124" s="214"/>
    </row>
    <row r="1125" spans="1:2">
      <c r="A1125" s="218"/>
      <c r="B1125" s="214"/>
    </row>
    <row r="1126" spans="1:2">
      <c r="A1126" s="218"/>
      <c r="B1126" s="214"/>
    </row>
    <row r="1127" spans="1:2">
      <c r="A1127" s="218"/>
      <c r="B1127" s="214"/>
    </row>
    <row r="1128" spans="1:2">
      <c r="A1128" s="218"/>
      <c r="B1128" s="214"/>
    </row>
    <row r="1129" spans="1:2">
      <c r="A1129" s="218"/>
      <c r="B1129" s="214"/>
    </row>
    <row r="1130" spans="1:2">
      <c r="A1130" s="218"/>
      <c r="B1130" s="214"/>
    </row>
    <row r="1131" spans="1:2">
      <c r="A1131" s="218"/>
      <c r="B1131" s="214"/>
    </row>
    <row r="1132" spans="1:2">
      <c r="A1132" s="218"/>
      <c r="B1132" s="214"/>
    </row>
    <row r="1133" spans="1:2">
      <c r="A1133" s="218"/>
      <c r="B1133" s="214"/>
    </row>
    <row r="1134" spans="1:2">
      <c r="A1134" s="218"/>
      <c r="B1134" s="214"/>
    </row>
    <row r="1135" spans="1:2">
      <c r="A1135" s="218"/>
      <c r="B1135" s="214"/>
    </row>
    <row r="1136" spans="1:2">
      <c r="A1136" s="218"/>
      <c r="B1136" s="214"/>
    </row>
    <row r="1137" spans="1:2">
      <c r="A1137" s="218"/>
      <c r="B1137" s="214"/>
    </row>
    <row r="1138" spans="1:2">
      <c r="A1138" s="218"/>
      <c r="B1138" s="214"/>
    </row>
    <row r="1139" spans="1:2">
      <c r="A1139" s="218"/>
      <c r="B1139" s="214"/>
    </row>
    <row r="1140" spans="1:2">
      <c r="A1140" s="218"/>
      <c r="B1140" s="214"/>
    </row>
    <row r="1141" spans="1:2">
      <c r="A1141" s="218"/>
      <c r="B1141" s="214"/>
    </row>
    <row r="1142" spans="1:2">
      <c r="A1142" s="218"/>
      <c r="B1142" s="214"/>
    </row>
    <row r="1143" spans="1:2">
      <c r="A1143" s="218"/>
      <c r="B1143" s="214"/>
    </row>
    <row r="1144" spans="1:2">
      <c r="A1144" s="218"/>
      <c r="B1144" s="214"/>
    </row>
    <row r="1145" spans="1:2">
      <c r="A1145" s="218"/>
      <c r="B1145" s="214"/>
    </row>
    <row r="1146" spans="1:2">
      <c r="A1146" s="218"/>
      <c r="B1146" s="214"/>
    </row>
    <row r="1147" spans="1:2">
      <c r="A1147" s="218"/>
      <c r="B1147" s="214"/>
    </row>
    <row r="1148" spans="1:2">
      <c r="A1148" s="218"/>
      <c r="B1148" s="214"/>
    </row>
    <row r="1149" spans="1:2">
      <c r="A1149" s="218"/>
      <c r="B1149" s="214"/>
    </row>
    <row r="1150" spans="1:2">
      <c r="A1150" s="218"/>
      <c r="B1150" s="214"/>
    </row>
    <row r="1151" spans="1:2">
      <c r="A1151" s="218"/>
      <c r="B1151" s="214"/>
    </row>
    <row r="1152" spans="1:2">
      <c r="A1152" s="218"/>
      <c r="B1152" s="214"/>
    </row>
    <row r="1153" spans="1:2">
      <c r="A1153" s="218"/>
      <c r="B1153" s="214"/>
    </row>
    <row r="1154" spans="1:2">
      <c r="A1154" s="218"/>
      <c r="B1154" s="214"/>
    </row>
    <row r="1155" spans="1:2">
      <c r="A1155" s="218"/>
      <c r="B1155" s="214"/>
    </row>
    <row r="1156" spans="1:2">
      <c r="A1156" s="218"/>
      <c r="B1156" s="214"/>
    </row>
    <row r="1157" spans="1:2">
      <c r="A1157" s="218"/>
      <c r="B1157" s="214"/>
    </row>
    <row r="1158" spans="1:2">
      <c r="A1158" s="218"/>
      <c r="B1158" s="214"/>
    </row>
    <row r="1159" spans="1:2">
      <c r="A1159" s="218"/>
      <c r="B1159" s="214"/>
    </row>
    <row r="1160" spans="1:2">
      <c r="A1160" s="218"/>
      <c r="B1160" s="214"/>
    </row>
    <row r="1161" spans="1:2">
      <c r="A1161" s="218"/>
      <c r="B1161" s="214"/>
    </row>
    <row r="1162" spans="1:2">
      <c r="A1162" s="218"/>
      <c r="B1162" s="214"/>
    </row>
    <row r="1163" spans="1:2">
      <c r="A1163" s="218"/>
      <c r="B1163" s="214"/>
    </row>
    <row r="1164" spans="1:2">
      <c r="A1164" s="218"/>
      <c r="B1164" s="214"/>
    </row>
    <row r="1165" spans="1:2">
      <c r="A1165" s="218"/>
      <c r="B1165" s="214"/>
    </row>
    <row r="1166" spans="1:2">
      <c r="A1166" s="218"/>
      <c r="B1166" s="214"/>
    </row>
    <row r="1167" spans="1:2">
      <c r="A1167" s="218"/>
      <c r="B1167" s="214"/>
    </row>
    <row r="1168" spans="1:2">
      <c r="A1168" s="218"/>
      <c r="B1168" s="214"/>
    </row>
    <row r="1169" spans="1:2">
      <c r="A1169" s="218"/>
      <c r="B1169" s="214"/>
    </row>
    <row r="1170" spans="1:2">
      <c r="A1170" s="218"/>
      <c r="B1170" s="214"/>
    </row>
    <row r="1171" spans="1:2">
      <c r="A1171" s="218"/>
      <c r="B1171" s="214"/>
    </row>
    <row r="1172" spans="1:2">
      <c r="A1172" s="218"/>
      <c r="B1172" s="214"/>
    </row>
    <row r="1173" spans="1:2">
      <c r="A1173" s="218"/>
      <c r="B1173" s="214"/>
    </row>
    <row r="1174" spans="1:2">
      <c r="A1174" s="218"/>
      <c r="B1174" s="214"/>
    </row>
    <row r="1175" spans="1:2">
      <c r="A1175" s="218"/>
      <c r="B1175" s="214"/>
    </row>
    <row r="1176" spans="1:2">
      <c r="A1176" s="218"/>
      <c r="B1176" s="214"/>
    </row>
    <row r="1177" spans="1:2">
      <c r="A1177" s="218"/>
      <c r="B1177" s="214"/>
    </row>
    <row r="1178" spans="1:2">
      <c r="A1178" s="218"/>
      <c r="B1178" s="214"/>
    </row>
    <row r="1179" spans="1:2">
      <c r="A1179" s="218"/>
      <c r="B1179" s="214"/>
    </row>
    <row r="1180" spans="1:2">
      <c r="A1180" s="218"/>
      <c r="B1180" s="214"/>
    </row>
    <row r="1181" spans="1:2">
      <c r="A1181" s="218"/>
      <c r="B1181" s="214"/>
    </row>
    <row r="1182" spans="1:2">
      <c r="A1182" s="218"/>
      <c r="B1182" s="214"/>
    </row>
    <row r="1183" spans="1:2">
      <c r="A1183" s="218"/>
      <c r="B1183" s="214"/>
    </row>
    <row r="1184" spans="1:2">
      <c r="A1184" s="218"/>
      <c r="B1184" s="214"/>
    </row>
    <row r="1185" spans="1:2">
      <c r="A1185" s="218"/>
      <c r="B1185" s="214"/>
    </row>
    <row r="1186" spans="1:2">
      <c r="A1186" s="218"/>
      <c r="B1186" s="214"/>
    </row>
    <row r="1187" spans="1:2">
      <c r="A1187" s="218"/>
      <c r="B1187" s="214"/>
    </row>
    <row r="1188" spans="1:2">
      <c r="A1188" s="218"/>
      <c r="B1188" s="214"/>
    </row>
    <row r="1189" spans="1:2">
      <c r="A1189" s="218"/>
      <c r="B1189" s="214"/>
    </row>
    <row r="1190" spans="1:2">
      <c r="A1190" s="218"/>
      <c r="B1190" s="214"/>
    </row>
    <row r="1191" spans="1:2">
      <c r="A1191" s="218"/>
      <c r="B1191" s="214"/>
    </row>
    <row r="1192" spans="1:2">
      <c r="A1192" s="218"/>
      <c r="B1192" s="214"/>
    </row>
    <row r="1193" spans="1:2">
      <c r="A1193" s="218"/>
      <c r="B1193" s="214"/>
    </row>
    <row r="1194" spans="1:2">
      <c r="A1194" s="218"/>
      <c r="B1194" s="214"/>
    </row>
    <row r="1195" spans="1:2">
      <c r="A1195" s="218"/>
      <c r="B1195" s="214"/>
    </row>
    <row r="1196" spans="1:2">
      <c r="A1196" s="218"/>
      <c r="B1196" s="214"/>
    </row>
    <row r="1197" spans="1:2">
      <c r="A1197" s="218"/>
      <c r="B1197" s="214"/>
    </row>
    <row r="1198" spans="1:2">
      <c r="A1198" s="218"/>
      <c r="B1198" s="214"/>
    </row>
    <row r="1199" spans="1:2">
      <c r="A1199" s="218"/>
      <c r="B1199" s="214"/>
    </row>
    <row r="1200" spans="1:2">
      <c r="A1200" s="218"/>
      <c r="B1200" s="214"/>
    </row>
    <row r="1201" spans="1:2">
      <c r="A1201" s="218"/>
      <c r="B1201" s="214"/>
    </row>
    <row r="1202" spans="1:2">
      <c r="A1202" s="218"/>
      <c r="B1202" s="214"/>
    </row>
    <row r="1203" spans="1:2">
      <c r="A1203" s="218"/>
      <c r="B1203" s="214"/>
    </row>
    <row r="1204" spans="1:2">
      <c r="A1204" s="218"/>
      <c r="B1204" s="214"/>
    </row>
    <row r="1205" spans="1:2">
      <c r="A1205" s="218"/>
      <c r="B1205" s="214"/>
    </row>
    <row r="1206" spans="1:2">
      <c r="A1206" s="218"/>
      <c r="B1206" s="214"/>
    </row>
    <row r="1207" spans="1:2">
      <c r="A1207" s="218"/>
      <c r="B1207" s="214"/>
    </row>
    <row r="1208" spans="1:2">
      <c r="A1208" s="218"/>
      <c r="B1208" s="214"/>
    </row>
    <row r="1209" spans="1:2">
      <c r="A1209" s="218"/>
      <c r="B1209" s="214"/>
    </row>
    <row r="1210" spans="1:2">
      <c r="A1210" s="218"/>
      <c r="B1210" s="214"/>
    </row>
    <row r="1211" spans="1:2">
      <c r="A1211" s="218"/>
      <c r="B1211" s="214"/>
    </row>
    <row r="1212" spans="1:2">
      <c r="A1212" s="218"/>
      <c r="B1212" s="214"/>
    </row>
    <row r="1213" spans="1:2">
      <c r="A1213" s="218"/>
      <c r="B1213" s="214"/>
    </row>
    <row r="1214" spans="1:2">
      <c r="A1214" s="218"/>
      <c r="B1214" s="214"/>
    </row>
    <row r="1215" spans="1:2">
      <c r="A1215" s="218"/>
      <c r="B1215" s="214"/>
    </row>
    <row r="1216" spans="1:2">
      <c r="A1216" s="218"/>
      <c r="B1216" s="214"/>
    </row>
    <row r="1217" spans="1:2">
      <c r="A1217" s="218"/>
      <c r="B1217" s="214"/>
    </row>
    <row r="1218" spans="1:2">
      <c r="A1218" s="218"/>
      <c r="B1218" s="214"/>
    </row>
    <row r="1219" spans="1:2">
      <c r="A1219" s="218"/>
      <c r="B1219" s="214"/>
    </row>
    <row r="1220" spans="1:2">
      <c r="A1220" s="218"/>
      <c r="B1220" s="214"/>
    </row>
    <row r="1221" spans="1:2">
      <c r="A1221" s="218"/>
      <c r="B1221" s="214"/>
    </row>
    <row r="1222" spans="1:2">
      <c r="A1222" s="218"/>
      <c r="B1222" s="214"/>
    </row>
    <row r="1223" spans="1:2">
      <c r="A1223" s="218"/>
      <c r="B1223" s="214"/>
    </row>
    <row r="1224" spans="1:2">
      <c r="A1224" s="218"/>
      <c r="B1224" s="214"/>
    </row>
    <row r="1225" spans="1:2">
      <c r="A1225" s="218"/>
      <c r="B1225" s="214"/>
    </row>
    <row r="1226" spans="1:2">
      <c r="A1226" s="218"/>
      <c r="B1226" s="214"/>
    </row>
    <row r="1227" spans="1:2">
      <c r="A1227" s="218"/>
      <c r="B1227" s="214"/>
    </row>
    <row r="1228" spans="1:2">
      <c r="A1228" s="218"/>
      <c r="B1228" s="214"/>
    </row>
    <row r="1229" spans="1:2">
      <c r="A1229" s="218"/>
      <c r="B1229" s="214"/>
    </row>
    <row r="1230" spans="1:2">
      <c r="A1230" s="218"/>
      <c r="B1230" s="214"/>
    </row>
    <row r="1231" spans="1:2">
      <c r="A1231" s="218"/>
      <c r="B1231" s="214"/>
    </row>
    <row r="1232" spans="1:2">
      <c r="A1232" s="218"/>
      <c r="B1232" s="214"/>
    </row>
    <row r="1233" spans="1:2">
      <c r="A1233" s="218"/>
      <c r="B1233" s="214"/>
    </row>
    <row r="1234" spans="1:2">
      <c r="A1234" s="218"/>
      <c r="B1234" s="214"/>
    </row>
    <row r="1235" spans="1:2">
      <c r="A1235" s="218"/>
      <c r="B1235" s="214"/>
    </row>
    <row r="1236" spans="1:2">
      <c r="A1236" s="218"/>
      <c r="B1236" s="214"/>
    </row>
    <row r="1237" spans="1:2">
      <c r="A1237" s="218"/>
      <c r="B1237" s="214"/>
    </row>
    <row r="1238" spans="1:2">
      <c r="A1238" s="218"/>
      <c r="B1238" s="214"/>
    </row>
    <row r="1239" spans="1:2">
      <c r="A1239" s="218"/>
      <c r="B1239" s="214"/>
    </row>
    <row r="1240" spans="1:2">
      <c r="A1240" s="218"/>
      <c r="B1240" s="214"/>
    </row>
    <row r="1241" spans="1:2">
      <c r="A1241" s="218"/>
      <c r="B1241" s="214"/>
    </row>
    <row r="1242" spans="1:2">
      <c r="A1242" s="218"/>
      <c r="B1242" s="214"/>
    </row>
    <row r="1243" spans="1:2">
      <c r="A1243" s="218"/>
      <c r="B1243" s="214"/>
    </row>
    <row r="1244" spans="1:2">
      <c r="A1244" s="218"/>
      <c r="B1244" s="214"/>
    </row>
    <row r="1245" spans="1:2">
      <c r="A1245" s="218"/>
      <c r="B1245" s="214"/>
    </row>
    <row r="1246" spans="1:2">
      <c r="A1246" s="218"/>
      <c r="B1246" s="214"/>
    </row>
    <row r="1247" spans="1:2">
      <c r="A1247" s="218"/>
      <c r="B1247" s="214"/>
    </row>
    <row r="1248" spans="1:2">
      <c r="A1248" s="218"/>
      <c r="B1248" s="214"/>
    </row>
    <row r="1249" spans="1:2">
      <c r="A1249" s="218"/>
      <c r="B1249" s="214"/>
    </row>
    <row r="1250" spans="1:2">
      <c r="A1250" s="218"/>
      <c r="B1250" s="214"/>
    </row>
    <row r="1251" spans="1:2">
      <c r="A1251" s="218"/>
      <c r="B1251" s="214"/>
    </row>
    <row r="1252" spans="1:2">
      <c r="A1252" s="218"/>
      <c r="B1252" s="214"/>
    </row>
    <row r="1253" spans="1:2">
      <c r="A1253" s="218"/>
      <c r="B1253" s="214"/>
    </row>
    <row r="1254" spans="1:2">
      <c r="A1254" s="218"/>
      <c r="B1254" s="214"/>
    </row>
    <row r="1255" spans="1:2">
      <c r="A1255" s="218"/>
      <c r="B1255" s="214"/>
    </row>
    <row r="1256" spans="1:2">
      <c r="A1256" s="218"/>
      <c r="B1256" s="214"/>
    </row>
    <row r="1257" spans="1:2">
      <c r="A1257" s="218"/>
      <c r="B1257" s="214"/>
    </row>
    <row r="1258" spans="1:2">
      <c r="A1258" s="218"/>
      <c r="B1258" s="214"/>
    </row>
    <row r="1259" spans="1:2">
      <c r="A1259" s="218"/>
      <c r="B1259" s="214"/>
    </row>
    <row r="1260" spans="1:2">
      <c r="A1260" s="218"/>
      <c r="B1260" s="214"/>
    </row>
    <row r="1261" spans="1:2">
      <c r="A1261" s="218"/>
      <c r="B1261" s="214"/>
    </row>
    <row r="1262" spans="1:2">
      <c r="A1262" s="218"/>
      <c r="B1262" s="214"/>
    </row>
    <row r="1263" spans="1:2">
      <c r="A1263" s="218"/>
      <c r="B1263" s="214"/>
    </row>
    <row r="1264" spans="1:2">
      <c r="A1264" s="218"/>
      <c r="B1264" s="214"/>
    </row>
    <row r="1265" spans="1:2">
      <c r="A1265" s="218"/>
      <c r="B1265" s="214"/>
    </row>
    <row r="1266" spans="1:2">
      <c r="A1266" s="218"/>
      <c r="B1266" s="214"/>
    </row>
    <row r="1267" spans="1:2">
      <c r="A1267" s="218"/>
      <c r="B1267" s="214"/>
    </row>
    <row r="1268" spans="1:2">
      <c r="A1268" s="218"/>
      <c r="B1268" s="214"/>
    </row>
    <row r="1269" spans="1:2">
      <c r="A1269" s="218"/>
      <c r="B1269" s="214"/>
    </row>
    <row r="1270" spans="1:2">
      <c r="A1270" s="218"/>
      <c r="B1270" s="214"/>
    </row>
    <row r="1271" spans="1:2">
      <c r="A1271" s="218"/>
      <c r="B1271" s="214"/>
    </row>
    <row r="1272" spans="1:2">
      <c r="A1272" s="218"/>
      <c r="B1272" s="214"/>
    </row>
    <row r="1273" spans="1:2">
      <c r="A1273" s="218"/>
      <c r="B1273" s="214"/>
    </row>
    <row r="1274" spans="1:2">
      <c r="A1274" s="218"/>
      <c r="B1274" s="214"/>
    </row>
    <row r="1275" spans="1:2">
      <c r="A1275" s="218"/>
      <c r="B1275" s="214"/>
    </row>
    <row r="1276" spans="1:2">
      <c r="A1276" s="218"/>
      <c r="B1276" s="214"/>
    </row>
    <row r="1277" spans="1:2">
      <c r="A1277" s="218"/>
      <c r="B1277" s="214"/>
    </row>
    <row r="1278" spans="1:2">
      <c r="A1278" s="218"/>
      <c r="B1278" s="214"/>
    </row>
    <row r="1279" spans="1:2">
      <c r="A1279" s="218"/>
      <c r="B1279" s="214"/>
    </row>
    <row r="1280" spans="1:2">
      <c r="A1280" s="218"/>
      <c r="B1280" s="214"/>
    </row>
    <row r="1281" spans="1:2">
      <c r="A1281" s="218"/>
      <c r="B1281" s="214"/>
    </row>
    <row r="1282" spans="1:2">
      <c r="A1282" s="218"/>
      <c r="B1282" s="214"/>
    </row>
    <row r="1283" spans="1:2">
      <c r="A1283" s="218"/>
      <c r="B1283" s="214"/>
    </row>
    <row r="1284" spans="1:2">
      <c r="A1284" s="218"/>
      <c r="B1284" s="214"/>
    </row>
    <row r="1285" spans="1:2">
      <c r="A1285" s="218"/>
      <c r="B1285" s="214"/>
    </row>
    <row r="1286" spans="1:2">
      <c r="A1286" s="218"/>
      <c r="B1286" s="214"/>
    </row>
    <row r="1287" spans="1:2">
      <c r="A1287" s="218"/>
      <c r="B1287" s="214"/>
    </row>
    <row r="1288" spans="1:2">
      <c r="A1288" s="218"/>
      <c r="B1288" s="214"/>
    </row>
    <row r="1289" spans="1:2">
      <c r="A1289" s="218"/>
      <c r="B1289" s="214"/>
    </row>
    <row r="1290" spans="1:2">
      <c r="A1290" s="218"/>
      <c r="B1290" s="214"/>
    </row>
    <row r="1291" spans="1:2">
      <c r="A1291" s="218"/>
      <c r="B1291" s="214"/>
    </row>
    <row r="1292" spans="1:2">
      <c r="A1292" s="218"/>
      <c r="B1292" s="214"/>
    </row>
    <row r="1293" spans="1:2">
      <c r="A1293" s="218"/>
      <c r="B1293" s="214"/>
    </row>
    <row r="1294" spans="1:2">
      <c r="A1294" s="218"/>
      <c r="B1294" s="214"/>
    </row>
    <row r="1295" spans="1:2">
      <c r="A1295" s="218"/>
      <c r="B1295" s="214"/>
    </row>
    <row r="1296" spans="1:2">
      <c r="A1296" s="218"/>
      <c r="B1296" s="214"/>
    </row>
    <row r="1297" spans="1:2">
      <c r="A1297" s="218"/>
      <c r="B1297" s="214"/>
    </row>
    <row r="1298" spans="1:2">
      <c r="A1298" s="218"/>
      <c r="B1298" s="214"/>
    </row>
    <row r="1299" spans="1:2">
      <c r="A1299" s="218"/>
      <c r="B1299" s="214"/>
    </row>
    <row r="1300" spans="1:2">
      <c r="A1300" s="218"/>
      <c r="B1300" s="214"/>
    </row>
    <row r="1301" spans="1:2">
      <c r="A1301" s="218"/>
      <c r="B1301" s="214"/>
    </row>
    <row r="1302" spans="1:2">
      <c r="A1302" s="218"/>
      <c r="B1302" s="214"/>
    </row>
    <row r="1303" spans="1:2">
      <c r="A1303" s="218"/>
      <c r="B1303" s="214"/>
    </row>
    <row r="1304" spans="1:2">
      <c r="A1304" s="218"/>
      <c r="B1304" s="214"/>
    </row>
    <row r="1305" spans="1:2">
      <c r="A1305" s="218"/>
      <c r="B1305" s="214"/>
    </row>
    <row r="1306" spans="1:2">
      <c r="A1306" s="218"/>
      <c r="B1306" s="214"/>
    </row>
    <row r="1307" spans="1:2">
      <c r="A1307" s="218"/>
      <c r="B1307" s="214"/>
    </row>
    <row r="1308" spans="1:2">
      <c r="A1308" s="218"/>
      <c r="B1308" s="214"/>
    </row>
    <row r="1309" spans="1:2">
      <c r="A1309" s="218"/>
      <c r="B1309" s="214"/>
    </row>
    <row r="1310" spans="1:2">
      <c r="A1310" s="218"/>
      <c r="B1310" s="214"/>
    </row>
    <row r="1311" spans="1:2">
      <c r="A1311" s="218"/>
      <c r="B1311" s="214"/>
    </row>
    <row r="1312" spans="1:2">
      <c r="A1312" s="218"/>
      <c r="B1312" s="214"/>
    </row>
    <row r="1313" spans="1:2">
      <c r="A1313" s="218"/>
      <c r="B1313" s="214"/>
    </row>
    <row r="1314" spans="1:2">
      <c r="A1314" s="218"/>
      <c r="B1314" s="214"/>
    </row>
    <row r="1315" spans="1:2">
      <c r="A1315" s="218"/>
      <c r="B1315" s="214"/>
    </row>
    <row r="1316" spans="1:2">
      <c r="A1316" s="218"/>
      <c r="B1316" s="214"/>
    </row>
    <row r="1317" spans="1:2">
      <c r="A1317" s="218"/>
      <c r="B1317" s="214"/>
    </row>
    <row r="1318" spans="1:2">
      <c r="A1318" s="218"/>
      <c r="B1318" s="214"/>
    </row>
    <row r="1319" spans="1:2">
      <c r="A1319" s="218"/>
      <c r="B1319" s="214"/>
    </row>
    <row r="1320" spans="1:2">
      <c r="A1320" s="218"/>
      <c r="B1320" s="214"/>
    </row>
    <row r="1321" spans="1:2">
      <c r="A1321" s="218"/>
      <c r="B1321" s="214"/>
    </row>
    <row r="1322" spans="1:2">
      <c r="A1322" s="218"/>
      <c r="B1322" s="214"/>
    </row>
    <row r="1323" spans="1:2">
      <c r="A1323" s="218"/>
      <c r="B1323" s="214"/>
    </row>
    <row r="1324" spans="1:2">
      <c r="A1324" s="218"/>
      <c r="B1324" s="214"/>
    </row>
    <row r="1325" spans="1:2">
      <c r="A1325" s="218"/>
      <c r="B1325" s="214"/>
    </row>
    <row r="1326" spans="1:2">
      <c r="A1326" s="218"/>
      <c r="B1326" s="214"/>
    </row>
    <row r="1327" spans="1:2">
      <c r="A1327" s="218"/>
      <c r="B1327" s="214"/>
    </row>
    <row r="1328" spans="1:2">
      <c r="A1328" s="218"/>
      <c r="B1328" s="214"/>
    </row>
    <row r="1329" spans="1:2">
      <c r="A1329" s="218"/>
      <c r="B1329" s="214"/>
    </row>
    <row r="1330" spans="1:2">
      <c r="A1330" s="218"/>
      <c r="B1330" s="214"/>
    </row>
    <row r="1331" spans="1:2">
      <c r="A1331" s="218"/>
      <c r="B1331" s="214"/>
    </row>
    <row r="1332" spans="1:2">
      <c r="A1332" s="218"/>
      <c r="B1332" s="214"/>
    </row>
    <row r="1333" spans="1:2">
      <c r="A1333" s="218"/>
      <c r="B1333" s="214"/>
    </row>
    <row r="1334" spans="1:2">
      <c r="A1334" s="218"/>
      <c r="B1334" s="214"/>
    </row>
    <row r="1335" spans="1:2">
      <c r="A1335" s="218"/>
      <c r="B1335" s="214"/>
    </row>
    <row r="1336" spans="1:2">
      <c r="A1336" s="218"/>
      <c r="B1336" s="214"/>
    </row>
    <row r="1337" spans="1:2">
      <c r="A1337" s="218"/>
      <c r="B1337" s="214"/>
    </row>
    <row r="1338" spans="1:2">
      <c r="A1338" s="218"/>
      <c r="B1338" s="214"/>
    </row>
    <row r="1339" spans="1:2">
      <c r="A1339" s="218"/>
      <c r="B1339" s="214"/>
    </row>
    <row r="1340" spans="1:2">
      <c r="A1340" s="218"/>
      <c r="B1340" s="214"/>
    </row>
    <row r="1341" spans="1:2">
      <c r="A1341" s="218"/>
      <c r="B1341" s="214"/>
    </row>
    <row r="1342" spans="1:2">
      <c r="A1342" s="218"/>
      <c r="B1342" s="214"/>
    </row>
    <row r="1343" spans="1:2">
      <c r="A1343" s="218"/>
      <c r="B1343" s="214"/>
    </row>
    <row r="1344" spans="1:2">
      <c r="A1344" s="218"/>
      <c r="B1344" s="214"/>
    </row>
    <row r="1345" spans="1:2">
      <c r="A1345" s="218"/>
      <c r="B1345" s="214"/>
    </row>
    <row r="1346" spans="1:2">
      <c r="A1346" s="218"/>
      <c r="B1346" s="214"/>
    </row>
    <row r="1347" spans="1:2">
      <c r="A1347" s="218"/>
      <c r="B1347" s="214"/>
    </row>
    <row r="1348" spans="1:2">
      <c r="A1348" s="218"/>
      <c r="B1348" s="214"/>
    </row>
    <row r="1349" spans="1:2">
      <c r="A1349" s="218"/>
      <c r="B1349" s="214"/>
    </row>
    <row r="1350" spans="1:2">
      <c r="A1350" s="218"/>
      <c r="B1350" s="214"/>
    </row>
    <row r="1351" spans="1:2">
      <c r="A1351" s="218"/>
      <c r="B1351" s="214"/>
    </row>
    <row r="1352" spans="1:2">
      <c r="A1352" s="218"/>
      <c r="B1352" s="214"/>
    </row>
    <row r="1353" spans="1:2">
      <c r="A1353" s="218"/>
      <c r="B1353" s="214"/>
    </row>
    <row r="1354" spans="1:2">
      <c r="A1354" s="218"/>
      <c r="B1354" s="214"/>
    </row>
    <row r="1355" spans="1:2">
      <c r="A1355" s="218"/>
      <c r="B1355" s="214"/>
    </row>
    <row r="1356" spans="1:2">
      <c r="A1356" s="218"/>
      <c r="B1356" s="214"/>
    </row>
    <row r="1357" spans="1:2">
      <c r="A1357" s="218"/>
      <c r="B1357" s="214"/>
    </row>
    <row r="1358" spans="1:2">
      <c r="A1358" s="218"/>
      <c r="B1358" s="214"/>
    </row>
    <row r="1359" spans="1:2">
      <c r="A1359" s="218"/>
      <c r="B1359" s="214"/>
    </row>
    <row r="1360" spans="1:2">
      <c r="A1360" s="218"/>
      <c r="B1360" s="214"/>
    </row>
    <row r="1361" spans="1:2">
      <c r="A1361" s="218"/>
      <c r="B1361" s="214"/>
    </row>
    <row r="1362" spans="1:2">
      <c r="A1362" s="218"/>
      <c r="B1362" s="214"/>
    </row>
    <row r="1363" spans="1:2">
      <c r="A1363" s="218"/>
      <c r="B1363" s="214"/>
    </row>
    <row r="1364" spans="1:2">
      <c r="A1364" s="218"/>
      <c r="B1364" s="214"/>
    </row>
    <row r="1365" spans="1:2">
      <c r="A1365" s="218"/>
      <c r="B1365" s="214"/>
    </row>
    <row r="1366" spans="1:2">
      <c r="A1366" s="218"/>
      <c r="B1366" s="214"/>
    </row>
    <row r="1367" spans="1:2">
      <c r="A1367" s="218"/>
      <c r="B1367" s="214"/>
    </row>
    <row r="1368" spans="1:2">
      <c r="A1368" s="218"/>
      <c r="B1368" s="214"/>
    </row>
    <row r="1369" spans="1:2">
      <c r="A1369" s="218"/>
      <c r="B1369" s="214"/>
    </row>
    <row r="1370" spans="1:2">
      <c r="A1370" s="218"/>
      <c r="B1370" s="214"/>
    </row>
    <row r="1371" spans="1:2">
      <c r="A1371" s="218"/>
      <c r="B1371" s="214"/>
    </row>
    <row r="1372" spans="1:2">
      <c r="A1372" s="218"/>
      <c r="B1372" s="214"/>
    </row>
    <row r="1373" spans="1:2">
      <c r="A1373" s="218"/>
      <c r="B1373" s="214"/>
    </row>
    <row r="1374" spans="1:2">
      <c r="A1374" s="218"/>
      <c r="B1374" s="214"/>
    </row>
    <row r="1375" spans="1:2">
      <c r="A1375" s="218"/>
      <c r="B1375" s="214"/>
    </row>
    <row r="1376" spans="1:2">
      <c r="A1376" s="218"/>
      <c r="B1376" s="214"/>
    </row>
    <row r="1377" spans="1:2">
      <c r="A1377" s="218"/>
      <c r="B1377" s="214"/>
    </row>
    <row r="1378" spans="1:2">
      <c r="A1378" s="218"/>
      <c r="B1378" s="214"/>
    </row>
    <row r="1379" spans="1:2">
      <c r="A1379" s="218"/>
      <c r="B1379" s="214"/>
    </row>
    <row r="1380" spans="1:2">
      <c r="A1380" s="218"/>
      <c r="B1380" s="214"/>
    </row>
    <row r="1381" spans="1:2">
      <c r="A1381" s="218"/>
      <c r="B1381" s="214"/>
    </row>
    <row r="1382" spans="1:2">
      <c r="A1382" s="218"/>
      <c r="B1382" s="214"/>
    </row>
    <row r="1383" spans="1:2">
      <c r="A1383" s="218"/>
      <c r="B1383" s="214"/>
    </row>
    <row r="1384" spans="1:2">
      <c r="A1384" s="218"/>
      <c r="B1384" s="214"/>
    </row>
    <row r="1385" spans="1:2">
      <c r="A1385" s="218"/>
      <c r="B1385" s="214"/>
    </row>
    <row r="1386" spans="1:2">
      <c r="A1386" s="218"/>
      <c r="B1386" s="214"/>
    </row>
    <row r="1387" spans="1:2">
      <c r="A1387" s="218"/>
      <c r="B1387" s="214"/>
    </row>
    <row r="1388" spans="1:2">
      <c r="A1388" s="218"/>
      <c r="B1388" s="214"/>
    </row>
    <row r="1389" spans="1:2">
      <c r="A1389" s="218"/>
      <c r="B1389" s="214"/>
    </row>
    <row r="1390" spans="1:2">
      <c r="A1390" s="218"/>
      <c r="B1390" s="214"/>
    </row>
    <row r="1391" spans="1:2">
      <c r="A1391" s="218"/>
      <c r="B1391" s="214"/>
    </row>
    <row r="1392" spans="1:2">
      <c r="A1392" s="218"/>
      <c r="B1392" s="214"/>
    </row>
    <row r="1393" spans="1:2">
      <c r="A1393" s="218"/>
      <c r="B1393" s="214"/>
    </row>
    <row r="1394" spans="1:2">
      <c r="A1394" s="218"/>
      <c r="B1394" s="214"/>
    </row>
    <row r="1395" spans="1:2">
      <c r="A1395" s="218"/>
      <c r="B1395" s="214"/>
    </row>
    <row r="1396" spans="1:2">
      <c r="A1396" s="218"/>
      <c r="B1396" s="214"/>
    </row>
    <row r="1397" spans="1:2">
      <c r="A1397" s="218"/>
      <c r="B1397" s="214"/>
    </row>
    <row r="1398" spans="1:2">
      <c r="A1398" s="218"/>
      <c r="B1398" s="214"/>
    </row>
    <row r="1399" spans="1:2">
      <c r="A1399" s="218"/>
      <c r="B1399" s="214"/>
    </row>
    <row r="1400" spans="1:2">
      <c r="A1400" s="218"/>
      <c r="B1400" s="214"/>
    </row>
    <row r="1401" spans="1:2">
      <c r="A1401" s="218"/>
      <c r="B1401" s="214"/>
    </row>
    <row r="1402" spans="1:2">
      <c r="A1402" s="218"/>
      <c r="B1402" s="214"/>
    </row>
    <row r="1403" spans="1:2">
      <c r="A1403" s="218"/>
      <c r="B1403" s="214"/>
    </row>
    <row r="1404" spans="1:2">
      <c r="A1404" s="218"/>
      <c r="B1404" s="214"/>
    </row>
    <row r="1405" spans="1:2">
      <c r="A1405" s="218"/>
      <c r="B1405" s="214"/>
    </row>
    <row r="1406" spans="1:2">
      <c r="A1406" s="218"/>
      <c r="B1406" s="214"/>
    </row>
    <row r="1407" spans="1:2">
      <c r="A1407" s="218"/>
      <c r="B1407" s="214"/>
    </row>
    <row r="1408" spans="1:2">
      <c r="A1408" s="218"/>
      <c r="B1408" s="214"/>
    </row>
    <row r="1409" spans="1:2">
      <c r="A1409" s="218"/>
      <c r="B1409" s="214"/>
    </row>
    <row r="1410" spans="1:2">
      <c r="A1410" s="218"/>
      <c r="B1410" s="214"/>
    </row>
    <row r="1411" spans="1:2">
      <c r="A1411" s="218"/>
      <c r="B1411" s="214"/>
    </row>
    <row r="1412" spans="1:2">
      <c r="A1412" s="218"/>
      <c r="B1412" s="214"/>
    </row>
    <row r="1413" spans="1:2">
      <c r="A1413" s="218"/>
      <c r="B1413" s="214"/>
    </row>
    <row r="1414" spans="1:2">
      <c r="A1414" s="218"/>
      <c r="B1414" s="214"/>
    </row>
    <row r="1415" spans="1:2">
      <c r="A1415" s="218"/>
      <c r="B1415" s="214"/>
    </row>
    <row r="1416" spans="1:2">
      <c r="A1416" s="218"/>
      <c r="B1416" s="214"/>
    </row>
    <row r="1417" spans="1:2">
      <c r="A1417" s="218"/>
      <c r="B1417" s="214"/>
    </row>
    <row r="1418" spans="1:2">
      <c r="A1418" s="218"/>
      <c r="B1418" s="214"/>
    </row>
    <row r="1419" spans="1:2">
      <c r="A1419" s="218"/>
      <c r="B1419" s="214"/>
    </row>
    <row r="1420" spans="1:2">
      <c r="A1420" s="218"/>
      <c r="B1420" s="214"/>
    </row>
    <row r="1421" spans="1:2">
      <c r="A1421" s="218"/>
      <c r="B1421" s="214"/>
    </row>
    <row r="1422" spans="1:2">
      <c r="A1422" s="218"/>
      <c r="B1422" s="214"/>
    </row>
    <row r="1423" spans="1:2">
      <c r="A1423" s="218"/>
      <c r="B1423" s="214"/>
    </row>
    <row r="1424" spans="1:2">
      <c r="A1424" s="218"/>
      <c r="B1424" s="214"/>
    </row>
    <row r="1425" spans="1:2">
      <c r="A1425" s="218"/>
      <c r="B1425" s="214"/>
    </row>
    <row r="1426" spans="1:2">
      <c r="A1426" s="218"/>
      <c r="B1426" s="214"/>
    </row>
    <row r="1427" spans="1:2">
      <c r="A1427" s="218"/>
      <c r="B1427" s="214"/>
    </row>
    <row r="1428" spans="1:2">
      <c r="A1428" s="218"/>
      <c r="B1428" s="214"/>
    </row>
    <row r="1429" spans="1:2">
      <c r="A1429" s="218"/>
      <c r="B1429" s="214"/>
    </row>
    <row r="1430" spans="1:2">
      <c r="A1430" s="218"/>
      <c r="B1430" s="214"/>
    </row>
    <row r="1431" spans="1:2">
      <c r="A1431" s="218"/>
      <c r="B1431" s="214"/>
    </row>
    <row r="1432" spans="1:2">
      <c r="A1432" s="218"/>
      <c r="B1432" s="214"/>
    </row>
    <row r="1433" spans="1:2">
      <c r="A1433" s="218"/>
      <c r="B1433" s="214"/>
    </row>
    <row r="1434" spans="1:2">
      <c r="A1434" s="218"/>
      <c r="B1434" s="214"/>
    </row>
    <row r="1435" spans="1:2">
      <c r="A1435" s="218"/>
      <c r="B1435" s="214"/>
    </row>
    <row r="1436" spans="1:2">
      <c r="A1436" s="218"/>
      <c r="B1436" s="214"/>
    </row>
    <row r="1437" spans="1:2">
      <c r="A1437" s="218"/>
      <c r="B1437" s="214"/>
    </row>
    <row r="1438" spans="1:2">
      <c r="A1438" s="218"/>
      <c r="B1438" s="214"/>
    </row>
    <row r="1439" spans="1:2">
      <c r="A1439" s="218"/>
      <c r="B1439" s="214"/>
    </row>
    <row r="1440" spans="1:2">
      <c r="A1440" s="218"/>
      <c r="B1440" s="214"/>
    </row>
    <row r="1441" spans="1:2">
      <c r="A1441" s="218"/>
      <c r="B1441" s="214"/>
    </row>
    <row r="1442" spans="1:2">
      <c r="A1442" s="218"/>
      <c r="B1442" s="214"/>
    </row>
    <row r="1443" spans="1:2">
      <c r="A1443" s="218"/>
      <c r="B1443" s="214"/>
    </row>
    <row r="1444" spans="1:2">
      <c r="A1444" s="218"/>
      <c r="B1444" s="214"/>
    </row>
    <row r="1445" spans="1:2">
      <c r="A1445" s="218"/>
      <c r="B1445" s="214"/>
    </row>
    <row r="1446" spans="1:2">
      <c r="A1446" s="218"/>
      <c r="B1446" s="214"/>
    </row>
    <row r="1447" spans="1:2">
      <c r="A1447" s="218"/>
      <c r="B1447" s="214"/>
    </row>
    <row r="1448" spans="1:2">
      <c r="A1448" s="218"/>
      <c r="B1448" s="214"/>
    </row>
    <row r="1449" spans="1:2">
      <c r="A1449" s="218"/>
      <c r="B1449" s="214"/>
    </row>
    <row r="1450" spans="1:2">
      <c r="A1450" s="218"/>
      <c r="B1450" s="214"/>
    </row>
    <row r="1451" spans="1:2">
      <c r="A1451" s="218"/>
      <c r="B1451" s="214"/>
    </row>
    <row r="1452" spans="1:2">
      <c r="A1452" s="218"/>
      <c r="B1452" s="214"/>
    </row>
    <row r="1453" spans="1:2">
      <c r="A1453" s="218"/>
      <c r="B1453" s="214"/>
    </row>
    <row r="1454" spans="1:2">
      <c r="A1454" s="218"/>
      <c r="B1454" s="214"/>
    </row>
    <row r="1455" spans="1:2">
      <c r="A1455" s="218"/>
      <c r="B1455" s="214"/>
    </row>
    <row r="1456" spans="1:2">
      <c r="A1456" s="218"/>
      <c r="B1456" s="214"/>
    </row>
    <row r="1457" spans="1:2">
      <c r="A1457" s="218"/>
      <c r="B1457" s="214"/>
    </row>
    <row r="1458" spans="1:2">
      <c r="A1458" s="218"/>
      <c r="B1458" s="214"/>
    </row>
    <row r="1459" spans="1:2">
      <c r="A1459" s="218"/>
      <c r="B1459" s="214"/>
    </row>
    <row r="1460" spans="1:2">
      <c r="A1460" s="218"/>
      <c r="B1460" s="214"/>
    </row>
    <row r="1461" spans="1:2">
      <c r="A1461" s="218"/>
      <c r="B1461" s="214"/>
    </row>
    <row r="1462" spans="1:2">
      <c r="A1462" s="218"/>
      <c r="B1462" s="214"/>
    </row>
    <row r="1463" spans="1:2">
      <c r="A1463" s="218"/>
      <c r="B1463" s="214"/>
    </row>
    <row r="1464" spans="1:2">
      <c r="A1464" s="218"/>
      <c r="B1464" s="214"/>
    </row>
    <row r="1465" spans="1:2">
      <c r="A1465" s="218"/>
      <c r="B1465" s="214"/>
    </row>
    <row r="1466" spans="1:2">
      <c r="A1466" s="218"/>
      <c r="B1466" s="214"/>
    </row>
    <row r="1467" spans="1:2">
      <c r="A1467" s="218"/>
      <c r="B1467" s="214"/>
    </row>
    <row r="1468" spans="1:2">
      <c r="A1468" s="218"/>
      <c r="B1468" s="214"/>
    </row>
    <row r="1469" spans="1:2">
      <c r="A1469" s="218"/>
      <c r="B1469" s="214"/>
    </row>
    <row r="1470" spans="1:2">
      <c r="A1470" s="218"/>
      <c r="B1470" s="214"/>
    </row>
    <row r="1471" spans="1:2">
      <c r="A1471" s="218"/>
      <c r="B1471" s="214"/>
    </row>
    <row r="1472" spans="1:2">
      <c r="A1472" s="218"/>
      <c r="B1472" s="214"/>
    </row>
    <row r="1473" spans="1:2">
      <c r="A1473" s="218"/>
      <c r="B1473" s="214"/>
    </row>
    <row r="1474" spans="1:2">
      <c r="A1474" s="218"/>
      <c r="B1474" s="214"/>
    </row>
    <row r="1475" spans="1:2">
      <c r="A1475" s="218"/>
      <c r="B1475" s="214"/>
    </row>
    <row r="1476" spans="1:2">
      <c r="A1476" s="218"/>
      <c r="B1476" s="214"/>
    </row>
    <row r="1477" spans="1:2">
      <c r="A1477" s="218"/>
      <c r="B1477" s="214"/>
    </row>
    <row r="1478" spans="1:2">
      <c r="A1478" s="218"/>
      <c r="B1478" s="214"/>
    </row>
    <row r="1479" spans="1:2">
      <c r="A1479" s="218"/>
      <c r="B1479" s="214"/>
    </row>
    <row r="1480" spans="1:2">
      <c r="A1480" s="218"/>
      <c r="B1480" s="214"/>
    </row>
    <row r="1481" spans="1:2">
      <c r="A1481" s="218"/>
      <c r="B1481" s="214"/>
    </row>
    <row r="1482" spans="1:2">
      <c r="A1482" s="218"/>
      <c r="B1482" s="214"/>
    </row>
    <row r="1483" spans="1:2">
      <c r="A1483" s="218"/>
      <c r="B1483" s="214"/>
    </row>
    <row r="1484" spans="1:2">
      <c r="A1484" s="218"/>
      <c r="B1484" s="214"/>
    </row>
    <row r="1485" spans="1:2">
      <c r="A1485" s="218"/>
      <c r="B1485" s="214"/>
    </row>
    <row r="1486" spans="1:2">
      <c r="A1486" s="218"/>
      <c r="B1486" s="214"/>
    </row>
    <row r="1487" spans="1:2">
      <c r="A1487" s="218"/>
      <c r="B1487" s="214"/>
    </row>
    <row r="1488" spans="1:2">
      <c r="A1488" s="218"/>
      <c r="B1488" s="214"/>
    </row>
    <row r="1489" spans="1:2">
      <c r="A1489" s="218"/>
      <c r="B1489" s="214"/>
    </row>
    <row r="1490" spans="1:2">
      <c r="A1490" s="218"/>
      <c r="B1490" s="214"/>
    </row>
    <row r="1491" spans="1:2">
      <c r="A1491" s="218"/>
      <c r="B1491" s="214"/>
    </row>
    <row r="1492" spans="1:2">
      <c r="A1492" s="218"/>
      <c r="B1492" s="214"/>
    </row>
    <row r="1493" spans="1:2">
      <c r="A1493" s="218"/>
      <c r="B1493" s="214"/>
    </row>
    <row r="1494" spans="1:2">
      <c r="A1494" s="218"/>
      <c r="B1494" s="214"/>
    </row>
    <row r="1495" spans="1:2">
      <c r="A1495" s="218"/>
      <c r="B1495" s="214"/>
    </row>
    <row r="1496" spans="1:2">
      <c r="A1496" s="218"/>
      <c r="B1496" s="214"/>
    </row>
    <row r="1497" spans="1:2">
      <c r="A1497" s="218"/>
      <c r="B1497" s="214"/>
    </row>
    <row r="1498" spans="1:2">
      <c r="A1498" s="218"/>
      <c r="B1498" s="214"/>
    </row>
    <row r="1499" spans="1:2">
      <c r="A1499" s="218"/>
      <c r="B1499" s="214"/>
    </row>
    <row r="1500" spans="1:2">
      <c r="A1500" s="218"/>
      <c r="B1500" s="214"/>
    </row>
    <row r="1501" spans="1:2">
      <c r="A1501" s="218"/>
      <c r="B1501" s="214"/>
    </row>
    <row r="1502" spans="1:2">
      <c r="A1502" s="218"/>
      <c r="B1502" s="214"/>
    </row>
    <row r="1503" spans="1:2">
      <c r="A1503" s="218"/>
      <c r="B1503" s="214"/>
    </row>
    <row r="1504" spans="1:2">
      <c r="A1504" s="218"/>
      <c r="B1504" s="214"/>
    </row>
    <row r="1505" spans="1:2">
      <c r="A1505" s="218"/>
      <c r="B1505" s="214"/>
    </row>
    <row r="1506" spans="1:2">
      <c r="A1506" s="218"/>
      <c r="B1506" s="214"/>
    </row>
    <row r="1507" spans="1:2">
      <c r="A1507" s="218"/>
      <c r="B1507" s="214"/>
    </row>
    <row r="1508" spans="1:2">
      <c r="A1508" s="218"/>
      <c r="B1508" s="214"/>
    </row>
    <row r="1509" spans="1:2">
      <c r="A1509" s="218"/>
      <c r="B1509" s="214"/>
    </row>
    <row r="1510" spans="1:2">
      <c r="A1510" s="218"/>
      <c r="B1510" s="214"/>
    </row>
    <row r="1511" spans="1:2">
      <c r="A1511" s="218"/>
      <c r="B1511" s="214"/>
    </row>
    <row r="1512" spans="1:2">
      <c r="A1512" s="218"/>
      <c r="B1512" s="214"/>
    </row>
    <row r="1513" spans="1:2">
      <c r="A1513" s="218"/>
      <c r="B1513" s="214"/>
    </row>
    <row r="1514" spans="1:2">
      <c r="A1514" s="218"/>
      <c r="B1514" s="214"/>
    </row>
    <row r="1515" spans="1:2">
      <c r="A1515" s="218"/>
      <c r="B1515" s="214"/>
    </row>
    <row r="1516" spans="1:2">
      <c r="A1516" s="218"/>
      <c r="B1516" s="214"/>
    </row>
    <row r="1517" spans="1:2">
      <c r="A1517" s="218"/>
      <c r="B1517" s="214"/>
    </row>
    <row r="1518" spans="1:2">
      <c r="A1518" s="218"/>
      <c r="B1518" s="214"/>
    </row>
    <row r="1519" spans="1:2">
      <c r="A1519" s="218"/>
      <c r="B1519" s="214"/>
    </row>
    <row r="1520" spans="1:2">
      <c r="A1520" s="218"/>
      <c r="B1520" s="214"/>
    </row>
    <row r="1521" spans="1:2">
      <c r="A1521" s="218"/>
      <c r="B1521" s="214"/>
    </row>
    <row r="1522" spans="1:2">
      <c r="A1522" s="218"/>
      <c r="B1522" s="214"/>
    </row>
    <row r="1523" spans="1:2">
      <c r="A1523" s="218"/>
      <c r="B1523" s="214"/>
    </row>
    <row r="1524" spans="1:2">
      <c r="A1524" s="218"/>
      <c r="B1524" s="214"/>
    </row>
    <row r="1525" spans="1:2">
      <c r="A1525" s="218"/>
      <c r="B1525" s="214"/>
    </row>
    <row r="1526" spans="1:2">
      <c r="A1526" s="218"/>
      <c r="B1526" s="214"/>
    </row>
    <row r="1527" spans="1:2">
      <c r="A1527" s="218"/>
      <c r="B1527" s="214"/>
    </row>
    <row r="1528" spans="1:2">
      <c r="A1528" s="218"/>
      <c r="B1528" s="214"/>
    </row>
    <row r="1529" spans="1:2">
      <c r="A1529" s="218"/>
      <c r="B1529" s="214"/>
    </row>
    <row r="1530" spans="1:2">
      <c r="A1530" s="218"/>
      <c r="B1530" s="214"/>
    </row>
    <row r="1531" spans="1:2">
      <c r="A1531" s="218"/>
      <c r="B1531" s="214"/>
    </row>
    <row r="1532" spans="1:2">
      <c r="A1532" s="218"/>
      <c r="B1532" s="214"/>
    </row>
    <row r="1533" spans="1:2">
      <c r="A1533" s="218"/>
      <c r="B1533" s="214"/>
    </row>
    <row r="1534" spans="1:2">
      <c r="A1534" s="218"/>
      <c r="B1534" s="214"/>
    </row>
    <row r="1535" spans="1:2">
      <c r="A1535" s="218"/>
      <c r="B1535" s="214"/>
    </row>
    <row r="1536" spans="1:2">
      <c r="A1536" s="218"/>
      <c r="B1536" s="214"/>
    </row>
    <row r="1537" spans="1:2">
      <c r="A1537" s="218"/>
      <c r="B1537" s="214"/>
    </row>
    <row r="1538" spans="1:2">
      <c r="A1538" s="218"/>
      <c r="B1538" s="214"/>
    </row>
    <row r="1539" spans="1:2">
      <c r="A1539" s="218"/>
      <c r="B1539" s="214"/>
    </row>
    <row r="1540" spans="1:2">
      <c r="A1540" s="218"/>
      <c r="B1540" s="214"/>
    </row>
    <row r="1541" spans="1:2">
      <c r="A1541" s="218"/>
      <c r="B1541" s="214"/>
    </row>
    <row r="1542" spans="1:2">
      <c r="A1542" s="218"/>
      <c r="B1542" s="214"/>
    </row>
    <row r="1543" spans="1:2">
      <c r="A1543" s="218"/>
      <c r="B1543" s="214"/>
    </row>
    <row r="1544" spans="1:2">
      <c r="A1544" s="218"/>
      <c r="B1544" s="214"/>
    </row>
    <row r="1545" spans="1:2">
      <c r="A1545" s="218"/>
      <c r="B1545" s="214"/>
    </row>
    <row r="1546" spans="1:2">
      <c r="A1546" s="218"/>
      <c r="B1546" s="214"/>
    </row>
    <row r="1547" spans="1:2">
      <c r="A1547" s="218"/>
      <c r="B1547" s="214"/>
    </row>
    <row r="1548" spans="1:2">
      <c r="A1548" s="218"/>
      <c r="B1548" s="214"/>
    </row>
    <row r="1549" spans="1:2">
      <c r="A1549" s="218"/>
      <c r="B1549" s="214"/>
    </row>
    <row r="1550" spans="1:2">
      <c r="A1550" s="218"/>
      <c r="B1550" s="214"/>
    </row>
    <row r="1551" spans="1:2">
      <c r="A1551" s="218"/>
      <c r="B1551" s="214"/>
    </row>
    <row r="1552" spans="1:2">
      <c r="A1552" s="218"/>
      <c r="B1552" s="214"/>
    </row>
    <row r="1553" spans="1:2">
      <c r="A1553" s="218"/>
      <c r="B1553" s="214"/>
    </row>
    <row r="1554" spans="1:2">
      <c r="A1554" s="218"/>
      <c r="B1554" s="214"/>
    </row>
    <row r="1555" spans="1:2">
      <c r="A1555" s="218"/>
      <c r="B1555" s="214"/>
    </row>
    <row r="1556" spans="1:2">
      <c r="A1556" s="218"/>
      <c r="B1556" s="214"/>
    </row>
    <row r="1557" spans="1:2">
      <c r="A1557" s="218"/>
      <c r="B1557" s="214"/>
    </row>
    <row r="1558" spans="1:2">
      <c r="A1558" s="218"/>
      <c r="B1558" s="214"/>
    </row>
    <row r="1559" spans="1:2">
      <c r="A1559" s="218"/>
      <c r="B1559" s="214"/>
    </row>
    <row r="1560" spans="1:2">
      <c r="A1560" s="218"/>
      <c r="B1560" s="214"/>
    </row>
    <row r="1561" spans="1:2">
      <c r="A1561" s="218"/>
      <c r="B1561" s="214"/>
    </row>
    <row r="1562" spans="1:2">
      <c r="A1562" s="218"/>
      <c r="B1562" s="214"/>
    </row>
    <row r="1563" spans="1:2">
      <c r="A1563" s="218"/>
      <c r="B1563" s="214"/>
    </row>
    <row r="1564" spans="1:2">
      <c r="A1564" s="218"/>
      <c r="B1564" s="214"/>
    </row>
    <row r="1565" spans="1:2">
      <c r="A1565" s="218"/>
      <c r="B1565" s="214"/>
    </row>
    <row r="1566" spans="1:2">
      <c r="A1566" s="218"/>
      <c r="B1566" s="214"/>
    </row>
    <row r="1567" spans="1:2">
      <c r="A1567" s="218"/>
      <c r="B1567" s="214"/>
    </row>
    <row r="1568" spans="1:2">
      <c r="A1568" s="218"/>
      <c r="B1568" s="214"/>
    </row>
    <row r="1569" spans="1:2">
      <c r="A1569" s="218"/>
      <c r="B1569" s="214"/>
    </row>
    <row r="1570" spans="1:2">
      <c r="A1570" s="218"/>
      <c r="B1570" s="214"/>
    </row>
    <row r="1571" spans="1:2">
      <c r="A1571" s="218"/>
      <c r="B1571" s="214"/>
    </row>
    <row r="1572" spans="1:2">
      <c r="A1572" s="218"/>
      <c r="B1572" s="214"/>
    </row>
    <row r="1573" spans="1:2">
      <c r="A1573" s="218"/>
      <c r="B1573" s="214"/>
    </row>
    <row r="1574" spans="1:2">
      <c r="A1574" s="218"/>
      <c r="B1574" s="214"/>
    </row>
    <row r="1575" spans="1:2">
      <c r="A1575" s="218"/>
      <c r="B1575" s="214"/>
    </row>
    <row r="1576" spans="1:2">
      <c r="A1576" s="218"/>
      <c r="B1576" s="214"/>
    </row>
    <row r="1577" spans="1:2">
      <c r="A1577" s="218"/>
      <c r="B1577" s="214"/>
    </row>
    <row r="1578" spans="1:2">
      <c r="A1578" s="218"/>
      <c r="B1578" s="214"/>
    </row>
    <row r="1579" spans="1:2">
      <c r="A1579" s="218"/>
      <c r="B1579" s="214"/>
    </row>
    <row r="1580" spans="1:2">
      <c r="A1580" s="218"/>
      <c r="B1580" s="214"/>
    </row>
    <row r="1581" spans="1:2">
      <c r="A1581" s="218"/>
      <c r="B1581" s="214"/>
    </row>
    <row r="1582" spans="1:2">
      <c r="A1582" s="218"/>
      <c r="B1582" s="214"/>
    </row>
    <row r="1583" spans="1:2">
      <c r="A1583" s="218"/>
      <c r="B1583" s="214"/>
    </row>
    <row r="1584" spans="1:2">
      <c r="A1584" s="218"/>
      <c r="B1584" s="214"/>
    </row>
    <row r="1585" spans="1:2">
      <c r="A1585" s="218"/>
      <c r="B1585" s="214"/>
    </row>
    <row r="1586" spans="1:2">
      <c r="A1586" s="218"/>
      <c r="B1586" s="214"/>
    </row>
    <row r="1587" spans="1:2">
      <c r="A1587" s="218"/>
      <c r="B1587" s="214"/>
    </row>
    <row r="1588" spans="1:2">
      <c r="A1588" s="218"/>
      <c r="B1588" s="214"/>
    </row>
    <row r="1589" spans="1:2">
      <c r="A1589" s="218"/>
      <c r="B1589" s="214"/>
    </row>
    <row r="1590" spans="1:2">
      <c r="A1590" s="218"/>
      <c r="B1590" s="214"/>
    </row>
    <row r="1591" spans="1:2">
      <c r="A1591" s="218"/>
      <c r="B1591" s="214"/>
    </row>
    <row r="1592" spans="1:2">
      <c r="A1592" s="218"/>
      <c r="B1592" s="214"/>
    </row>
    <row r="1593" spans="1:2">
      <c r="A1593" s="218"/>
      <c r="B1593" s="214"/>
    </row>
    <row r="1594" spans="1:2">
      <c r="A1594" s="218"/>
      <c r="B1594" s="214"/>
    </row>
    <row r="1595" spans="1:2">
      <c r="A1595" s="218"/>
      <c r="B1595" s="214"/>
    </row>
    <row r="1596" spans="1:2">
      <c r="A1596" s="218"/>
      <c r="B1596" s="214"/>
    </row>
    <row r="1597" spans="1:2">
      <c r="A1597" s="218"/>
      <c r="B1597" s="214"/>
    </row>
    <row r="1598" spans="1:2">
      <c r="A1598" s="218"/>
      <c r="B1598" s="214"/>
    </row>
    <row r="1599" spans="1:2">
      <c r="A1599" s="218"/>
      <c r="B1599" s="214"/>
    </row>
    <row r="1600" spans="1:2">
      <c r="A1600" s="218"/>
      <c r="B1600" s="214"/>
    </row>
    <row r="1601" spans="1:2">
      <c r="A1601" s="218"/>
      <c r="B1601" s="214"/>
    </row>
    <row r="1602" spans="1:2">
      <c r="A1602" s="218"/>
      <c r="B1602" s="214"/>
    </row>
    <row r="1603" spans="1:2">
      <c r="A1603" s="218"/>
      <c r="B1603" s="214"/>
    </row>
    <row r="1604" spans="1:2">
      <c r="A1604" s="218"/>
      <c r="B1604" s="214"/>
    </row>
    <row r="1605" spans="1:2">
      <c r="A1605" s="218"/>
      <c r="B1605" s="214"/>
    </row>
    <row r="1606" spans="1:2">
      <c r="A1606" s="218"/>
      <c r="B1606" s="214"/>
    </row>
    <row r="1607" spans="1:2">
      <c r="A1607" s="218"/>
      <c r="B1607" s="214"/>
    </row>
    <row r="1608" spans="1:2">
      <c r="A1608" s="218"/>
      <c r="B1608" s="214"/>
    </row>
    <row r="1609" spans="1:2">
      <c r="A1609" s="218"/>
      <c r="B1609" s="214"/>
    </row>
    <row r="1610" spans="1:2">
      <c r="A1610" s="218"/>
      <c r="B1610" s="214"/>
    </row>
    <row r="1611" spans="1:2">
      <c r="A1611" s="218"/>
      <c r="B1611" s="214"/>
    </row>
    <row r="1612" spans="1:2">
      <c r="A1612" s="218"/>
      <c r="B1612" s="214"/>
    </row>
    <row r="1613" spans="1:2">
      <c r="A1613" s="218"/>
      <c r="B1613" s="214"/>
    </row>
    <row r="1614" spans="1:2">
      <c r="A1614" s="218"/>
      <c r="B1614" s="214"/>
    </row>
    <row r="1615" spans="1:2">
      <c r="A1615" s="218"/>
      <c r="B1615" s="214"/>
    </row>
    <row r="1616" spans="1:2">
      <c r="A1616" s="218"/>
      <c r="B1616" s="214"/>
    </row>
    <row r="1617" spans="1:2">
      <c r="A1617" s="218"/>
      <c r="B1617" s="214"/>
    </row>
    <row r="1618" spans="1:2">
      <c r="A1618" s="218"/>
      <c r="B1618" s="214"/>
    </row>
    <row r="1619" spans="1:2">
      <c r="A1619" s="218"/>
      <c r="B1619" s="214"/>
    </row>
    <row r="1620" spans="1:2">
      <c r="A1620" s="218"/>
      <c r="B1620" s="214"/>
    </row>
    <row r="1621" spans="1:2">
      <c r="A1621" s="218"/>
      <c r="B1621" s="214"/>
    </row>
    <row r="1622" spans="1:2">
      <c r="A1622" s="218"/>
      <c r="B1622" s="214"/>
    </row>
    <row r="1623" spans="1:2">
      <c r="A1623" s="218"/>
      <c r="B1623" s="214"/>
    </row>
    <row r="1624" spans="1:2">
      <c r="A1624" s="218"/>
      <c r="B1624" s="214"/>
    </row>
    <row r="1625" spans="1:2">
      <c r="A1625" s="218"/>
      <c r="B1625" s="214"/>
    </row>
    <row r="1626" spans="1:2">
      <c r="A1626" s="218"/>
      <c r="B1626" s="214"/>
    </row>
    <row r="1627" spans="1:2">
      <c r="A1627" s="218"/>
      <c r="B1627" s="214"/>
    </row>
    <row r="1628" spans="1:2">
      <c r="A1628" s="218"/>
      <c r="B1628" s="214"/>
    </row>
    <row r="1629" spans="1:2">
      <c r="A1629" s="218"/>
      <c r="B1629" s="214"/>
    </row>
    <row r="1630" spans="1:2">
      <c r="A1630" s="218"/>
      <c r="B1630" s="214"/>
    </row>
    <row r="1631" spans="1:2">
      <c r="A1631" s="218"/>
      <c r="B1631" s="214"/>
    </row>
    <row r="1632" spans="1:2">
      <c r="A1632" s="218"/>
      <c r="B1632" s="214"/>
    </row>
    <row r="1633" spans="1:2">
      <c r="A1633" s="218"/>
      <c r="B1633" s="214"/>
    </row>
    <row r="1634" spans="1:2">
      <c r="A1634" s="218"/>
      <c r="B1634" s="214"/>
    </row>
    <row r="1635" spans="1:2">
      <c r="A1635" s="218"/>
      <c r="B1635" s="214"/>
    </row>
    <row r="1636" spans="1:2">
      <c r="A1636" s="218"/>
      <c r="B1636" s="214"/>
    </row>
    <row r="1637" spans="1:2">
      <c r="A1637" s="218"/>
      <c r="B1637" s="214"/>
    </row>
    <row r="1638" spans="1:2">
      <c r="A1638" s="218"/>
      <c r="B1638" s="214"/>
    </row>
    <row r="1639" spans="1:2">
      <c r="A1639" s="218"/>
      <c r="B1639" s="214"/>
    </row>
    <row r="1640" spans="1:2">
      <c r="A1640" s="218"/>
      <c r="B1640" s="214"/>
    </row>
    <row r="1641" spans="1:2">
      <c r="A1641" s="218"/>
      <c r="B1641" s="214"/>
    </row>
    <row r="1642" spans="1:2">
      <c r="A1642" s="218"/>
      <c r="B1642" s="214"/>
    </row>
    <row r="1643" spans="1:2">
      <c r="A1643" s="218"/>
      <c r="B1643" s="214"/>
    </row>
    <row r="1644" spans="1:2">
      <c r="A1644" s="218"/>
      <c r="B1644" s="214"/>
    </row>
    <row r="1645" spans="1:2">
      <c r="A1645" s="218"/>
      <c r="B1645" s="214"/>
    </row>
    <row r="1646" spans="1:2">
      <c r="A1646" s="218"/>
      <c r="B1646" s="214"/>
    </row>
    <row r="1647" spans="1:2">
      <c r="A1647" s="218"/>
      <c r="B1647" s="214"/>
    </row>
    <row r="1648" spans="1:2">
      <c r="A1648" s="218"/>
      <c r="B1648" s="214"/>
    </row>
    <row r="1649" spans="1:2">
      <c r="A1649" s="218"/>
      <c r="B1649" s="214"/>
    </row>
    <row r="1650" spans="1:2">
      <c r="A1650" s="218"/>
      <c r="B1650" s="214"/>
    </row>
    <row r="1651" spans="1:2">
      <c r="A1651" s="218"/>
      <c r="B1651" s="214"/>
    </row>
    <row r="1652" spans="1:2">
      <c r="A1652" s="218"/>
      <c r="B1652" s="214"/>
    </row>
    <row r="1653" spans="1:2">
      <c r="A1653" s="218"/>
      <c r="B1653" s="214"/>
    </row>
    <row r="1654" spans="1:2">
      <c r="A1654" s="218"/>
      <c r="B1654" s="214"/>
    </row>
    <row r="1655" spans="1:2">
      <c r="A1655" s="218"/>
      <c r="B1655" s="214"/>
    </row>
    <row r="1656" spans="1:2">
      <c r="A1656" s="218"/>
      <c r="B1656" s="214"/>
    </row>
    <row r="1657" spans="1:2">
      <c r="A1657" s="218"/>
      <c r="B1657" s="214"/>
    </row>
    <row r="1658" spans="1:2">
      <c r="A1658" s="218"/>
      <c r="B1658" s="214"/>
    </row>
    <row r="1659" spans="1:2">
      <c r="A1659" s="218"/>
      <c r="B1659" s="214"/>
    </row>
    <row r="1660" spans="1:2">
      <c r="A1660" s="218"/>
      <c r="B1660" s="214"/>
    </row>
    <row r="1661" spans="1:2">
      <c r="A1661" s="218"/>
      <c r="B1661" s="214"/>
    </row>
    <row r="1662" spans="1:2">
      <c r="A1662" s="218"/>
      <c r="B1662" s="214"/>
    </row>
    <row r="1663" spans="1:2">
      <c r="A1663" s="218"/>
      <c r="B1663" s="214"/>
    </row>
    <row r="1664" spans="1:2">
      <c r="A1664" s="218"/>
      <c r="B1664" s="214"/>
    </row>
    <row r="1665" spans="1:2">
      <c r="A1665" s="218"/>
      <c r="B1665" s="214"/>
    </row>
    <row r="1666" spans="1:2">
      <c r="A1666" s="218"/>
      <c r="B1666" s="214"/>
    </row>
    <row r="1667" spans="1:2">
      <c r="A1667" s="218"/>
      <c r="B1667" s="214"/>
    </row>
    <row r="1668" spans="1:2">
      <c r="A1668" s="218"/>
      <c r="B1668" s="214"/>
    </row>
    <row r="1669" spans="1:2">
      <c r="A1669" s="218"/>
      <c r="B1669" s="214"/>
    </row>
    <row r="1670" spans="1:2">
      <c r="A1670" s="218"/>
      <c r="B1670" s="214"/>
    </row>
    <row r="1671" spans="1:2">
      <c r="A1671" s="218"/>
      <c r="B1671" s="214"/>
    </row>
    <row r="1672" spans="1:2">
      <c r="A1672" s="218"/>
      <c r="B1672" s="214"/>
    </row>
    <row r="1673" spans="1:2">
      <c r="A1673" s="218"/>
      <c r="B1673" s="214"/>
    </row>
    <row r="1674" spans="1:2">
      <c r="A1674" s="218"/>
      <c r="B1674" s="214"/>
    </row>
    <row r="1675" spans="1:2">
      <c r="A1675" s="218"/>
      <c r="B1675" s="214"/>
    </row>
    <row r="1676" spans="1:2">
      <c r="A1676" s="218"/>
      <c r="B1676" s="214"/>
    </row>
    <row r="1677" spans="1:2">
      <c r="A1677" s="218"/>
      <c r="B1677" s="214"/>
    </row>
    <row r="1678" spans="1:2">
      <c r="A1678" s="218"/>
      <c r="B1678" s="214"/>
    </row>
    <row r="1679" spans="1:2">
      <c r="A1679" s="218"/>
      <c r="B1679" s="214"/>
    </row>
    <row r="1680" spans="1:2">
      <c r="A1680" s="218"/>
      <c r="B1680" s="214"/>
    </row>
    <row r="1681" spans="1:2">
      <c r="A1681" s="218"/>
      <c r="B1681" s="214"/>
    </row>
    <row r="1682" spans="1:2">
      <c r="A1682" s="218"/>
      <c r="B1682" s="214"/>
    </row>
    <row r="1683" spans="1:2">
      <c r="A1683" s="218"/>
      <c r="B1683" s="214"/>
    </row>
    <row r="1684" spans="1:2">
      <c r="A1684" s="218"/>
      <c r="B1684" s="214"/>
    </row>
    <row r="1685" spans="1:2">
      <c r="A1685" s="218"/>
      <c r="B1685" s="214"/>
    </row>
    <row r="1686" spans="1:2">
      <c r="A1686" s="218"/>
      <c r="B1686" s="214"/>
    </row>
    <row r="1687" spans="1:2">
      <c r="A1687" s="218"/>
      <c r="B1687" s="214"/>
    </row>
    <row r="1688" spans="1:2">
      <c r="A1688" s="218"/>
      <c r="B1688" s="214"/>
    </row>
    <row r="1689" spans="1:2">
      <c r="A1689" s="218"/>
      <c r="B1689" s="214"/>
    </row>
    <row r="1690" spans="1:2">
      <c r="A1690" s="218"/>
      <c r="B1690" s="214"/>
    </row>
    <row r="1691" spans="1:2">
      <c r="A1691" s="218"/>
      <c r="B1691" s="214"/>
    </row>
    <row r="1692" spans="1:2">
      <c r="A1692" s="218"/>
      <c r="B1692" s="214"/>
    </row>
    <row r="1693" spans="1:2">
      <c r="A1693" s="218"/>
      <c r="B1693" s="214"/>
    </row>
    <row r="1694" spans="1:2">
      <c r="A1694" s="218"/>
      <c r="B1694" s="214"/>
    </row>
    <row r="1695" spans="1:2">
      <c r="A1695" s="218"/>
      <c r="B1695" s="214"/>
    </row>
    <row r="1696" spans="1:2">
      <c r="A1696" s="218"/>
      <c r="B1696" s="214"/>
    </row>
    <row r="1697" spans="1:2">
      <c r="A1697" s="218"/>
      <c r="B1697" s="214"/>
    </row>
    <row r="1698" spans="1:2">
      <c r="A1698" s="218"/>
      <c r="B1698" s="214"/>
    </row>
    <row r="1699" spans="1:2">
      <c r="A1699" s="218"/>
      <c r="B1699" s="214"/>
    </row>
    <row r="1700" spans="1:2">
      <c r="A1700" s="218"/>
      <c r="B1700" s="214"/>
    </row>
    <row r="1701" spans="1:2">
      <c r="A1701" s="218"/>
      <c r="B1701" s="214"/>
    </row>
    <row r="1702" spans="1:2">
      <c r="A1702" s="218"/>
      <c r="B1702" s="214"/>
    </row>
    <row r="1703" spans="1:2">
      <c r="A1703" s="218"/>
      <c r="B1703" s="214"/>
    </row>
    <row r="1704" spans="1:2">
      <c r="A1704" s="218"/>
      <c r="B1704" s="214"/>
    </row>
    <row r="1705" spans="1:2">
      <c r="A1705" s="218"/>
      <c r="B1705" s="214"/>
    </row>
    <row r="1706" spans="1:2">
      <c r="A1706" s="218"/>
      <c r="B1706" s="214"/>
    </row>
    <row r="1707" spans="1:2">
      <c r="A1707" s="218"/>
      <c r="B1707" s="214"/>
    </row>
    <row r="1708" spans="1:2">
      <c r="A1708" s="218"/>
      <c r="B1708" s="214"/>
    </row>
    <row r="1709" spans="1:2">
      <c r="A1709" s="218"/>
      <c r="B1709" s="214"/>
    </row>
    <row r="1710" spans="1:2">
      <c r="A1710" s="218"/>
      <c r="B1710" s="214"/>
    </row>
    <row r="1711" spans="1:2">
      <c r="A1711" s="218"/>
      <c r="B1711" s="214"/>
    </row>
    <row r="1712" spans="1:2">
      <c r="A1712" s="218"/>
      <c r="B1712" s="214"/>
    </row>
    <row r="1713" spans="1:2">
      <c r="A1713" s="218"/>
      <c r="B1713" s="214"/>
    </row>
    <row r="1714" spans="1:2">
      <c r="A1714" s="218"/>
      <c r="B1714" s="214"/>
    </row>
    <row r="1715" spans="1:2">
      <c r="A1715" s="218"/>
      <c r="B1715" s="214"/>
    </row>
    <row r="1716" spans="1:2">
      <c r="A1716" s="218"/>
      <c r="B1716" s="214"/>
    </row>
    <row r="1717" spans="1:2">
      <c r="A1717" s="218"/>
      <c r="B1717" s="214"/>
    </row>
    <row r="1718" spans="1:2">
      <c r="A1718" s="218"/>
      <c r="B1718" s="214"/>
    </row>
    <row r="1719" spans="1:2">
      <c r="A1719" s="218"/>
      <c r="B1719" s="214"/>
    </row>
    <row r="1720" spans="1:2">
      <c r="A1720" s="218"/>
      <c r="B1720" s="214"/>
    </row>
    <row r="1721" spans="1:2">
      <c r="A1721" s="218"/>
      <c r="B1721" s="214"/>
    </row>
    <row r="1722" spans="1:2">
      <c r="A1722" s="218"/>
      <c r="B1722" s="214"/>
    </row>
    <row r="1723" spans="1:2">
      <c r="A1723" s="218"/>
      <c r="B1723" s="214"/>
    </row>
    <row r="1724" spans="1:2">
      <c r="A1724" s="218"/>
      <c r="B1724" s="214"/>
    </row>
    <row r="1725" spans="1:2">
      <c r="A1725" s="218"/>
      <c r="B1725" s="214"/>
    </row>
    <row r="1726" spans="1:2">
      <c r="A1726" s="218"/>
      <c r="B1726" s="214"/>
    </row>
    <row r="1727" spans="1:2">
      <c r="A1727" s="218"/>
      <c r="B1727" s="214"/>
    </row>
    <row r="1728" spans="1:2">
      <c r="A1728" s="218"/>
      <c r="B1728" s="214"/>
    </row>
    <row r="1729" spans="1:2">
      <c r="A1729" s="218"/>
      <c r="B1729" s="214"/>
    </row>
    <row r="1730" spans="1:2">
      <c r="A1730" s="218"/>
      <c r="B1730" s="214"/>
    </row>
    <row r="1731" spans="1:2">
      <c r="A1731" s="218"/>
      <c r="B1731" s="214"/>
    </row>
    <row r="1732" spans="1:2">
      <c r="A1732" s="218"/>
      <c r="B1732" s="214"/>
    </row>
    <row r="1733" spans="1:2">
      <c r="A1733" s="218"/>
      <c r="B1733" s="214"/>
    </row>
    <row r="1734" spans="1:2">
      <c r="A1734" s="218"/>
      <c r="B1734" s="214"/>
    </row>
    <row r="1735" spans="1:2">
      <c r="A1735" s="218"/>
      <c r="B1735" s="214"/>
    </row>
    <row r="1736" spans="1:2">
      <c r="A1736" s="218"/>
      <c r="B1736" s="214"/>
    </row>
    <row r="1737" spans="1:2">
      <c r="A1737" s="218"/>
      <c r="B1737" s="214"/>
    </row>
    <row r="1738" spans="1:2">
      <c r="A1738" s="218"/>
      <c r="B1738" s="214"/>
    </row>
    <row r="1739" spans="1:2">
      <c r="A1739" s="218"/>
      <c r="B1739" s="214"/>
    </row>
    <row r="1740" spans="1:2">
      <c r="A1740" s="218"/>
      <c r="B1740" s="214"/>
    </row>
    <row r="1741" spans="1:2">
      <c r="A1741" s="218"/>
      <c r="B1741" s="214"/>
    </row>
    <row r="1742" spans="1:2">
      <c r="A1742" s="218"/>
      <c r="B1742" s="214"/>
    </row>
    <row r="1743" spans="1:2">
      <c r="A1743" s="218"/>
      <c r="B1743" s="214"/>
    </row>
    <row r="1744" spans="1:2">
      <c r="A1744" s="218"/>
      <c r="B1744" s="214"/>
    </row>
    <row r="1745" spans="1:2">
      <c r="A1745" s="218"/>
      <c r="B1745" s="214"/>
    </row>
    <row r="1746" spans="1:2">
      <c r="A1746" s="218"/>
      <c r="B1746" s="214"/>
    </row>
    <row r="1747" spans="1:2">
      <c r="A1747" s="218"/>
      <c r="B1747" s="214"/>
    </row>
    <row r="1748" spans="1:2">
      <c r="A1748" s="218"/>
      <c r="B1748" s="214"/>
    </row>
    <row r="1749" spans="1:2">
      <c r="A1749" s="218"/>
      <c r="B1749" s="214"/>
    </row>
    <row r="1750" spans="1:2">
      <c r="A1750" s="218"/>
      <c r="B1750" s="214"/>
    </row>
    <row r="1751" spans="1:2">
      <c r="A1751" s="218"/>
      <c r="B1751" s="214"/>
    </row>
    <row r="1752" spans="1:2">
      <c r="A1752" s="218"/>
      <c r="B1752" s="214"/>
    </row>
    <row r="1753" spans="1:2">
      <c r="A1753" s="218"/>
      <c r="B1753" s="214"/>
    </row>
    <row r="1754" spans="1:2">
      <c r="A1754" s="218"/>
      <c r="B1754" s="214"/>
    </row>
    <row r="1755" spans="1:2">
      <c r="A1755" s="218"/>
      <c r="B1755" s="214"/>
    </row>
    <row r="1756" spans="1:2">
      <c r="A1756" s="218"/>
      <c r="B1756" s="214"/>
    </row>
    <row r="1757" spans="1:2">
      <c r="A1757" s="218"/>
      <c r="B1757" s="214"/>
    </row>
    <row r="1758" spans="1:2">
      <c r="A1758" s="218"/>
      <c r="B1758" s="214"/>
    </row>
    <row r="1759" spans="1:2">
      <c r="A1759" s="218"/>
      <c r="B1759" s="214"/>
    </row>
    <row r="1760" spans="1:2">
      <c r="A1760" s="218"/>
      <c r="B1760" s="214"/>
    </row>
    <row r="1761" spans="1:2">
      <c r="A1761" s="218"/>
      <c r="B1761" s="214"/>
    </row>
    <row r="1762" spans="1:2">
      <c r="A1762" s="218"/>
      <c r="B1762" s="214"/>
    </row>
    <row r="1763" spans="1:2">
      <c r="A1763" s="218"/>
      <c r="B1763" s="214"/>
    </row>
    <row r="1764" spans="1:2">
      <c r="A1764" s="218"/>
      <c r="B1764" s="214"/>
    </row>
    <row r="1765" spans="1:2">
      <c r="A1765" s="218"/>
      <c r="B1765" s="214"/>
    </row>
    <row r="1766" spans="1:2">
      <c r="A1766" s="218"/>
      <c r="B1766" s="214"/>
    </row>
    <row r="1767" spans="1:2">
      <c r="A1767" s="218"/>
      <c r="B1767" s="214"/>
    </row>
    <row r="1768" spans="1:2">
      <c r="A1768" s="218"/>
      <c r="B1768" s="214"/>
    </row>
    <row r="1769" spans="1:2">
      <c r="A1769" s="218"/>
      <c r="B1769" s="214"/>
    </row>
    <row r="1770" spans="1:2">
      <c r="A1770" s="218"/>
      <c r="B1770" s="214"/>
    </row>
    <row r="1771" spans="1:2">
      <c r="A1771" s="218"/>
      <c r="B1771" s="214"/>
    </row>
    <row r="1772" spans="1:2">
      <c r="A1772" s="218"/>
      <c r="B1772" s="214"/>
    </row>
    <row r="1773" spans="1:2">
      <c r="A1773" s="218"/>
      <c r="B1773" s="214"/>
    </row>
    <row r="1774" spans="1:2">
      <c r="A1774" s="218"/>
      <c r="B1774" s="214"/>
    </row>
    <row r="1775" spans="1:2">
      <c r="A1775" s="218"/>
      <c r="B1775" s="214"/>
    </row>
    <row r="1776" spans="1:2">
      <c r="A1776" s="218"/>
      <c r="B1776" s="214"/>
    </row>
    <row r="1777" spans="1:2">
      <c r="A1777" s="218"/>
      <c r="B1777" s="214"/>
    </row>
    <row r="1778" spans="1:2">
      <c r="A1778" s="218"/>
      <c r="B1778" s="214"/>
    </row>
    <row r="1779" spans="1:2">
      <c r="A1779" s="218"/>
      <c r="B1779" s="214"/>
    </row>
    <row r="1780" spans="1:2">
      <c r="A1780" s="218"/>
      <c r="B1780" s="214"/>
    </row>
    <row r="1781" spans="1:2">
      <c r="A1781" s="218"/>
      <c r="B1781" s="214"/>
    </row>
    <row r="1782" spans="1:2">
      <c r="A1782" s="218"/>
      <c r="B1782" s="214"/>
    </row>
    <row r="1783" spans="1:2">
      <c r="A1783" s="218"/>
      <c r="B1783" s="214"/>
    </row>
    <row r="1784" spans="1:2">
      <c r="A1784" s="218"/>
      <c r="B1784" s="214"/>
    </row>
    <row r="1785" spans="1:2">
      <c r="A1785" s="218"/>
      <c r="B1785" s="214"/>
    </row>
    <row r="1786" spans="1:2">
      <c r="A1786" s="218"/>
      <c r="B1786" s="214"/>
    </row>
    <row r="1787" spans="1:2">
      <c r="A1787" s="218"/>
      <c r="B1787" s="214"/>
    </row>
    <row r="1788" spans="1:2">
      <c r="A1788" s="218"/>
      <c r="B1788" s="214"/>
    </row>
    <row r="1789" spans="1:2">
      <c r="A1789" s="218"/>
      <c r="B1789" s="214"/>
    </row>
    <row r="1790" spans="1:2">
      <c r="A1790" s="218"/>
      <c r="B1790" s="214"/>
    </row>
    <row r="1791" spans="1:2">
      <c r="A1791" s="218"/>
      <c r="B1791" s="214"/>
    </row>
    <row r="1792" spans="1:2">
      <c r="A1792" s="218"/>
      <c r="B1792" s="214"/>
    </row>
    <row r="1793" spans="1:2">
      <c r="A1793" s="218"/>
      <c r="B1793" s="214"/>
    </row>
    <row r="1794" spans="1:2">
      <c r="A1794" s="218"/>
      <c r="B1794" s="214"/>
    </row>
    <row r="1795" spans="1:2">
      <c r="A1795" s="218"/>
      <c r="B1795" s="214"/>
    </row>
    <row r="1796" spans="1:2">
      <c r="A1796" s="218"/>
      <c r="B1796" s="214"/>
    </row>
    <row r="1797" spans="1:2">
      <c r="A1797" s="218"/>
      <c r="B1797" s="214"/>
    </row>
    <row r="1798" spans="1:2">
      <c r="A1798" s="218"/>
      <c r="B1798" s="214"/>
    </row>
    <row r="1799" spans="1:2">
      <c r="A1799" s="218"/>
      <c r="B1799" s="214"/>
    </row>
    <row r="1800" spans="1:2">
      <c r="A1800" s="218"/>
      <c r="B1800" s="214"/>
    </row>
    <row r="1801" spans="1:2">
      <c r="A1801" s="218"/>
      <c r="B1801" s="214"/>
    </row>
    <row r="1802" spans="1:2">
      <c r="A1802" s="218"/>
      <c r="B1802" s="214"/>
    </row>
    <row r="1803" spans="1:2">
      <c r="A1803" s="218"/>
      <c r="B1803" s="214"/>
    </row>
    <row r="1804" spans="1:2">
      <c r="A1804" s="218"/>
      <c r="B1804" s="214"/>
    </row>
    <row r="1805" spans="1:2">
      <c r="A1805" s="218"/>
      <c r="B1805" s="214"/>
    </row>
    <row r="1806" spans="1:2">
      <c r="A1806" s="218"/>
      <c r="B1806" s="214"/>
    </row>
    <row r="1807" spans="1:2">
      <c r="A1807" s="218"/>
      <c r="B1807" s="214"/>
    </row>
    <row r="1808" spans="1:2">
      <c r="A1808" s="218"/>
      <c r="B1808" s="214"/>
    </row>
    <row r="1809" spans="1:2">
      <c r="A1809" s="218"/>
      <c r="B1809" s="214"/>
    </row>
    <row r="1810" spans="1:2">
      <c r="A1810" s="218"/>
      <c r="B1810" s="214"/>
    </row>
    <row r="1811" spans="1:2">
      <c r="A1811" s="218"/>
      <c r="B1811" s="214"/>
    </row>
    <row r="1812" spans="1:2">
      <c r="A1812" s="218"/>
      <c r="B1812" s="214"/>
    </row>
    <row r="1813" spans="1:2">
      <c r="A1813" s="218"/>
      <c r="B1813" s="214"/>
    </row>
    <row r="1814" spans="1:2">
      <c r="A1814" s="218"/>
      <c r="B1814" s="214"/>
    </row>
    <row r="1815" spans="1:2">
      <c r="A1815" s="218"/>
      <c r="B1815" s="214"/>
    </row>
    <row r="1816" spans="1:2">
      <c r="A1816" s="218"/>
      <c r="B1816" s="214"/>
    </row>
    <row r="1817" spans="1:2">
      <c r="A1817" s="218"/>
      <c r="B1817" s="214"/>
    </row>
    <row r="1818" spans="1:2">
      <c r="A1818" s="218"/>
      <c r="B1818" s="214"/>
    </row>
    <row r="1819" spans="1:2">
      <c r="A1819" s="218"/>
      <c r="B1819" s="214"/>
    </row>
    <row r="1820" spans="1:2">
      <c r="A1820" s="218"/>
      <c r="B1820" s="214"/>
    </row>
    <row r="1821" spans="1:2">
      <c r="A1821" s="218"/>
      <c r="B1821" s="214"/>
    </row>
    <row r="1822" spans="1:2">
      <c r="A1822" s="218"/>
      <c r="B1822" s="214"/>
    </row>
    <row r="1823" spans="1:2">
      <c r="A1823" s="218"/>
      <c r="B1823" s="214"/>
    </row>
    <row r="1824" spans="1:2">
      <c r="A1824" s="218"/>
      <c r="B1824" s="214"/>
    </row>
    <row r="1825" spans="1:2">
      <c r="A1825" s="218"/>
      <c r="B1825" s="214"/>
    </row>
    <row r="1826" spans="1:2">
      <c r="A1826" s="218"/>
      <c r="B1826" s="214"/>
    </row>
    <row r="1827" spans="1:2">
      <c r="A1827" s="218"/>
      <c r="B1827" s="214"/>
    </row>
    <row r="1828" spans="1:2">
      <c r="A1828" s="218"/>
      <c r="B1828" s="214"/>
    </row>
    <row r="1829" spans="1:2">
      <c r="A1829" s="218"/>
      <c r="B1829" s="214"/>
    </row>
    <row r="1830" spans="1:2">
      <c r="A1830" s="218"/>
      <c r="B1830" s="214"/>
    </row>
    <row r="1831" spans="1:2">
      <c r="A1831" s="218"/>
      <c r="B1831" s="214"/>
    </row>
    <row r="1832" spans="1:2">
      <c r="A1832" s="218"/>
      <c r="B1832" s="214"/>
    </row>
    <row r="1833" spans="1:2">
      <c r="A1833" s="218"/>
      <c r="B1833" s="214"/>
    </row>
    <row r="1834" spans="1:2">
      <c r="A1834" s="218"/>
      <c r="B1834" s="214"/>
    </row>
    <row r="1835" spans="1:2">
      <c r="A1835" s="218"/>
      <c r="B1835" s="214"/>
    </row>
    <row r="1836" spans="1:2">
      <c r="A1836" s="218"/>
      <c r="B1836" s="214"/>
    </row>
    <row r="1837" spans="1:2">
      <c r="A1837" s="218"/>
      <c r="B1837" s="214"/>
    </row>
    <row r="1838" spans="1:2">
      <c r="A1838" s="218"/>
      <c r="B1838" s="214"/>
    </row>
    <row r="1839" spans="1:2">
      <c r="A1839" s="218"/>
      <c r="B1839" s="214"/>
    </row>
    <row r="1840" spans="1:2">
      <c r="A1840" s="218"/>
      <c r="B1840" s="214"/>
    </row>
    <row r="1841" spans="1:2">
      <c r="A1841" s="218"/>
      <c r="B1841" s="214"/>
    </row>
    <row r="1842" spans="1:2">
      <c r="A1842" s="218"/>
      <c r="B1842" s="214"/>
    </row>
    <row r="1843" spans="1:2">
      <c r="A1843" s="218"/>
      <c r="B1843" s="214"/>
    </row>
    <row r="1844" spans="1:2">
      <c r="A1844" s="218"/>
      <c r="B1844" s="214"/>
    </row>
    <row r="1845" spans="1:2">
      <c r="A1845" s="218"/>
      <c r="B1845" s="214"/>
    </row>
    <row r="1846" spans="1:2">
      <c r="A1846" s="218"/>
      <c r="B1846" s="214"/>
    </row>
    <row r="1847" spans="1:2">
      <c r="A1847" s="218"/>
      <c r="B1847" s="214"/>
    </row>
    <row r="1848" spans="1:2">
      <c r="A1848" s="218"/>
      <c r="B1848" s="214"/>
    </row>
    <row r="1849" spans="1:2">
      <c r="A1849" s="218"/>
      <c r="B1849" s="214"/>
    </row>
    <row r="1850" spans="1:2">
      <c r="A1850" s="218"/>
      <c r="B1850" s="214"/>
    </row>
    <row r="1851" spans="1:2">
      <c r="A1851" s="218"/>
      <c r="B1851" s="214"/>
    </row>
    <row r="1852" spans="1:2">
      <c r="A1852" s="218"/>
      <c r="B1852" s="214"/>
    </row>
    <row r="1853" spans="1:2">
      <c r="A1853" s="218"/>
      <c r="B1853" s="214"/>
    </row>
    <row r="1854" spans="1:2">
      <c r="A1854" s="218"/>
      <c r="B1854" s="214"/>
    </row>
    <row r="1855" spans="1:2">
      <c r="A1855" s="218"/>
      <c r="B1855" s="214"/>
    </row>
    <row r="1856" spans="1:2">
      <c r="A1856" s="218"/>
      <c r="B1856" s="214"/>
    </row>
    <row r="1857" spans="1:2">
      <c r="A1857" s="218"/>
      <c r="B1857" s="214"/>
    </row>
    <row r="1858" spans="1:2">
      <c r="A1858" s="218"/>
      <c r="B1858" s="214"/>
    </row>
    <row r="1859" spans="1:2">
      <c r="A1859" s="218"/>
      <c r="B1859" s="214"/>
    </row>
    <row r="1860" spans="1:2">
      <c r="A1860" s="218"/>
      <c r="B1860" s="214"/>
    </row>
    <row r="1861" spans="1:2">
      <c r="A1861" s="218"/>
      <c r="B1861" s="214"/>
    </row>
    <row r="1862" spans="1:2">
      <c r="A1862" s="218"/>
      <c r="B1862" s="214"/>
    </row>
    <row r="1863" spans="1:2">
      <c r="A1863" s="218"/>
      <c r="B1863" s="214"/>
    </row>
    <row r="1864" spans="1:2">
      <c r="A1864" s="218"/>
      <c r="B1864" s="214"/>
    </row>
    <row r="1865" spans="1:2">
      <c r="A1865" s="218"/>
      <c r="B1865" s="214"/>
    </row>
    <row r="1866" spans="1:2">
      <c r="A1866" s="218"/>
      <c r="B1866" s="214"/>
    </row>
    <row r="1867" spans="1:2">
      <c r="A1867" s="218"/>
      <c r="B1867" s="214"/>
    </row>
    <row r="1868" spans="1:2">
      <c r="A1868" s="218"/>
      <c r="B1868" s="214"/>
    </row>
    <row r="1869" spans="1:2">
      <c r="A1869" s="218"/>
      <c r="B1869" s="214"/>
    </row>
    <row r="1870" spans="1:2">
      <c r="A1870" s="218"/>
      <c r="B1870" s="214"/>
    </row>
    <row r="1871" spans="1:2">
      <c r="A1871" s="218"/>
      <c r="B1871" s="214"/>
    </row>
    <row r="1872" spans="1:2">
      <c r="A1872" s="218"/>
      <c r="B1872" s="214"/>
    </row>
    <row r="1873" spans="1:2">
      <c r="A1873" s="218"/>
      <c r="B1873" s="214"/>
    </row>
    <row r="1874" spans="1:2">
      <c r="A1874" s="218"/>
      <c r="B1874" s="214"/>
    </row>
    <row r="1875" spans="1:2">
      <c r="A1875" s="218"/>
      <c r="B1875" s="214"/>
    </row>
    <row r="1876" spans="1:2">
      <c r="A1876" s="218"/>
      <c r="B1876" s="214"/>
    </row>
    <row r="1877" spans="1:2">
      <c r="A1877" s="218"/>
      <c r="B1877" s="214"/>
    </row>
    <row r="1878" spans="1:2">
      <c r="A1878" s="218"/>
      <c r="B1878" s="214"/>
    </row>
    <row r="1879" spans="1:2">
      <c r="A1879" s="218"/>
      <c r="B1879" s="214"/>
    </row>
    <row r="1880" spans="1:2">
      <c r="A1880" s="218"/>
      <c r="B1880" s="214"/>
    </row>
    <row r="1881" spans="1:2">
      <c r="A1881" s="218"/>
      <c r="B1881" s="214"/>
    </row>
    <row r="1882" spans="1:2">
      <c r="A1882" s="218"/>
      <c r="B1882" s="214"/>
    </row>
    <row r="1883" spans="1:2">
      <c r="A1883" s="218"/>
      <c r="B1883" s="214"/>
    </row>
    <row r="1884" spans="1:2">
      <c r="A1884" s="218"/>
      <c r="B1884" s="214"/>
    </row>
    <row r="1885" spans="1:2">
      <c r="A1885" s="218"/>
      <c r="B1885" s="214"/>
    </row>
    <row r="1886" spans="1:2">
      <c r="A1886" s="218"/>
      <c r="B1886" s="214"/>
    </row>
    <row r="1887" spans="1:2">
      <c r="A1887" s="218"/>
      <c r="B1887" s="214"/>
    </row>
    <row r="1888" spans="1:2">
      <c r="A1888" s="218"/>
      <c r="B1888" s="214"/>
    </row>
    <row r="1889" spans="1:2">
      <c r="A1889" s="218"/>
      <c r="B1889" s="214"/>
    </row>
    <row r="1890" spans="1:2">
      <c r="A1890" s="218"/>
      <c r="B1890" s="214"/>
    </row>
    <row r="1891" spans="1:2">
      <c r="A1891" s="218"/>
      <c r="B1891" s="214"/>
    </row>
    <row r="1892" spans="1:2">
      <c r="A1892" s="218"/>
      <c r="B1892" s="214"/>
    </row>
    <row r="1893" spans="1:2">
      <c r="A1893" s="218"/>
      <c r="B1893" s="214"/>
    </row>
    <row r="1894" spans="1:2">
      <c r="A1894" s="218"/>
      <c r="B1894" s="214"/>
    </row>
    <row r="1895" spans="1:2">
      <c r="A1895" s="218"/>
      <c r="B1895" s="214"/>
    </row>
    <row r="1896" spans="1:2">
      <c r="A1896" s="218"/>
      <c r="B1896" s="214"/>
    </row>
    <row r="1897" spans="1:2">
      <c r="A1897" s="218"/>
      <c r="B1897" s="214"/>
    </row>
    <row r="1898" spans="1:2">
      <c r="A1898" s="218"/>
      <c r="B1898" s="214"/>
    </row>
    <row r="1899" spans="1:2">
      <c r="A1899" s="218"/>
      <c r="B1899" s="214"/>
    </row>
    <row r="1900" spans="1:2">
      <c r="A1900" s="218"/>
      <c r="B1900" s="214"/>
    </row>
    <row r="1901" spans="1:2">
      <c r="A1901" s="218"/>
      <c r="B1901" s="214"/>
    </row>
    <row r="1902" spans="1:2">
      <c r="A1902" s="218"/>
      <c r="B1902" s="214"/>
    </row>
    <row r="1903" spans="1:2">
      <c r="A1903" s="218"/>
      <c r="B1903" s="214"/>
    </row>
    <row r="1904" spans="1:2">
      <c r="A1904" s="218"/>
      <c r="B1904" s="214"/>
    </row>
    <row r="1905" spans="1:2">
      <c r="A1905" s="218"/>
      <c r="B1905" s="214"/>
    </row>
    <row r="1906" spans="1:2">
      <c r="A1906" s="218"/>
      <c r="B1906" s="214"/>
    </row>
    <row r="1907" spans="1:2">
      <c r="A1907" s="218"/>
      <c r="B1907" s="214"/>
    </row>
    <row r="1908" spans="1:2">
      <c r="A1908" s="218"/>
      <c r="B1908" s="214"/>
    </row>
    <row r="1909" spans="1:2">
      <c r="A1909" s="218"/>
      <c r="B1909" s="214"/>
    </row>
    <row r="1910" spans="1:2">
      <c r="A1910" s="218"/>
      <c r="B1910" s="214"/>
    </row>
    <row r="1911" spans="1:2">
      <c r="A1911" s="218"/>
      <c r="B1911" s="214"/>
    </row>
    <row r="1912" spans="1:2">
      <c r="A1912" s="218"/>
      <c r="B1912" s="214"/>
    </row>
    <row r="1913" spans="1:2">
      <c r="A1913" s="218"/>
      <c r="B1913" s="214"/>
    </row>
    <row r="1914" spans="1:2">
      <c r="A1914" s="218"/>
      <c r="B1914" s="214"/>
    </row>
    <row r="1915" spans="1:2">
      <c r="A1915" s="218"/>
      <c r="B1915" s="214"/>
    </row>
    <row r="1916" spans="1:2">
      <c r="A1916" s="218"/>
      <c r="B1916" s="214"/>
    </row>
    <row r="1917" spans="1:2">
      <c r="A1917" s="218"/>
      <c r="B1917" s="214"/>
    </row>
    <row r="1918" spans="1:2">
      <c r="A1918" s="218"/>
      <c r="B1918" s="214"/>
    </row>
    <row r="1919" spans="1:2">
      <c r="A1919" s="218"/>
      <c r="B1919" s="214"/>
    </row>
    <row r="1920" spans="1:2">
      <c r="A1920" s="218"/>
      <c r="B1920" s="214"/>
    </row>
    <row r="1921" spans="1:2">
      <c r="A1921" s="218"/>
      <c r="B1921" s="214"/>
    </row>
    <row r="1922" spans="1:2">
      <c r="A1922" s="218"/>
      <c r="B1922" s="214"/>
    </row>
    <row r="1923" spans="1:2">
      <c r="A1923" s="218"/>
      <c r="B1923" s="214"/>
    </row>
    <row r="1924" spans="1:2">
      <c r="A1924" s="218"/>
      <c r="B1924" s="214"/>
    </row>
    <row r="1925" spans="1:2">
      <c r="A1925" s="218"/>
      <c r="B1925" s="214"/>
    </row>
    <row r="1926" spans="1:2">
      <c r="A1926" s="218"/>
      <c r="B1926" s="214"/>
    </row>
    <row r="1927" spans="1:2">
      <c r="A1927" s="218"/>
      <c r="B1927" s="214"/>
    </row>
    <row r="1928" spans="1:2">
      <c r="A1928" s="218"/>
      <c r="B1928" s="214"/>
    </row>
    <row r="1929" spans="1:2">
      <c r="A1929" s="218"/>
      <c r="B1929" s="214"/>
    </row>
    <row r="1930" spans="1:2">
      <c r="A1930" s="218"/>
      <c r="B1930" s="214"/>
    </row>
    <row r="1931" spans="1:2">
      <c r="A1931" s="218"/>
      <c r="B1931" s="214"/>
    </row>
    <row r="1932" spans="1:2">
      <c r="A1932" s="218"/>
      <c r="B1932" s="214"/>
    </row>
    <row r="1933" spans="1:2">
      <c r="A1933" s="218"/>
      <c r="B1933" s="214"/>
    </row>
    <row r="1934" spans="1:2">
      <c r="A1934" s="218"/>
      <c r="B1934" s="214"/>
    </row>
    <row r="1935" spans="1:2">
      <c r="A1935" s="218"/>
      <c r="B1935" s="214"/>
    </row>
    <row r="1936" spans="1:2">
      <c r="A1936" s="218"/>
      <c r="B1936" s="214"/>
    </row>
    <row r="1937" spans="1:2">
      <c r="A1937" s="218"/>
      <c r="B1937" s="214"/>
    </row>
    <row r="1938" spans="1:2">
      <c r="A1938" s="218"/>
      <c r="B1938" s="214"/>
    </row>
    <row r="1939" spans="1:2">
      <c r="A1939" s="218"/>
      <c r="B1939" s="214"/>
    </row>
    <row r="1940" spans="1:2">
      <c r="A1940" s="218"/>
      <c r="B1940" s="214"/>
    </row>
    <row r="1941" spans="1:2">
      <c r="A1941" s="218"/>
      <c r="B1941" s="214"/>
    </row>
    <row r="1942" spans="1:2">
      <c r="A1942" s="218"/>
      <c r="B1942" s="214"/>
    </row>
    <row r="1943" spans="1:2">
      <c r="A1943" s="218"/>
      <c r="B1943" s="214"/>
    </row>
    <row r="1944" spans="1:2">
      <c r="A1944" s="218"/>
      <c r="B1944" s="214"/>
    </row>
    <row r="1945" spans="1:2">
      <c r="A1945" s="218"/>
      <c r="B1945" s="214"/>
    </row>
    <row r="1946" spans="1:2">
      <c r="A1946" s="218"/>
      <c r="B1946" s="214"/>
    </row>
    <row r="1947" spans="1:2">
      <c r="A1947" s="218"/>
      <c r="B1947" s="214"/>
    </row>
    <row r="1948" spans="1:2">
      <c r="A1948" s="218"/>
      <c r="B1948" s="214"/>
    </row>
    <row r="1949" spans="1:2">
      <c r="A1949" s="218"/>
      <c r="B1949" s="214"/>
    </row>
    <row r="1950" spans="1:2">
      <c r="A1950" s="218"/>
      <c r="B1950" s="214"/>
    </row>
    <row r="1951" spans="1:2">
      <c r="A1951" s="218"/>
      <c r="B1951" s="214"/>
    </row>
    <row r="1952" spans="1:2">
      <c r="A1952" s="218"/>
      <c r="B1952" s="214"/>
    </row>
    <row r="1953" spans="1:2">
      <c r="A1953" s="218"/>
      <c r="B1953" s="214"/>
    </row>
    <row r="1954" spans="1:2">
      <c r="A1954" s="218"/>
      <c r="B1954" s="214"/>
    </row>
    <row r="1955" spans="1:2">
      <c r="A1955" s="218"/>
      <c r="B1955" s="214"/>
    </row>
    <row r="1956" spans="1:2">
      <c r="A1956" s="218"/>
      <c r="B1956" s="214"/>
    </row>
    <row r="1957" spans="1:2">
      <c r="A1957" s="218"/>
      <c r="B1957" s="214"/>
    </row>
    <row r="1958" spans="1:2">
      <c r="A1958" s="218"/>
      <c r="B1958" s="214"/>
    </row>
    <row r="1959" spans="1:2">
      <c r="A1959" s="218"/>
      <c r="B1959" s="214"/>
    </row>
    <row r="1960" spans="1:2">
      <c r="A1960" s="218"/>
      <c r="B1960" s="214"/>
    </row>
    <row r="1961" spans="1:2">
      <c r="A1961" s="218"/>
      <c r="B1961" s="214"/>
    </row>
    <row r="1962" spans="1:2">
      <c r="A1962" s="218"/>
      <c r="B1962" s="214"/>
    </row>
    <row r="1963" spans="1:2">
      <c r="A1963" s="218"/>
      <c r="B1963" s="214"/>
    </row>
    <row r="1964" spans="1:2">
      <c r="A1964" s="218"/>
      <c r="B1964" s="214"/>
    </row>
    <row r="1965" spans="1:2">
      <c r="A1965" s="218"/>
      <c r="B1965" s="214"/>
    </row>
    <row r="1966" spans="1:2">
      <c r="A1966" s="218"/>
      <c r="B1966" s="214"/>
    </row>
    <row r="1967" spans="1:2">
      <c r="A1967" s="218"/>
      <c r="B1967" s="214"/>
    </row>
    <row r="1968" spans="1:2">
      <c r="A1968" s="218"/>
      <c r="B1968" s="214"/>
    </row>
    <row r="1969" spans="1:2">
      <c r="A1969" s="218"/>
      <c r="B1969" s="214"/>
    </row>
    <row r="1970" spans="1:2">
      <c r="A1970" s="218"/>
      <c r="B1970" s="214"/>
    </row>
    <row r="1971" spans="1:2">
      <c r="A1971" s="218"/>
      <c r="B1971" s="214"/>
    </row>
    <row r="1972" spans="1:2">
      <c r="A1972" s="218"/>
      <c r="B1972" s="214"/>
    </row>
    <row r="1973" spans="1:2">
      <c r="A1973" s="218"/>
      <c r="B1973" s="214"/>
    </row>
    <row r="1974" spans="1:2">
      <c r="A1974" s="218"/>
      <c r="B1974" s="214"/>
    </row>
    <row r="1975" spans="1:2">
      <c r="A1975" s="218"/>
      <c r="B1975" s="214"/>
    </row>
    <row r="1976" spans="1:2">
      <c r="A1976" s="218"/>
      <c r="B1976" s="214"/>
    </row>
    <row r="1977" spans="1:2">
      <c r="A1977" s="218"/>
      <c r="B1977" s="214"/>
    </row>
    <row r="1978" spans="1:2">
      <c r="A1978" s="218"/>
      <c r="B1978" s="214"/>
    </row>
    <row r="1979" spans="1:2">
      <c r="A1979" s="218"/>
      <c r="B1979" s="214"/>
    </row>
    <row r="1980" spans="1:2">
      <c r="A1980" s="218"/>
      <c r="B1980" s="214"/>
    </row>
    <row r="1981" spans="1:2">
      <c r="A1981" s="218"/>
      <c r="B1981" s="214"/>
    </row>
    <row r="1982" spans="1:2">
      <c r="A1982" s="218"/>
      <c r="B1982" s="214"/>
    </row>
    <row r="1983" spans="1:2">
      <c r="A1983" s="218"/>
      <c r="B1983" s="214"/>
    </row>
    <row r="1984" spans="1:2">
      <c r="A1984" s="218"/>
      <c r="B1984" s="214"/>
    </row>
    <row r="1985" spans="1:2">
      <c r="A1985" s="218"/>
      <c r="B1985" s="214"/>
    </row>
    <row r="1986" spans="1:2">
      <c r="A1986" s="218"/>
      <c r="B1986" s="214"/>
    </row>
    <row r="1987" spans="1:2">
      <c r="A1987" s="218"/>
      <c r="B1987" s="214"/>
    </row>
    <row r="1988" spans="1:2">
      <c r="A1988" s="218"/>
      <c r="B1988" s="214"/>
    </row>
    <row r="1989" spans="1:2">
      <c r="A1989" s="218"/>
      <c r="B1989" s="214"/>
    </row>
    <row r="1990" spans="1:2">
      <c r="A1990" s="218"/>
      <c r="B1990" s="214"/>
    </row>
    <row r="1991" spans="1:2">
      <c r="A1991" s="218"/>
      <c r="B1991" s="214"/>
    </row>
    <row r="1992" spans="1:2">
      <c r="A1992" s="218"/>
      <c r="B1992" s="214"/>
    </row>
    <row r="1993" spans="1:2">
      <c r="A1993" s="218"/>
      <c r="B1993" s="214"/>
    </row>
    <row r="1994" spans="1:2">
      <c r="A1994" s="218"/>
      <c r="B1994" s="214"/>
    </row>
    <row r="1995" spans="1:2">
      <c r="A1995" s="218"/>
      <c r="B1995" s="214"/>
    </row>
    <row r="1996" spans="1:2">
      <c r="A1996" s="218"/>
      <c r="B1996" s="214"/>
    </row>
    <row r="1997" spans="1:2">
      <c r="A1997" s="218"/>
      <c r="B1997" s="214"/>
    </row>
    <row r="1998" spans="1:2">
      <c r="A1998" s="218"/>
      <c r="B1998" s="214"/>
    </row>
    <row r="1999" spans="1:2">
      <c r="A1999" s="218"/>
      <c r="B1999" s="214"/>
    </row>
    <row r="2000" spans="1:2">
      <c r="A2000" s="218"/>
      <c r="B2000" s="214"/>
    </row>
    <row r="2001" spans="1:2">
      <c r="A2001" s="218"/>
      <c r="B2001" s="214"/>
    </row>
    <row r="2002" spans="1:2">
      <c r="A2002" s="218"/>
      <c r="B2002" s="214"/>
    </row>
    <row r="2003" spans="1:2">
      <c r="A2003" s="218"/>
      <c r="B2003" s="214"/>
    </row>
    <row r="2004" spans="1:2">
      <c r="A2004" s="218"/>
      <c r="B2004" s="214"/>
    </row>
    <row r="2005" spans="1:2">
      <c r="A2005" s="218"/>
      <c r="B2005" s="214"/>
    </row>
    <row r="2006" spans="1:2">
      <c r="A2006" s="218"/>
      <c r="B2006" s="214"/>
    </row>
    <row r="2007" spans="1:2">
      <c r="A2007" s="218"/>
      <c r="B2007" s="214"/>
    </row>
    <row r="2008" spans="1:2">
      <c r="A2008" s="218"/>
      <c r="B2008" s="214"/>
    </row>
    <row r="2009" spans="1:2">
      <c r="A2009" s="218"/>
      <c r="B2009" s="214"/>
    </row>
    <row r="2010" spans="1:2">
      <c r="A2010" s="218"/>
      <c r="B2010" s="214"/>
    </row>
    <row r="2011" spans="1:2">
      <c r="A2011" s="218"/>
      <c r="B2011" s="214"/>
    </row>
    <row r="2012" spans="1:2">
      <c r="A2012" s="218"/>
      <c r="B2012" s="214"/>
    </row>
    <row r="2013" spans="1:2">
      <c r="A2013" s="218"/>
      <c r="B2013" s="214"/>
    </row>
    <row r="2014" spans="1:2">
      <c r="A2014" s="218"/>
      <c r="B2014" s="214"/>
    </row>
    <row r="2015" spans="1:2">
      <c r="A2015" s="218"/>
      <c r="B2015" s="214"/>
    </row>
    <row r="2016" spans="1:2">
      <c r="A2016" s="218"/>
      <c r="B2016" s="214"/>
    </row>
    <row r="2017" spans="1:2">
      <c r="A2017" s="218"/>
      <c r="B2017" s="214"/>
    </row>
    <row r="2018" spans="1:2">
      <c r="A2018" s="218"/>
      <c r="B2018" s="214"/>
    </row>
    <row r="2019" spans="1:2">
      <c r="A2019" s="218"/>
      <c r="B2019" s="214"/>
    </row>
    <row r="2020" spans="1:2">
      <c r="A2020" s="218"/>
      <c r="B2020" s="214"/>
    </row>
    <row r="2021" spans="1:2">
      <c r="A2021" s="218"/>
      <c r="B2021" s="214"/>
    </row>
    <row r="2022" spans="1:2">
      <c r="A2022" s="218"/>
      <c r="B2022" s="214"/>
    </row>
    <row r="2023" spans="1:2">
      <c r="A2023" s="218"/>
      <c r="B2023" s="214"/>
    </row>
    <row r="2024" spans="1:2">
      <c r="A2024" s="218"/>
      <c r="B2024" s="214"/>
    </row>
    <row r="2025" spans="1:2">
      <c r="A2025" s="218"/>
      <c r="B2025" s="214"/>
    </row>
    <row r="2026" spans="1:2">
      <c r="A2026" s="218"/>
      <c r="B2026" s="214"/>
    </row>
    <row r="2027" spans="1:2">
      <c r="A2027" s="218"/>
      <c r="B2027" s="214"/>
    </row>
    <row r="2028" spans="1:2">
      <c r="A2028" s="218"/>
      <c r="B2028" s="214"/>
    </row>
    <row r="2029" spans="1:2">
      <c r="A2029" s="218"/>
      <c r="B2029" s="214"/>
    </row>
    <row r="2030" spans="1:2">
      <c r="A2030" s="218"/>
      <c r="B2030" s="214"/>
    </row>
    <row r="2031" spans="1:2">
      <c r="A2031" s="218"/>
      <c r="B2031" s="214"/>
    </row>
    <row r="2032" spans="1:2">
      <c r="A2032" s="218"/>
      <c r="B2032" s="214"/>
    </row>
    <row r="2033" spans="1:2">
      <c r="A2033" s="218"/>
      <c r="B2033" s="214"/>
    </row>
    <row r="2034" spans="1:2">
      <c r="A2034" s="218"/>
      <c r="B2034" s="214"/>
    </row>
    <row r="2035" spans="1:2">
      <c r="A2035" s="218"/>
      <c r="B2035" s="214"/>
    </row>
    <row r="2036" spans="1:2">
      <c r="A2036" s="218"/>
      <c r="B2036" s="214"/>
    </row>
    <row r="2037" spans="1:2">
      <c r="A2037" s="218"/>
      <c r="B2037" s="214"/>
    </row>
    <row r="2038" spans="1:2">
      <c r="A2038" s="218"/>
      <c r="B2038" s="214"/>
    </row>
    <row r="2039" spans="1:2">
      <c r="A2039" s="218"/>
      <c r="B2039" s="214"/>
    </row>
    <row r="2040" spans="1:2">
      <c r="A2040" s="218"/>
      <c r="B2040" s="214"/>
    </row>
    <row r="2041" spans="1:2">
      <c r="A2041" s="218"/>
      <c r="B2041" s="214"/>
    </row>
    <row r="2042" spans="1:2">
      <c r="A2042" s="218"/>
      <c r="B2042" s="214"/>
    </row>
    <row r="2043" spans="1:2">
      <c r="A2043" s="218"/>
      <c r="B2043" s="214"/>
    </row>
    <row r="2044" spans="1:2">
      <c r="A2044" s="218"/>
      <c r="B2044" s="214"/>
    </row>
    <row r="2045" spans="1:2">
      <c r="A2045" s="218"/>
      <c r="B2045" s="214"/>
    </row>
    <row r="2046" spans="1:2">
      <c r="A2046" s="218"/>
      <c r="B2046" s="214"/>
    </row>
    <row r="2047" spans="1:2">
      <c r="A2047" s="218"/>
      <c r="B2047" s="214"/>
    </row>
    <row r="2048" spans="1:2">
      <c r="A2048" s="218"/>
      <c r="B2048" s="214"/>
    </row>
    <row r="2049" spans="1:2">
      <c r="A2049" s="218"/>
      <c r="B2049" s="214"/>
    </row>
    <row r="2050" spans="1:2">
      <c r="A2050" s="218"/>
      <c r="B2050" s="214"/>
    </row>
    <row r="2051" spans="1:2">
      <c r="A2051" s="218"/>
      <c r="B2051" s="214"/>
    </row>
    <row r="2052" spans="1:2">
      <c r="A2052" s="218"/>
      <c r="B2052" s="214"/>
    </row>
    <row r="2053" spans="1:2">
      <c r="A2053" s="218"/>
      <c r="B2053" s="214"/>
    </row>
    <row r="2054" spans="1:2">
      <c r="A2054" s="218"/>
      <c r="B2054" s="214"/>
    </row>
    <row r="2055" spans="1:2">
      <c r="A2055" s="218"/>
      <c r="B2055" s="214"/>
    </row>
    <row r="2056" spans="1:2">
      <c r="A2056" s="218"/>
      <c r="B2056" s="214"/>
    </row>
    <row r="2057" spans="1:2">
      <c r="A2057" s="218"/>
      <c r="B2057" s="214"/>
    </row>
    <row r="2058" spans="1:2">
      <c r="A2058" s="218"/>
      <c r="B2058" s="214"/>
    </row>
    <row r="2059" spans="1:2">
      <c r="A2059" s="218"/>
      <c r="B2059" s="214"/>
    </row>
    <row r="2060" spans="1:2">
      <c r="A2060" s="218"/>
      <c r="B2060" s="214"/>
    </row>
    <row r="2061" spans="1:2">
      <c r="A2061" s="218"/>
      <c r="B2061" s="214"/>
    </row>
    <row r="2062" spans="1:2">
      <c r="A2062" s="218"/>
      <c r="B2062" s="214"/>
    </row>
    <row r="2063" spans="1:2">
      <c r="A2063" s="218"/>
      <c r="B2063" s="214"/>
    </row>
    <row r="2064" spans="1:2">
      <c r="A2064" s="218"/>
      <c r="B2064" s="214"/>
    </row>
    <row r="2065" spans="1:2">
      <c r="A2065" s="218"/>
      <c r="B2065" s="214"/>
    </row>
    <row r="2066" spans="1:2">
      <c r="A2066" s="218"/>
      <c r="B2066" s="214"/>
    </row>
    <row r="2067" spans="1:2">
      <c r="A2067" s="218"/>
      <c r="B2067" s="214"/>
    </row>
    <row r="2068" spans="1:2">
      <c r="A2068" s="218"/>
      <c r="B2068" s="214"/>
    </row>
    <row r="2069" spans="1:2">
      <c r="A2069" s="218"/>
      <c r="B2069" s="214"/>
    </row>
    <row r="2070" spans="1:2">
      <c r="A2070" s="218"/>
      <c r="B2070" s="214"/>
    </row>
    <row r="2071" spans="1:2">
      <c r="A2071" s="218"/>
      <c r="B2071" s="214"/>
    </row>
    <row r="2072" spans="1:2">
      <c r="A2072" s="218"/>
      <c r="B2072" s="214"/>
    </row>
    <row r="2073" spans="1:2">
      <c r="A2073" s="218"/>
      <c r="B2073" s="214"/>
    </row>
    <row r="2074" spans="1:2">
      <c r="A2074" s="218"/>
      <c r="B2074" s="214"/>
    </row>
    <row r="2075" spans="1:2">
      <c r="A2075" s="218"/>
      <c r="B2075" s="214"/>
    </row>
    <row r="2076" spans="1:2">
      <c r="A2076" s="218"/>
      <c r="B2076" s="214"/>
    </row>
    <row r="2077" spans="1:2">
      <c r="A2077" s="218"/>
      <c r="B2077" s="214"/>
    </row>
    <row r="2078" spans="1:2">
      <c r="A2078" s="218"/>
      <c r="B2078" s="214"/>
    </row>
    <row r="2079" spans="1:2">
      <c r="A2079" s="218"/>
      <c r="B2079" s="214"/>
    </row>
    <row r="2080" spans="1:2">
      <c r="A2080" s="218"/>
      <c r="B2080" s="214"/>
    </row>
    <row r="2081" spans="1:2">
      <c r="A2081" s="218"/>
      <c r="B2081" s="214"/>
    </row>
    <row r="2082" spans="1:2">
      <c r="A2082" s="218"/>
      <c r="B2082" s="214"/>
    </row>
    <row r="2083" spans="1:2">
      <c r="A2083" s="218"/>
      <c r="B2083" s="214"/>
    </row>
    <row r="2084" spans="1:2">
      <c r="A2084" s="218"/>
      <c r="B2084" s="214"/>
    </row>
    <row r="2085" spans="1:2">
      <c r="A2085" s="218"/>
      <c r="B2085" s="214"/>
    </row>
    <row r="2086" spans="1:2">
      <c r="A2086" s="218"/>
      <c r="B2086" s="214"/>
    </row>
    <row r="2087" spans="1:2">
      <c r="A2087" s="218"/>
      <c r="B2087" s="214"/>
    </row>
    <row r="2088" spans="1:2">
      <c r="A2088" s="218"/>
      <c r="B2088" s="214"/>
    </row>
    <row r="2089" spans="1:2">
      <c r="A2089" s="218"/>
      <c r="B2089" s="214"/>
    </row>
    <row r="2090" spans="1:2">
      <c r="A2090" s="218"/>
      <c r="B2090" s="214"/>
    </row>
    <row r="2091" spans="1:2">
      <c r="A2091" s="218"/>
      <c r="B2091" s="214"/>
    </row>
    <row r="2092" spans="1:2">
      <c r="A2092" s="218"/>
      <c r="B2092" s="214"/>
    </row>
    <row r="2093" spans="1:2">
      <c r="A2093" s="218"/>
      <c r="B2093" s="214"/>
    </row>
    <row r="2094" spans="1:2">
      <c r="A2094" s="218"/>
      <c r="B2094" s="214"/>
    </row>
    <row r="2095" spans="1:2">
      <c r="A2095" s="218"/>
      <c r="B2095" s="214"/>
    </row>
    <row r="2096" spans="1:2">
      <c r="A2096" s="218"/>
      <c r="B2096" s="214"/>
    </row>
    <row r="2097" spans="1:2">
      <c r="A2097" s="218"/>
      <c r="B2097" s="214"/>
    </row>
    <row r="2098" spans="1:2">
      <c r="A2098" s="218"/>
      <c r="B2098" s="214"/>
    </row>
    <row r="2099" spans="1:2">
      <c r="A2099" s="218"/>
      <c r="B2099" s="214"/>
    </row>
    <row r="2100" spans="1:2">
      <c r="A2100" s="218"/>
      <c r="B2100" s="214"/>
    </row>
    <row r="2101" spans="1:2">
      <c r="A2101" s="218"/>
      <c r="B2101" s="214"/>
    </row>
    <row r="2102" spans="1:2">
      <c r="A2102" s="218"/>
      <c r="B2102" s="214"/>
    </row>
    <row r="2103" spans="1:2">
      <c r="A2103" s="218"/>
      <c r="B2103" s="214"/>
    </row>
    <row r="2104" spans="1:2">
      <c r="A2104" s="218"/>
      <c r="B2104" s="214"/>
    </row>
    <row r="2105" spans="1:2">
      <c r="A2105" s="218"/>
      <c r="B2105" s="214"/>
    </row>
    <row r="2106" spans="1:2">
      <c r="A2106" s="218"/>
      <c r="B2106" s="214"/>
    </row>
    <row r="2107" spans="1:2">
      <c r="A2107" s="218"/>
      <c r="B2107" s="214"/>
    </row>
    <row r="2108" spans="1:2">
      <c r="A2108" s="218"/>
      <c r="B2108" s="214"/>
    </row>
    <row r="2109" spans="1:2">
      <c r="A2109" s="218"/>
      <c r="B2109" s="214"/>
    </row>
    <row r="2110" spans="1:2">
      <c r="A2110" s="218"/>
      <c r="B2110" s="214"/>
    </row>
    <row r="2111" spans="1:2">
      <c r="A2111" s="218"/>
      <c r="B2111" s="214"/>
    </row>
    <row r="2112" spans="1:2">
      <c r="A2112" s="218"/>
      <c r="B2112" s="214"/>
    </row>
    <row r="2113" spans="1:2">
      <c r="A2113" s="218"/>
      <c r="B2113" s="214"/>
    </row>
    <row r="2114" spans="1:2">
      <c r="A2114" s="218"/>
      <c r="B2114" s="214"/>
    </row>
    <row r="2115" spans="1:2">
      <c r="A2115" s="218"/>
      <c r="B2115" s="214"/>
    </row>
    <row r="2116" spans="1:2">
      <c r="A2116" s="218"/>
      <c r="B2116" s="214"/>
    </row>
    <row r="2117" spans="1:2">
      <c r="A2117" s="218"/>
      <c r="B2117" s="214"/>
    </row>
    <row r="2118" spans="1:2">
      <c r="A2118" s="218"/>
      <c r="B2118" s="214"/>
    </row>
    <row r="2119" spans="1:2">
      <c r="A2119" s="218"/>
      <c r="B2119" s="214"/>
    </row>
    <row r="2120" spans="1:2">
      <c r="A2120" s="218"/>
      <c r="B2120" s="214"/>
    </row>
    <row r="2121" spans="1:2">
      <c r="A2121" s="218"/>
      <c r="B2121" s="214"/>
    </row>
    <row r="2122" spans="1:2">
      <c r="A2122" s="218"/>
      <c r="B2122" s="214"/>
    </row>
    <row r="2123" spans="1:2">
      <c r="A2123" s="218"/>
      <c r="B2123" s="214"/>
    </row>
    <row r="2124" spans="1:2">
      <c r="A2124" s="218"/>
      <c r="B2124" s="214"/>
    </row>
    <row r="2125" spans="1:2">
      <c r="A2125" s="218"/>
      <c r="B2125" s="214"/>
    </row>
    <row r="2126" spans="1:2">
      <c r="A2126" s="218"/>
      <c r="B2126" s="214"/>
    </row>
    <row r="2127" spans="1:2">
      <c r="A2127" s="218"/>
      <c r="B2127" s="214"/>
    </row>
    <row r="2128" spans="1:2">
      <c r="A2128" s="218"/>
      <c r="B2128" s="214"/>
    </row>
    <row r="2129" spans="1:2">
      <c r="A2129" s="218"/>
      <c r="B2129" s="214"/>
    </row>
    <row r="2130" spans="1:2">
      <c r="A2130" s="218"/>
      <c r="B2130" s="214"/>
    </row>
    <row r="2131" spans="1:2">
      <c r="A2131" s="218"/>
      <c r="B2131" s="214"/>
    </row>
    <row r="2132" spans="1:2">
      <c r="A2132" s="218"/>
      <c r="B2132" s="214"/>
    </row>
    <row r="2133" spans="1:2">
      <c r="A2133" s="218"/>
      <c r="B2133" s="214"/>
    </row>
    <row r="2134" spans="1:2">
      <c r="A2134" s="218"/>
      <c r="B2134" s="214"/>
    </row>
    <row r="2135" spans="1:2">
      <c r="A2135" s="218"/>
      <c r="B2135" s="214"/>
    </row>
    <row r="2136" spans="1:2">
      <c r="A2136" s="218"/>
      <c r="B2136" s="214"/>
    </row>
    <row r="2137" spans="1:2">
      <c r="A2137" s="218"/>
      <c r="B2137" s="214"/>
    </row>
    <row r="2138" spans="1:2">
      <c r="A2138" s="218"/>
      <c r="B2138" s="214"/>
    </row>
    <row r="2139" spans="1:2">
      <c r="A2139" s="218"/>
      <c r="B2139" s="214"/>
    </row>
    <row r="2140" spans="1:2">
      <c r="A2140" s="218"/>
      <c r="B2140" s="214"/>
    </row>
    <row r="2141" spans="1:2">
      <c r="A2141" s="218"/>
      <c r="B2141" s="214"/>
    </row>
    <row r="2142" spans="1:2">
      <c r="A2142" s="218"/>
      <c r="B2142" s="214"/>
    </row>
    <row r="2143" spans="1:2">
      <c r="A2143" s="218"/>
      <c r="B2143" s="214"/>
    </row>
    <row r="2144" spans="1:2">
      <c r="A2144" s="218"/>
      <c r="B2144" s="214"/>
    </row>
    <row r="2145" spans="1:2">
      <c r="A2145" s="218"/>
      <c r="B2145" s="214"/>
    </row>
    <row r="2146" spans="1:2">
      <c r="A2146" s="218"/>
      <c r="B2146" s="214"/>
    </row>
    <row r="2147" spans="1:2">
      <c r="A2147" s="218"/>
      <c r="B2147" s="214"/>
    </row>
    <row r="2148" spans="1:2">
      <c r="A2148" s="218"/>
      <c r="B2148" s="214"/>
    </row>
    <row r="2149" spans="1:2">
      <c r="A2149" s="218"/>
      <c r="B2149" s="214"/>
    </row>
    <row r="2150" spans="1:2">
      <c r="A2150" s="218"/>
      <c r="B2150" s="214"/>
    </row>
    <row r="2151" spans="1:2">
      <c r="A2151" s="218"/>
      <c r="B2151" s="214"/>
    </row>
    <row r="2152" spans="1:2">
      <c r="A2152" s="218"/>
      <c r="B2152" s="214"/>
    </row>
    <row r="2153" spans="1:2">
      <c r="A2153" s="218"/>
      <c r="B2153" s="214"/>
    </row>
    <row r="2154" spans="1:2">
      <c r="A2154" s="218"/>
      <c r="B2154" s="214"/>
    </row>
    <row r="2155" spans="1:2">
      <c r="A2155" s="218"/>
      <c r="B2155" s="214"/>
    </row>
    <row r="2156" spans="1:2">
      <c r="A2156" s="218"/>
      <c r="B2156" s="214"/>
    </row>
    <row r="2157" spans="1:2">
      <c r="A2157" s="218"/>
      <c r="B2157" s="214"/>
    </row>
    <row r="2158" spans="1:2">
      <c r="A2158" s="218"/>
      <c r="B2158" s="214"/>
    </row>
    <row r="2159" spans="1:2">
      <c r="A2159" s="218"/>
      <c r="B2159" s="214"/>
    </row>
    <row r="2160" spans="1:2">
      <c r="A2160" s="218"/>
      <c r="B2160" s="214"/>
    </row>
    <row r="2161" spans="1:2">
      <c r="A2161" s="218"/>
      <c r="B2161" s="214"/>
    </row>
    <row r="2162" spans="1:2">
      <c r="A2162" s="218"/>
      <c r="B2162" s="214"/>
    </row>
    <row r="2163" spans="1:2">
      <c r="A2163" s="218"/>
      <c r="B2163" s="214"/>
    </row>
    <row r="2164" spans="1:2">
      <c r="A2164" s="218"/>
      <c r="B2164" s="214"/>
    </row>
    <row r="2165" spans="1:2">
      <c r="A2165" s="218"/>
      <c r="B2165" s="214"/>
    </row>
    <row r="2166" spans="1:2">
      <c r="A2166" s="218"/>
      <c r="B2166" s="214"/>
    </row>
    <row r="2167" spans="1:2">
      <c r="A2167" s="218"/>
      <c r="B2167" s="214"/>
    </row>
    <row r="2168" spans="1:2">
      <c r="A2168" s="218"/>
      <c r="B2168" s="214"/>
    </row>
    <row r="2169" spans="1:2">
      <c r="A2169" s="218"/>
      <c r="B2169" s="214"/>
    </row>
    <row r="2170" spans="1:2">
      <c r="A2170" s="218"/>
      <c r="B2170" s="214"/>
    </row>
    <row r="2171" spans="1:2">
      <c r="A2171" s="218"/>
      <c r="B2171" s="214"/>
    </row>
    <row r="2172" spans="1:2">
      <c r="A2172" s="218"/>
      <c r="B2172" s="214"/>
    </row>
    <row r="2173" spans="1:2">
      <c r="A2173" s="218"/>
      <c r="B2173" s="214"/>
    </row>
    <row r="2174" spans="1:2">
      <c r="A2174" s="218"/>
      <c r="B2174" s="214"/>
    </row>
    <row r="2175" spans="1:2">
      <c r="A2175" s="218"/>
      <c r="B2175" s="214"/>
    </row>
    <row r="2176" spans="1:2">
      <c r="A2176" s="218"/>
      <c r="B2176" s="214"/>
    </row>
    <row r="2177" spans="1:2">
      <c r="A2177" s="218"/>
      <c r="B2177" s="214"/>
    </row>
    <row r="2178" spans="1:2">
      <c r="A2178" s="218"/>
      <c r="B2178" s="214"/>
    </row>
    <row r="2179" spans="1:2">
      <c r="A2179" s="218"/>
      <c r="B2179" s="214"/>
    </row>
    <row r="2180" spans="1:2">
      <c r="A2180" s="218"/>
      <c r="B2180" s="214"/>
    </row>
    <row r="2181" spans="1:2">
      <c r="A2181" s="218"/>
      <c r="B2181" s="214"/>
    </row>
    <row r="2182" spans="1:2">
      <c r="A2182" s="218"/>
      <c r="B2182" s="214"/>
    </row>
    <row r="2183" spans="1:2">
      <c r="A2183" s="218"/>
      <c r="B2183" s="214"/>
    </row>
    <row r="2184" spans="1:2">
      <c r="A2184" s="218"/>
      <c r="B2184" s="214"/>
    </row>
    <row r="2185" spans="1:2">
      <c r="A2185" s="218"/>
      <c r="B2185" s="214"/>
    </row>
    <row r="2186" spans="1:2">
      <c r="A2186" s="218"/>
      <c r="B2186" s="214"/>
    </row>
    <row r="2187" spans="1:2">
      <c r="A2187" s="218"/>
      <c r="B2187" s="214"/>
    </row>
    <row r="2188" spans="1:2">
      <c r="A2188" s="218"/>
      <c r="B2188" s="214"/>
    </row>
    <row r="2189" spans="1:2">
      <c r="A2189" s="218"/>
      <c r="B2189" s="214"/>
    </row>
    <row r="2190" spans="1:2">
      <c r="A2190" s="218"/>
      <c r="B2190" s="214"/>
    </row>
    <row r="2191" spans="1:2">
      <c r="A2191" s="218"/>
      <c r="B2191" s="214"/>
    </row>
    <row r="2192" spans="1:2">
      <c r="A2192" s="218"/>
      <c r="B2192" s="214"/>
    </row>
    <row r="2193" spans="1:2">
      <c r="A2193" s="218"/>
      <c r="B2193" s="214"/>
    </row>
    <row r="2194" spans="1:2">
      <c r="A2194" s="218"/>
      <c r="B2194" s="214"/>
    </row>
    <row r="2195" spans="1:2">
      <c r="A2195" s="218"/>
      <c r="B2195" s="214"/>
    </row>
    <row r="2196" spans="1:2">
      <c r="A2196" s="218"/>
      <c r="B2196" s="214"/>
    </row>
    <row r="2197" spans="1:2">
      <c r="A2197" s="218"/>
      <c r="B2197" s="214"/>
    </row>
    <row r="2198" spans="1:2">
      <c r="A2198" s="218"/>
      <c r="B2198" s="214"/>
    </row>
    <row r="2199" spans="1:2">
      <c r="A2199" s="218"/>
      <c r="B2199" s="214"/>
    </row>
    <row r="2200" spans="1:2">
      <c r="A2200" s="218"/>
      <c r="B2200" s="214"/>
    </row>
    <row r="2201" spans="1:2">
      <c r="A2201" s="218"/>
      <c r="B2201" s="214"/>
    </row>
    <row r="2202" spans="1:2">
      <c r="A2202" s="218"/>
      <c r="B2202" s="214"/>
    </row>
    <row r="2203" spans="1:2">
      <c r="A2203" s="218"/>
      <c r="B2203" s="214"/>
    </row>
    <row r="2204" spans="1:2">
      <c r="A2204" s="218"/>
      <c r="B2204" s="214"/>
    </row>
    <row r="2205" spans="1:2">
      <c r="A2205" s="218"/>
      <c r="B2205" s="214"/>
    </row>
    <row r="2206" spans="1:2">
      <c r="A2206" s="218"/>
      <c r="B2206" s="214"/>
    </row>
    <row r="2207" spans="1:2">
      <c r="A2207" s="218"/>
      <c r="B2207" s="214"/>
    </row>
    <row r="2208" spans="1:2">
      <c r="A2208" s="218"/>
      <c r="B2208" s="214"/>
    </row>
    <row r="2209" spans="1:2">
      <c r="A2209" s="218"/>
      <c r="B2209" s="214"/>
    </row>
    <row r="2210" spans="1:2">
      <c r="A2210" s="218"/>
      <c r="B2210" s="214"/>
    </row>
    <row r="2211" spans="1:2">
      <c r="A2211" s="218"/>
      <c r="B2211" s="214"/>
    </row>
    <row r="2212" spans="1:2">
      <c r="A2212" s="218"/>
      <c r="B2212" s="214"/>
    </row>
    <row r="2213" spans="1:2">
      <c r="A2213" s="218"/>
      <c r="B2213" s="214"/>
    </row>
    <row r="2214" spans="1:2">
      <c r="A2214" s="218"/>
      <c r="B2214" s="214"/>
    </row>
    <row r="2215" spans="1:2">
      <c r="A2215" s="218"/>
      <c r="B2215" s="214"/>
    </row>
    <row r="2216" spans="1:2">
      <c r="A2216" s="218"/>
      <c r="B2216" s="214"/>
    </row>
    <row r="2217" spans="1:2">
      <c r="A2217" s="218"/>
      <c r="B2217" s="214"/>
    </row>
    <row r="2218" spans="1:2">
      <c r="A2218" s="218"/>
      <c r="B2218" s="214"/>
    </row>
    <row r="2219" spans="1:2">
      <c r="A2219" s="218"/>
      <c r="B2219" s="214"/>
    </row>
    <row r="2220" spans="1:2">
      <c r="A2220" s="218"/>
      <c r="B2220" s="214"/>
    </row>
    <row r="2221" spans="1:2">
      <c r="A2221" s="218"/>
      <c r="B2221" s="214"/>
    </row>
    <row r="2222" spans="1:2">
      <c r="A2222" s="218"/>
      <c r="B2222" s="214"/>
    </row>
    <row r="2223" spans="1:2">
      <c r="A2223" s="218"/>
      <c r="B2223" s="214"/>
    </row>
    <row r="2224" spans="1:2">
      <c r="A2224" s="218"/>
      <c r="B2224" s="214"/>
    </row>
    <row r="2225" spans="1:2">
      <c r="A2225" s="218"/>
      <c r="B2225" s="214"/>
    </row>
    <row r="2226" spans="1:2">
      <c r="A2226" s="218"/>
      <c r="B2226" s="214"/>
    </row>
    <row r="2227" spans="1:2">
      <c r="A2227" s="218"/>
      <c r="B2227" s="214"/>
    </row>
    <row r="2228" spans="1:2">
      <c r="A2228" s="218"/>
      <c r="B2228" s="214"/>
    </row>
    <row r="2229" spans="1:2">
      <c r="A2229" s="218"/>
      <c r="B2229" s="214"/>
    </row>
    <row r="2230" spans="1:2">
      <c r="A2230" s="218"/>
      <c r="B2230" s="214"/>
    </row>
    <row r="2231" spans="1:2">
      <c r="A2231" s="218"/>
      <c r="B2231" s="214"/>
    </row>
    <row r="2232" spans="1:2">
      <c r="A2232" s="218"/>
      <c r="B2232" s="214"/>
    </row>
    <row r="2233" spans="1:2">
      <c r="A2233" s="218"/>
      <c r="B2233" s="214"/>
    </row>
    <row r="2234" spans="1:2">
      <c r="A2234" s="218"/>
      <c r="B2234" s="214"/>
    </row>
    <row r="2235" spans="1:2">
      <c r="A2235" s="218"/>
      <c r="B2235" s="214"/>
    </row>
    <row r="2236" spans="1:2">
      <c r="A2236" s="218"/>
      <c r="B2236" s="214"/>
    </row>
    <row r="2237" spans="1:2">
      <c r="A2237" s="218"/>
      <c r="B2237" s="214"/>
    </row>
    <row r="2238" spans="1:2">
      <c r="A2238" s="218"/>
      <c r="B2238" s="214"/>
    </row>
    <row r="2239" spans="1:2">
      <c r="A2239" s="218"/>
      <c r="B2239" s="214"/>
    </row>
    <row r="2240" spans="1:2">
      <c r="A2240" s="218"/>
      <c r="B2240" s="214"/>
    </row>
    <row r="2241" spans="1:2">
      <c r="A2241" s="218"/>
      <c r="B2241" s="214"/>
    </row>
    <row r="2242" spans="1:2">
      <c r="A2242" s="218"/>
      <c r="B2242" s="214"/>
    </row>
    <row r="2243" spans="1:2">
      <c r="A2243" s="218"/>
      <c r="B2243" s="214"/>
    </row>
    <row r="2244" spans="1:2">
      <c r="A2244" s="218"/>
      <c r="B2244" s="214"/>
    </row>
    <row r="2245" spans="1:2">
      <c r="A2245" s="218"/>
      <c r="B2245" s="214"/>
    </row>
    <row r="2246" spans="1:2">
      <c r="A2246" s="218"/>
      <c r="B2246" s="214"/>
    </row>
    <row r="2247" spans="1:2">
      <c r="A2247" s="218"/>
      <c r="B2247" s="214"/>
    </row>
    <row r="2248" spans="1:2">
      <c r="A2248" s="218"/>
      <c r="B2248" s="214"/>
    </row>
    <row r="2249" spans="1:2">
      <c r="A2249" s="218"/>
      <c r="B2249" s="214"/>
    </row>
    <row r="2250" spans="1:2">
      <c r="A2250" s="218"/>
      <c r="B2250" s="214"/>
    </row>
    <row r="2251" spans="1:2">
      <c r="A2251" s="218"/>
      <c r="B2251" s="214"/>
    </row>
    <row r="2252" spans="1:2">
      <c r="A2252" s="218"/>
      <c r="B2252" s="214"/>
    </row>
    <row r="2253" spans="1:2">
      <c r="A2253" s="218"/>
      <c r="B2253" s="214"/>
    </row>
    <row r="2254" spans="1:2">
      <c r="A2254" s="218"/>
      <c r="B2254" s="214"/>
    </row>
    <row r="2255" spans="1:2">
      <c r="A2255" s="218"/>
      <c r="B2255" s="214"/>
    </row>
    <row r="2256" spans="1:2">
      <c r="A2256" s="218"/>
      <c r="B2256" s="214"/>
    </row>
    <row r="2257" spans="1:2">
      <c r="A2257" s="218"/>
      <c r="B2257" s="214"/>
    </row>
    <row r="2258" spans="1:2">
      <c r="A2258" s="218"/>
      <c r="B2258" s="214"/>
    </row>
    <row r="2259" spans="1:2">
      <c r="A2259" s="218"/>
      <c r="B2259" s="214"/>
    </row>
    <row r="2260" spans="1:2">
      <c r="A2260" s="218"/>
      <c r="B2260" s="214"/>
    </row>
    <row r="2261" spans="1:2">
      <c r="A2261" s="218"/>
      <c r="B2261" s="214"/>
    </row>
    <row r="2262" spans="1:2">
      <c r="A2262" s="218"/>
      <c r="B2262" s="214"/>
    </row>
    <row r="2263" spans="1:2">
      <c r="A2263" s="218"/>
      <c r="B2263" s="214"/>
    </row>
    <row r="2264" spans="1:2">
      <c r="A2264" s="218"/>
      <c r="B2264" s="214"/>
    </row>
    <row r="2265" spans="1:2">
      <c r="A2265" s="218"/>
      <c r="B2265" s="214"/>
    </row>
    <row r="2266" spans="1:2">
      <c r="A2266" s="218"/>
      <c r="B2266" s="214"/>
    </row>
    <row r="2267" spans="1:2">
      <c r="A2267" s="218"/>
      <c r="B2267" s="214"/>
    </row>
    <row r="2268" spans="1:2">
      <c r="A2268" s="218"/>
      <c r="B2268" s="214"/>
    </row>
    <row r="2269" spans="1:2">
      <c r="A2269" s="218"/>
      <c r="B2269" s="214"/>
    </row>
    <row r="2270" spans="1:2">
      <c r="A2270" s="218"/>
      <c r="B2270" s="214"/>
    </row>
    <row r="2271" spans="1:2">
      <c r="A2271" s="218"/>
      <c r="B2271" s="214"/>
    </row>
    <row r="2272" spans="1:2">
      <c r="A2272" s="218"/>
      <c r="B2272" s="214"/>
    </row>
    <row r="2273" spans="1:2">
      <c r="A2273" s="218"/>
      <c r="B2273" s="214"/>
    </row>
    <row r="2274" spans="1:2">
      <c r="A2274" s="218"/>
      <c r="B2274" s="214"/>
    </row>
    <row r="2275" spans="1:2">
      <c r="A2275" s="218"/>
      <c r="B2275" s="214"/>
    </row>
    <row r="2276" spans="1:2">
      <c r="A2276" s="218"/>
      <c r="B2276" s="214"/>
    </row>
    <row r="2277" spans="1:2">
      <c r="A2277" s="218"/>
      <c r="B2277" s="214"/>
    </row>
    <row r="2278" spans="1:2">
      <c r="A2278" s="218"/>
      <c r="B2278" s="214"/>
    </row>
    <row r="2279" spans="1:2">
      <c r="A2279" s="218"/>
      <c r="B2279" s="214"/>
    </row>
    <row r="2280" spans="1:2">
      <c r="A2280" s="218"/>
      <c r="B2280" s="214"/>
    </row>
    <row r="2281" spans="1:2">
      <c r="A2281" s="218"/>
      <c r="B2281" s="214"/>
    </row>
    <row r="2282" spans="1:2">
      <c r="A2282" s="218"/>
      <c r="B2282" s="214"/>
    </row>
    <row r="2283" spans="1:2">
      <c r="A2283" s="218"/>
      <c r="B2283" s="214"/>
    </row>
    <row r="2284" spans="1:2">
      <c r="A2284" s="218"/>
      <c r="B2284" s="214"/>
    </row>
    <row r="2285" spans="1:2">
      <c r="A2285" s="218"/>
      <c r="B2285" s="214"/>
    </row>
    <row r="2286" spans="1:2">
      <c r="A2286" s="218"/>
      <c r="B2286" s="214"/>
    </row>
    <row r="2287" spans="1:2">
      <c r="A2287" s="218"/>
      <c r="B2287" s="214"/>
    </row>
    <row r="2288" spans="1:2">
      <c r="A2288" s="218"/>
      <c r="B2288" s="214"/>
    </row>
    <row r="2289" spans="1:2">
      <c r="A2289" s="218"/>
      <c r="B2289" s="214"/>
    </row>
    <row r="2290" spans="1:2">
      <c r="A2290" s="218"/>
      <c r="B2290" s="214"/>
    </row>
    <row r="2291" spans="1:2">
      <c r="A2291" s="218"/>
      <c r="B2291" s="214"/>
    </row>
    <row r="2292" spans="1:2">
      <c r="A2292" s="218"/>
      <c r="B2292" s="214"/>
    </row>
    <row r="2293" spans="1:2">
      <c r="A2293" s="218"/>
      <c r="B2293" s="214"/>
    </row>
    <row r="2294" spans="1:2">
      <c r="A2294" s="218"/>
      <c r="B2294" s="214"/>
    </row>
    <row r="2295" spans="1:2">
      <c r="A2295" s="218"/>
      <c r="B2295" s="214"/>
    </row>
    <row r="2296" spans="1:2">
      <c r="A2296" s="218"/>
      <c r="B2296" s="214"/>
    </row>
    <row r="2297" spans="1:2">
      <c r="A2297" s="218"/>
      <c r="B2297" s="214"/>
    </row>
    <row r="2298" spans="1:2">
      <c r="A2298" s="218"/>
      <c r="B2298" s="214"/>
    </row>
    <row r="2299" spans="1:2">
      <c r="A2299" s="218"/>
      <c r="B2299" s="214"/>
    </row>
    <row r="2300" spans="1:2">
      <c r="A2300" s="218"/>
      <c r="B2300" s="214"/>
    </row>
    <row r="2301" spans="1:2">
      <c r="A2301" s="218"/>
      <c r="B2301" s="214"/>
    </row>
    <row r="2302" spans="1:2">
      <c r="A2302" s="218"/>
      <c r="B2302" s="214"/>
    </row>
    <row r="2303" spans="1:2">
      <c r="A2303" s="218"/>
      <c r="B2303" s="214"/>
    </row>
    <row r="2304" spans="1:2">
      <c r="A2304" s="218"/>
      <c r="B2304" s="214"/>
    </row>
    <row r="2305" spans="1:2">
      <c r="A2305" s="218"/>
      <c r="B2305" s="214"/>
    </row>
    <row r="2306" spans="1:2">
      <c r="A2306" s="218"/>
      <c r="B2306" s="214"/>
    </row>
    <row r="2307" spans="1:2">
      <c r="A2307" s="218"/>
      <c r="B2307" s="214"/>
    </row>
    <row r="2308" spans="1:2">
      <c r="A2308" s="218"/>
      <c r="B2308" s="214"/>
    </row>
    <row r="2309" spans="1:2">
      <c r="A2309" s="218"/>
      <c r="B2309" s="214"/>
    </row>
    <row r="2310" spans="1:2">
      <c r="A2310" s="218"/>
      <c r="B2310" s="214"/>
    </row>
    <row r="2311" spans="1:2">
      <c r="A2311" s="218"/>
      <c r="B2311" s="214"/>
    </row>
    <row r="2312" spans="1:2">
      <c r="A2312" s="218"/>
      <c r="B2312" s="214"/>
    </row>
    <row r="2313" spans="1:2">
      <c r="A2313" s="218"/>
      <c r="B2313" s="214"/>
    </row>
    <row r="2314" spans="1:2">
      <c r="A2314" s="218"/>
      <c r="B2314" s="214"/>
    </row>
    <row r="2315" spans="1:2">
      <c r="A2315" s="218"/>
      <c r="B2315" s="214"/>
    </row>
    <row r="2316" spans="1:2">
      <c r="A2316" s="218"/>
      <c r="B2316" s="214"/>
    </row>
    <row r="2317" spans="1:2">
      <c r="A2317" s="218"/>
      <c r="B2317" s="214"/>
    </row>
    <row r="2318" spans="1:2">
      <c r="A2318" s="218"/>
      <c r="B2318" s="214"/>
    </row>
    <row r="2319" spans="1:2">
      <c r="A2319" s="218"/>
      <c r="B2319" s="214"/>
    </row>
    <row r="2320" spans="1:2">
      <c r="A2320" s="218"/>
      <c r="B2320" s="214"/>
    </row>
    <row r="2321" spans="1:2">
      <c r="A2321" s="218"/>
      <c r="B2321" s="214"/>
    </row>
    <row r="2322" spans="1:2">
      <c r="A2322" s="218"/>
      <c r="B2322" s="214"/>
    </row>
    <row r="2323" spans="1:2">
      <c r="A2323" s="218"/>
      <c r="B2323" s="214"/>
    </row>
    <row r="2324" spans="1:2">
      <c r="A2324" s="218"/>
      <c r="B2324" s="214"/>
    </row>
    <row r="2325" spans="1:2">
      <c r="A2325" s="218"/>
      <c r="B2325" s="214"/>
    </row>
    <row r="2326" spans="1:2">
      <c r="A2326" s="218"/>
      <c r="B2326" s="214"/>
    </row>
    <row r="2327" spans="1:2">
      <c r="A2327" s="218"/>
      <c r="B2327" s="214"/>
    </row>
    <row r="2328" spans="1:2">
      <c r="A2328" s="218"/>
      <c r="B2328" s="214"/>
    </row>
    <row r="2329" spans="1:2">
      <c r="A2329" s="218"/>
      <c r="B2329" s="214"/>
    </row>
    <row r="2330" spans="1:2">
      <c r="A2330" s="218"/>
      <c r="B2330" s="214"/>
    </row>
    <row r="2331" spans="1:2">
      <c r="A2331" s="218"/>
      <c r="B2331" s="214"/>
    </row>
    <row r="2332" spans="1:2">
      <c r="A2332" s="218"/>
      <c r="B2332" s="214"/>
    </row>
    <row r="2333" spans="1:2">
      <c r="A2333" s="218"/>
      <c r="B2333" s="214"/>
    </row>
    <row r="2334" spans="1:2">
      <c r="A2334" s="218"/>
      <c r="B2334" s="214"/>
    </row>
    <row r="2335" spans="1:2">
      <c r="A2335" s="218"/>
      <c r="B2335" s="214"/>
    </row>
    <row r="2336" spans="1:2">
      <c r="A2336" s="218"/>
      <c r="B2336" s="214"/>
    </row>
    <row r="2337" spans="1:2">
      <c r="A2337" s="218"/>
      <c r="B2337" s="214"/>
    </row>
    <row r="2338" spans="1:2">
      <c r="A2338" s="218"/>
      <c r="B2338" s="214"/>
    </row>
    <row r="2339" spans="1:2">
      <c r="A2339" s="218"/>
      <c r="B2339" s="214"/>
    </row>
    <row r="2340" spans="1:2">
      <c r="A2340" s="218"/>
      <c r="B2340" s="214"/>
    </row>
    <row r="2341" spans="1:2">
      <c r="A2341" s="218"/>
      <c r="B2341" s="214"/>
    </row>
    <row r="2342" spans="1:2">
      <c r="A2342" s="218"/>
      <c r="B2342" s="214"/>
    </row>
    <row r="2343" spans="1:2">
      <c r="A2343" s="218"/>
      <c r="B2343" s="214"/>
    </row>
    <row r="2344" spans="1:2">
      <c r="A2344" s="218"/>
      <c r="B2344" s="214"/>
    </row>
    <row r="2345" spans="1:2">
      <c r="A2345" s="218"/>
      <c r="B2345" s="214"/>
    </row>
    <row r="2346" spans="1:2">
      <c r="A2346" s="218"/>
      <c r="B2346" s="214"/>
    </row>
    <row r="2347" spans="1:2">
      <c r="A2347" s="218"/>
      <c r="B2347" s="214"/>
    </row>
    <row r="2348" spans="1:2">
      <c r="A2348" s="218"/>
      <c r="B2348" s="214"/>
    </row>
    <row r="2349" spans="1:2">
      <c r="A2349" s="218"/>
      <c r="B2349" s="214"/>
    </row>
    <row r="2350" spans="1:2">
      <c r="A2350" s="218"/>
      <c r="B2350" s="214"/>
    </row>
    <row r="2351" spans="1:2">
      <c r="A2351" s="218"/>
      <c r="B2351" s="214"/>
    </row>
    <row r="2352" spans="1:2">
      <c r="A2352" s="218"/>
      <c r="B2352" s="214"/>
    </row>
    <row r="2353" spans="1:2">
      <c r="A2353" s="218"/>
      <c r="B2353" s="214"/>
    </row>
    <row r="2354" spans="1:2">
      <c r="A2354" s="218"/>
      <c r="B2354" s="214"/>
    </row>
    <row r="2355" spans="1:2">
      <c r="A2355" s="218"/>
      <c r="B2355" s="214"/>
    </row>
    <row r="2356" spans="1:2">
      <c r="A2356" s="218"/>
      <c r="B2356" s="214"/>
    </row>
    <row r="2357" spans="1:2">
      <c r="A2357" s="218"/>
      <c r="B2357" s="214"/>
    </row>
    <row r="2358" spans="1:2">
      <c r="A2358" s="218"/>
      <c r="B2358" s="214"/>
    </row>
    <row r="2359" spans="1:2">
      <c r="A2359" s="218"/>
      <c r="B2359" s="214"/>
    </row>
    <row r="2360" spans="1:2">
      <c r="A2360" s="218"/>
      <c r="B2360" s="214"/>
    </row>
    <row r="2361" spans="1:2">
      <c r="A2361" s="218"/>
      <c r="B2361" s="214"/>
    </row>
    <row r="2362" spans="1:2">
      <c r="A2362" s="218"/>
      <c r="B2362" s="214"/>
    </row>
    <row r="2363" spans="1:2">
      <c r="A2363" s="218"/>
      <c r="B2363" s="214"/>
    </row>
    <row r="2364" spans="1:2">
      <c r="A2364" s="218"/>
      <c r="B2364" s="214"/>
    </row>
    <row r="2365" spans="1:2">
      <c r="A2365" s="218"/>
      <c r="B2365" s="214"/>
    </row>
    <row r="2366" spans="1:2">
      <c r="A2366" s="218"/>
      <c r="B2366" s="214"/>
    </row>
    <row r="2367" spans="1:2">
      <c r="A2367" s="218"/>
      <c r="B2367" s="214"/>
    </row>
    <row r="2368" spans="1:2">
      <c r="A2368" s="218"/>
      <c r="B2368" s="214"/>
    </row>
    <row r="2369" spans="1:2">
      <c r="A2369" s="218"/>
      <c r="B2369" s="214"/>
    </row>
    <row r="2370" spans="1:2">
      <c r="A2370" s="218"/>
      <c r="B2370" s="214"/>
    </row>
    <row r="2371" spans="1:2">
      <c r="A2371" s="218"/>
      <c r="B2371" s="214"/>
    </row>
    <row r="2372" spans="1:2">
      <c r="A2372" s="218"/>
      <c r="B2372" s="214"/>
    </row>
    <row r="2373" spans="1:2">
      <c r="A2373" s="218"/>
      <c r="B2373" s="214"/>
    </row>
    <row r="2374" spans="1:2">
      <c r="A2374" s="218"/>
      <c r="B2374" s="214"/>
    </row>
    <row r="2375" spans="1:2">
      <c r="A2375" s="218"/>
      <c r="B2375" s="214"/>
    </row>
    <row r="2376" spans="1:2">
      <c r="A2376" s="218"/>
      <c r="B2376" s="214"/>
    </row>
    <row r="2377" spans="1:2">
      <c r="A2377" s="218"/>
      <c r="B2377" s="214"/>
    </row>
    <row r="2378" spans="1:2">
      <c r="A2378" s="218"/>
      <c r="B2378" s="214"/>
    </row>
    <row r="2379" spans="1:2">
      <c r="A2379" s="218"/>
      <c r="B2379" s="214"/>
    </row>
    <row r="2380" spans="1:2">
      <c r="A2380" s="218"/>
      <c r="B2380" s="214"/>
    </row>
    <row r="2381" spans="1:2">
      <c r="A2381" s="218"/>
      <c r="B2381" s="214"/>
    </row>
    <row r="2382" spans="1:2">
      <c r="A2382" s="218"/>
      <c r="B2382" s="214"/>
    </row>
    <row r="2383" spans="1:2">
      <c r="A2383" s="218"/>
      <c r="B2383" s="214"/>
    </row>
    <row r="2384" spans="1:2">
      <c r="A2384" s="218"/>
      <c r="B2384" s="214"/>
    </row>
    <row r="2385" spans="1:2">
      <c r="A2385" s="218"/>
      <c r="B2385" s="214"/>
    </row>
    <row r="2386" spans="1:2">
      <c r="A2386" s="218"/>
      <c r="B2386" s="214"/>
    </row>
    <row r="2387" spans="1:2">
      <c r="A2387" s="218"/>
      <c r="B2387" s="214"/>
    </row>
    <row r="2388" spans="1:2">
      <c r="A2388" s="218"/>
      <c r="B2388" s="214"/>
    </row>
    <row r="2389" spans="1:2">
      <c r="A2389" s="218"/>
      <c r="B2389" s="214"/>
    </row>
    <row r="2390" spans="1:2">
      <c r="A2390" s="218"/>
      <c r="B2390" s="214"/>
    </row>
    <row r="2391" spans="1:2">
      <c r="A2391" s="218"/>
      <c r="B2391" s="214"/>
    </row>
    <row r="2392" spans="1:2">
      <c r="A2392" s="218"/>
      <c r="B2392" s="214"/>
    </row>
    <row r="2393" spans="1:2">
      <c r="A2393" s="218"/>
      <c r="B2393" s="214"/>
    </row>
    <row r="2394" spans="1:2">
      <c r="A2394" s="218"/>
      <c r="B2394" s="214"/>
    </row>
    <row r="2395" spans="1:2">
      <c r="A2395" s="218"/>
      <c r="B2395" s="214"/>
    </row>
    <row r="2396" spans="1:2">
      <c r="A2396" s="218"/>
      <c r="B2396" s="214"/>
    </row>
    <row r="2397" spans="1:2">
      <c r="A2397" s="218"/>
      <c r="B2397" s="214"/>
    </row>
    <row r="2398" spans="1:2">
      <c r="A2398" s="218"/>
      <c r="B2398" s="214"/>
    </row>
    <row r="2399" spans="1:2">
      <c r="A2399" s="218"/>
      <c r="B2399" s="214"/>
    </row>
    <row r="2400" spans="1:2">
      <c r="A2400" s="218"/>
      <c r="B2400" s="214"/>
    </row>
    <row r="2401" spans="1:2">
      <c r="A2401" s="218"/>
      <c r="B2401" s="214"/>
    </row>
    <row r="2402" spans="1:2">
      <c r="A2402" s="218"/>
      <c r="B2402" s="214"/>
    </row>
    <row r="2403" spans="1:2">
      <c r="A2403" s="218"/>
      <c r="B2403" s="214"/>
    </row>
    <row r="2404" spans="1:2">
      <c r="A2404" s="218"/>
      <c r="B2404" s="214"/>
    </row>
    <row r="2405" spans="1:2">
      <c r="A2405" s="218"/>
      <c r="B2405" s="214"/>
    </row>
    <row r="2406" spans="1:2">
      <c r="A2406" s="218"/>
      <c r="B2406" s="214"/>
    </row>
    <row r="2407" spans="1:2">
      <c r="A2407" s="218"/>
      <c r="B2407" s="214"/>
    </row>
    <row r="2408" spans="1:2">
      <c r="A2408" s="218"/>
      <c r="B2408" s="214"/>
    </row>
    <row r="2409" spans="1:2">
      <c r="A2409" s="218"/>
      <c r="B2409" s="214"/>
    </row>
    <row r="2410" spans="1:2">
      <c r="A2410" s="218"/>
      <c r="B2410" s="214"/>
    </row>
    <row r="2411" spans="1:2">
      <c r="A2411" s="218"/>
      <c r="B2411" s="214"/>
    </row>
    <row r="2412" spans="1:2">
      <c r="A2412" s="218"/>
      <c r="B2412" s="214"/>
    </row>
    <row r="2413" spans="1:2">
      <c r="A2413" s="218"/>
      <c r="B2413" s="214"/>
    </row>
    <row r="2414" spans="1:2">
      <c r="A2414" s="218"/>
      <c r="B2414" s="214"/>
    </row>
    <row r="2415" spans="1:2">
      <c r="A2415" s="218"/>
      <c r="B2415" s="214"/>
    </row>
    <row r="2416" spans="1:2">
      <c r="A2416" s="218"/>
      <c r="B2416" s="214"/>
    </row>
    <row r="2417" spans="1:2">
      <c r="A2417" s="218"/>
      <c r="B2417" s="214"/>
    </row>
    <row r="2418" spans="1:2">
      <c r="A2418" s="218"/>
      <c r="B2418" s="214"/>
    </row>
    <row r="2419" spans="1:2">
      <c r="A2419" s="218"/>
      <c r="B2419" s="214"/>
    </row>
    <row r="2420" spans="1:2">
      <c r="A2420" s="218"/>
      <c r="B2420" s="214"/>
    </row>
    <row r="2421" spans="1:2">
      <c r="A2421" s="218"/>
      <c r="B2421" s="214"/>
    </row>
    <row r="2422" spans="1:2">
      <c r="A2422" s="218"/>
      <c r="B2422" s="214"/>
    </row>
    <row r="2423" spans="1:2">
      <c r="A2423" s="218"/>
      <c r="B2423" s="214"/>
    </row>
    <row r="2424" spans="1:2">
      <c r="A2424" s="218"/>
      <c r="B2424" s="214"/>
    </row>
    <row r="2425" spans="1:2">
      <c r="A2425" s="218"/>
      <c r="B2425" s="214"/>
    </row>
    <row r="2426" spans="1:2">
      <c r="A2426" s="218"/>
      <c r="B2426" s="214"/>
    </row>
    <row r="2427" spans="1:2">
      <c r="A2427" s="218"/>
      <c r="B2427" s="214"/>
    </row>
    <row r="2428" spans="1:2">
      <c r="A2428" s="218"/>
      <c r="B2428" s="214"/>
    </row>
    <row r="2429" spans="1:2">
      <c r="A2429" s="218"/>
      <c r="B2429" s="214"/>
    </row>
    <row r="2430" spans="1:2">
      <c r="A2430" s="218"/>
      <c r="B2430" s="214"/>
    </row>
    <row r="2431" spans="1:2">
      <c r="A2431" s="218"/>
      <c r="B2431" s="214"/>
    </row>
    <row r="2432" spans="1:2">
      <c r="A2432" s="218"/>
      <c r="B2432" s="214"/>
    </row>
    <row r="2433" spans="1:2">
      <c r="A2433" s="218"/>
      <c r="B2433" s="214"/>
    </row>
    <row r="2434" spans="1:2">
      <c r="A2434" s="218"/>
      <c r="B2434" s="214"/>
    </row>
    <row r="2435" spans="1:2">
      <c r="A2435" s="218"/>
      <c r="B2435" s="214"/>
    </row>
    <row r="2436" spans="1:2">
      <c r="A2436" s="218"/>
      <c r="B2436" s="214"/>
    </row>
    <row r="2437" spans="1:2">
      <c r="A2437" s="218"/>
      <c r="B2437" s="214"/>
    </row>
    <row r="2438" spans="1:2">
      <c r="A2438" s="218"/>
      <c r="B2438" s="214"/>
    </row>
    <row r="2439" spans="1:2">
      <c r="A2439" s="218"/>
      <c r="B2439" s="214"/>
    </row>
    <row r="2440" spans="1:2">
      <c r="A2440" s="218"/>
      <c r="B2440" s="214"/>
    </row>
    <row r="2441" spans="1:2">
      <c r="A2441" s="218"/>
      <c r="B2441" s="214"/>
    </row>
    <row r="2442" spans="1:2">
      <c r="A2442" s="218"/>
      <c r="B2442" s="214"/>
    </row>
    <row r="2443" spans="1:2">
      <c r="A2443" s="218"/>
      <c r="B2443" s="214"/>
    </row>
    <row r="2444" spans="1:2">
      <c r="A2444" s="218"/>
      <c r="B2444" s="214"/>
    </row>
    <row r="2445" spans="1:2">
      <c r="A2445" s="218"/>
      <c r="B2445" s="214"/>
    </row>
    <row r="2446" spans="1:2">
      <c r="A2446" s="218"/>
      <c r="B2446" s="214"/>
    </row>
    <row r="2447" spans="1:2">
      <c r="A2447" s="218"/>
      <c r="B2447" s="214"/>
    </row>
    <row r="2448" spans="1:2">
      <c r="A2448" s="218"/>
      <c r="B2448" s="214"/>
    </row>
    <row r="2449" spans="1:2">
      <c r="A2449" s="218"/>
      <c r="B2449" s="214"/>
    </row>
    <row r="2450" spans="1:2">
      <c r="A2450" s="218"/>
      <c r="B2450" s="214"/>
    </row>
    <row r="2451" spans="1:2">
      <c r="A2451" s="218"/>
      <c r="B2451" s="214"/>
    </row>
    <row r="2452" spans="1:2">
      <c r="A2452" s="218"/>
      <c r="B2452" s="214"/>
    </row>
    <row r="2453" spans="1:2">
      <c r="A2453" s="218"/>
      <c r="B2453" s="214"/>
    </row>
    <row r="2454" spans="1:2">
      <c r="A2454" s="218"/>
      <c r="B2454" s="214"/>
    </row>
    <row r="2455" spans="1:2">
      <c r="A2455" s="218"/>
      <c r="B2455" s="214"/>
    </row>
    <row r="2456" spans="1:2">
      <c r="A2456" s="218"/>
      <c r="B2456" s="214"/>
    </row>
    <row r="2457" spans="1:2">
      <c r="A2457" s="218"/>
      <c r="B2457" s="214"/>
    </row>
    <row r="2458" spans="1:2">
      <c r="A2458" s="218"/>
      <c r="B2458" s="214"/>
    </row>
    <row r="2459" spans="1:2">
      <c r="A2459" s="218"/>
      <c r="B2459" s="214"/>
    </row>
    <row r="2460" spans="1:2">
      <c r="A2460" s="218"/>
      <c r="B2460" s="214"/>
    </row>
    <row r="2461" spans="1:2">
      <c r="A2461" s="218"/>
      <c r="B2461" s="214"/>
    </row>
    <row r="2462" spans="1:2">
      <c r="A2462" s="218"/>
      <c r="B2462" s="214"/>
    </row>
    <row r="2463" spans="1:2">
      <c r="A2463" s="218"/>
      <c r="B2463" s="214"/>
    </row>
    <row r="2464" spans="1:2">
      <c r="A2464" s="218"/>
      <c r="B2464" s="214"/>
    </row>
    <row r="2465" spans="1:2">
      <c r="A2465" s="218"/>
      <c r="B2465" s="214"/>
    </row>
    <row r="2466" spans="1:2">
      <c r="A2466" s="218"/>
      <c r="B2466" s="214"/>
    </row>
    <row r="2467" spans="1:2">
      <c r="A2467" s="218"/>
      <c r="B2467" s="214"/>
    </row>
    <row r="2468" spans="1:2">
      <c r="A2468" s="218"/>
      <c r="B2468" s="214"/>
    </row>
    <row r="2469" spans="1:2">
      <c r="A2469" s="218"/>
      <c r="B2469" s="214"/>
    </row>
    <row r="2470" spans="1:2">
      <c r="A2470" s="218"/>
      <c r="B2470" s="214"/>
    </row>
    <row r="2471" spans="1:2">
      <c r="A2471" s="218"/>
      <c r="B2471" s="214"/>
    </row>
    <row r="2472" spans="1:2">
      <c r="A2472" s="218"/>
      <c r="B2472" s="214"/>
    </row>
    <row r="2473" spans="1:2">
      <c r="A2473" s="218"/>
      <c r="B2473" s="214"/>
    </row>
    <row r="2474" spans="1:2">
      <c r="A2474" s="218"/>
      <c r="B2474" s="214"/>
    </row>
    <row r="2475" spans="1:2">
      <c r="A2475" s="218"/>
      <c r="B2475" s="214"/>
    </row>
    <row r="2476" spans="1:2">
      <c r="A2476" s="218"/>
      <c r="B2476" s="214"/>
    </row>
    <row r="2477" spans="1:2">
      <c r="A2477" s="218"/>
      <c r="B2477" s="214"/>
    </row>
    <row r="2478" spans="1:2">
      <c r="A2478" s="218"/>
      <c r="B2478" s="214"/>
    </row>
    <row r="2479" spans="1:2">
      <c r="A2479" s="218"/>
      <c r="B2479" s="214"/>
    </row>
    <row r="2480" spans="1:2">
      <c r="A2480" s="218"/>
      <c r="B2480" s="214"/>
    </row>
    <row r="2481" spans="1:2">
      <c r="A2481" s="218"/>
      <c r="B2481" s="214"/>
    </row>
    <row r="2482" spans="1:2">
      <c r="A2482" s="218"/>
      <c r="B2482" s="214"/>
    </row>
    <row r="2483" spans="1:2">
      <c r="A2483" s="218"/>
      <c r="B2483" s="214"/>
    </row>
    <row r="2484" spans="1:2">
      <c r="A2484" s="218"/>
      <c r="B2484" s="214"/>
    </row>
    <row r="2485" spans="1:2">
      <c r="A2485" s="218"/>
      <c r="B2485" s="214"/>
    </row>
    <row r="2486" spans="1:2">
      <c r="A2486" s="218"/>
      <c r="B2486" s="214"/>
    </row>
    <row r="2487" spans="1:2">
      <c r="A2487" s="218"/>
      <c r="B2487" s="214"/>
    </row>
    <row r="2488" spans="1:2">
      <c r="A2488" s="218"/>
      <c r="B2488" s="214"/>
    </row>
    <row r="2489" spans="1:2">
      <c r="A2489" s="218"/>
      <c r="B2489" s="214"/>
    </row>
    <row r="2490" spans="1:2">
      <c r="A2490" s="218"/>
      <c r="B2490" s="214"/>
    </row>
    <row r="2491" spans="1:2">
      <c r="A2491" s="218"/>
      <c r="B2491" s="214"/>
    </row>
    <row r="2492" spans="1:2">
      <c r="A2492" s="218"/>
      <c r="B2492" s="214"/>
    </row>
    <row r="2493" spans="1:2">
      <c r="A2493" s="218"/>
      <c r="B2493" s="214"/>
    </row>
    <row r="2494" spans="1:2">
      <c r="A2494" s="218"/>
      <c r="B2494" s="214"/>
    </row>
    <row r="2495" spans="1:2">
      <c r="A2495" s="218"/>
      <c r="B2495" s="214"/>
    </row>
    <row r="2496" spans="1:2">
      <c r="A2496" s="218"/>
      <c r="B2496" s="214"/>
    </row>
    <row r="2497" spans="1:2">
      <c r="A2497" s="218"/>
      <c r="B2497" s="214"/>
    </row>
    <row r="2498" spans="1:2">
      <c r="A2498" s="218"/>
      <c r="B2498" s="214"/>
    </row>
    <row r="2499" spans="1:2">
      <c r="A2499" s="218"/>
      <c r="B2499" s="214"/>
    </row>
    <row r="2500" spans="1:2">
      <c r="A2500" s="218"/>
      <c r="B2500" s="214"/>
    </row>
    <row r="2501" spans="1:2">
      <c r="A2501" s="218"/>
      <c r="B2501" s="214"/>
    </row>
    <row r="2502" spans="1:2">
      <c r="A2502" s="218"/>
      <c r="B2502" s="214"/>
    </row>
    <row r="2503" spans="1:2">
      <c r="A2503" s="218"/>
      <c r="B2503" s="214"/>
    </row>
    <row r="2504" spans="1:2">
      <c r="A2504" s="218"/>
      <c r="B2504" s="214"/>
    </row>
    <row r="2505" spans="1:2">
      <c r="A2505" s="218"/>
      <c r="B2505" s="214"/>
    </row>
    <row r="2506" spans="1:2">
      <c r="A2506" s="218"/>
      <c r="B2506" s="214"/>
    </row>
    <row r="2507" spans="1:2">
      <c r="A2507" s="218"/>
      <c r="B2507" s="214"/>
    </row>
    <row r="2508" spans="1:2">
      <c r="A2508" s="218"/>
      <c r="B2508" s="214"/>
    </row>
    <row r="2509" spans="1:2">
      <c r="A2509" s="218"/>
      <c r="B2509" s="214"/>
    </row>
    <row r="2510" spans="1:2">
      <c r="A2510" s="218"/>
      <c r="B2510" s="214"/>
    </row>
    <row r="2511" spans="1:2">
      <c r="A2511" s="218"/>
      <c r="B2511" s="214"/>
    </row>
    <row r="2512" spans="1:2">
      <c r="A2512" s="218"/>
      <c r="B2512" s="214"/>
    </row>
    <row r="2513" spans="1:2">
      <c r="A2513" s="218"/>
      <c r="B2513" s="214"/>
    </row>
    <row r="2514" spans="1:2">
      <c r="A2514" s="218"/>
      <c r="B2514" s="214"/>
    </row>
    <row r="2515" spans="1:2">
      <c r="A2515" s="218"/>
      <c r="B2515" s="214"/>
    </row>
    <row r="2516" spans="1:2">
      <c r="A2516" s="218"/>
      <c r="B2516" s="214"/>
    </row>
    <row r="2517" spans="1:2">
      <c r="A2517" s="218"/>
      <c r="B2517" s="214"/>
    </row>
    <row r="2518" spans="1:2">
      <c r="A2518" s="218"/>
      <c r="B2518" s="214"/>
    </row>
    <row r="2519" spans="1:2">
      <c r="A2519" s="218"/>
      <c r="B2519" s="214"/>
    </row>
    <row r="2520" spans="1:2">
      <c r="A2520" s="218"/>
      <c r="B2520" s="214"/>
    </row>
    <row r="2521" spans="1:2">
      <c r="A2521" s="218"/>
      <c r="B2521" s="214"/>
    </row>
    <row r="2522" spans="1:2">
      <c r="A2522" s="218"/>
      <c r="B2522" s="214"/>
    </row>
    <row r="2523" spans="1:2">
      <c r="A2523" s="218"/>
      <c r="B2523" s="214"/>
    </row>
    <row r="2524" spans="1:2">
      <c r="A2524" s="218"/>
      <c r="B2524" s="214"/>
    </row>
    <row r="2525" spans="1:2">
      <c r="A2525" s="218"/>
      <c r="B2525" s="214"/>
    </row>
    <row r="2526" spans="1:2">
      <c r="A2526" s="218"/>
      <c r="B2526" s="214"/>
    </row>
    <row r="2527" spans="1:2">
      <c r="A2527" s="218"/>
      <c r="B2527" s="214"/>
    </row>
    <row r="2528" spans="1:2">
      <c r="A2528" s="218"/>
      <c r="B2528" s="214"/>
    </row>
    <row r="2529" spans="1:2">
      <c r="A2529" s="218"/>
      <c r="B2529" s="214"/>
    </row>
    <row r="2530" spans="1:2">
      <c r="A2530" s="218"/>
      <c r="B2530" s="214"/>
    </row>
    <row r="2531" spans="1:2">
      <c r="A2531" s="218"/>
      <c r="B2531" s="214"/>
    </row>
    <row r="2532" spans="1:2">
      <c r="A2532" s="218"/>
      <c r="B2532" s="214"/>
    </row>
    <row r="2533" spans="1:2">
      <c r="A2533" s="218"/>
      <c r="B2533" s="214"/>
    </row>
    <row r="2534" spans="1:2">
      <c r="A2534" s="218"/>
      <c r="B2534" s="214"/>
    </row>
    <row r="2535" spans="1:2">
      <c r="A2535" s="218"/>
      <c r="B2535" s="214"/>
    </row>
    <row r="2536" spans="1:2">
      <c r="A2536" s="218"/>
      <c r="B2536" s="214"/>
    </row>
    <row r="2537" spans="1:2">
      <c r="A2537" s="218"/>
      <c r="B2537" s="214"/>
    </row>
    <row r="2538" spans="1:2">
      <c r="A2538" s="218"/>
      <c r="B2538" s="214"/>
    </row>
    <row r="2539" spans="1:2">
      <c r="A2539" s="218"/>
      <c r="B2539" s="214"/>
    </row>
    <row r="2540" spans="1:2">
      <c r="A2540" s="218"/>
      <c r="B2540" s="214"/>
    </row>
    <row r="2541" spans="1:2">
      <c r="A2541" s="218"/>
      <c r="B2541" s="214"/>
    </row>
    <row r="2542" spans="1:2">
      <c r="A2542" s="218"/>
      <c r="B2542" s="214"/>
    </row>
    <row r="2543" spans="1:2">
      <c r="A2543" s="218"/>
      <c r="B2543" s="214"/>
    </row>
    <row r="2544" spans="1:2">
      <c r="A2544" s="218"/>
      <c r="B2544" s="214"/>
    </row>
    <row r="2545" spans="1:2">
      <c r="A2545" s="218"/>
      <c r="B2545" s="214"/>
    </row>
    <row r="2546" spans="1:2">
      <c r="A2546" s="218"/>
      <c r="B2546" s="214"/>
    </row>
    <row r="2547" spans="1:2">
      <c r="A2547" s="218"/>
      <c r="B2547" s="214"/>
    </row>
    <row r="2548" spans="1:2">
      <c r="A2548" s="218"/>
      <c r="B2548" s="214"/>
    </row>
    <row r="2549" spans="1:2">
      <c r="A2549" s="218"/>
      <c r="B2549" s="214"/>
    </row>
    <row r="2550" spans="1:2">
      <c r="A2550" s="218"/>
      <c r="B2550" s="214"/>
    </row>
    <row r="2551" spans="1:2">
      <c r="A2551" s="218"/>
      <c r="B2551" s="214"/>
    </row>
    <row r="2552" spans="1:2">
      <c r="A2552" s="218"/>
      <c r="B2552" s="214"/>
    </row>
    <row r="2553" spans="1:2">
      <c r="A2553" s="218"/>
      <c r="B2553" s="214"/>
    </row>
    <row r="2554" spans="1:2">
      <c r="A2554" s="218"/>
      <c r="B2554" s="214"/>
    </row>
    <row r="2555" spans="1:2">
      <c r="A2555" s="218"/>
      <c r="B2555" s="214"/>
    </row>
    <row r="2556" spans="1:2">
      <c r="A2556" s="218"/>
      <c r="B2556" s="214"/>
    </row>
    <row r="2557" spans="1:2">
      <c r="A2557" s="218"/>
      <c r="B2557" s="214"/>
    </row>
    <row r="2558" spans="1:2">
      <c r="A2558" s="218"/>
      <c r="B2558" s="214"/>
    </row>
    <row r="2559" spans="1:2">
      <c r="A2559" s="218"/>
      <c r="B2559" s="214"/>
    </row>
    <row r="2560" spans="1:2">
      <c r="A2560" s="218"/>
      <c r="B2560" s="214"/>
    </row>
    <row r="2561" spans="1:2">
      <c r="A2561" s="218"/>
      <c r="B2561" s="214"/>
    </row>
    <row r="2562" spans="1:2">
      <c r="A2562" s="218"/>
      <c r="B2562" s="214"/>
    </row>
    <row r="2563" spans="1:2">
      <c r="A2563" s="218"/>
      <c r="B2563" s="214"/>
    </row>
    <row r="2564" spans="1:2">
      <c r="A2564" s="218"/>
      <c r="B2564" s="214"/>
    </row>
    <row r="2565" spans="1:2">
      <c r="A2565" s="218"/>
      <c r="B2565" s="214"/>
    </row>
    <row r="2566" spans="1:2">
      <c r="A2566" s="218"/>
      <c r="B2566" s="214"/>
    </row>
    <row r="2567" spans="1:2">
      <c r="A2567" s="218"/>
      <c r="B2567" s="214"/>
    </row>
    <row r="2568" spans="1:2">
      <c r="A2568" s="218"/>
      <c r="B2568" s="214"/>
    </row>
    <row r="2569" spans="1:2">
      <c r="A2569" s="218"/>
      <c r="B2569" s="214"/>
    </row>
    <row r="2570" spans="1:2">
      <c r="A2570" s="218"/>
      <c r="B2570" s="214"/>
    </row>
    <row r="2571" spans="1:2">
      <c r="A2571" s="218"/>
      <c r="B2571" s="214"/>
    </row>
    <row r="2572" spans="1:2">
      <c r="A2572" s="218"/>
      <c r="B2572" s="214"/>
    </row>
    <row r="2573" spans="1:2">
      <c r="A2573" s="218"/>
      <c r="B2573" s="214"/>
    </row>
    <row r="2574" spans="1:2">
      <c r="A2574" s="218"/>
      <c r="B2574" s="214"/>
    </row>
    <row r="2575" spans="1:2">
      <c r="A2575" s="218"/>
      <c r="B2575" s="214"/>
    </row>
    <row r="2576" spans="1:2">
      <c r="A2576" s="218"/>
      <c r="B2576" s="214"/>
    </row>
    <row r="2577" spans="1:2">
      <c r="A2577" s="218"/>
      <c r="B2577" s="214"/>
    </row>
    <row r="2578" spans="1:2">
      <c r="A2578" s="218"/>
      <c r="B2578" s="214"/>
    </row>
    <row r="2579" spans="1:2">
      <c r="A2579" s="218"/>
      <c r="B2579" s="214"/>
    </row>
    <row r="2580" spans="1:2">
      <c r="A2580" s="218"/>
      <c r="B2580" s="214"/>
    </row>
    <row r="2581" spans="1:2">
      <c r="A2581" s="218"/>
      <c r="B2581" s="214"/>
    </row>
    <row r="2582" spans="1:2">
      <c r="A2582" s="218"/>
      <c r="B2582" s="214"/>
    </row>
    <row r="2583" spans="1:2">
      <c r="A2583" s="218"/>
      <c r="B2583" s="214"/>
    </row>
    <row r="2584" spans="1:2">
      <c r="A2584" s="218"/>
      <c r="B2584" s="214"/>
    </row>
    <row r="2585" spans="1:2">
      <c r="A2585" s="218"/>
      <c r="B2585" s="214"/>
    </row>
    <row r="2586" spans="1:2">
      <c r="A2586" s="218"/>
      <c r="B2586" s="214"/>
    </row>
    <row r="2587" spans="1:2">
      <c r="A2587" s="218"/>
      <c r="B2587" s="214"/>
    </row>
    <row r="2588" spans="1:2">
      <c r="A2588" s="218"/>
      <c r="B2588" s="214"/>
    </row>
    <row r="2589" spans="1:2">
      <c r="A2589" s="218"/>
      <c r="B2589" s="214"/>
    </row>
    <row r="2590" spans="1:2">
      <c r="A2590" s="218"/>
      <c r="B2590" s="214"/>
    </row>
    <row r="2591" spans="1:2">
      <c r="A2591" s="218"/>
      <c r="B2591" s="214"/>
    </row>
    <row r="2592" spans="1:2">
      <c r="A2592" s="218"/>
      <c r="B2592" s="214"/>
    </row>
    <row r="2593" spans="1:2">
      <c r="A2593" s="218"/>
      <c r="B2593" s="214"/>
    </row>
    <row r="2594" spans="1:2">
      <c r="A2594" s="218"/>
      <c r="B2594" s="214"/>
    </row>
    <row r="2595" spans="1:2">
      <c r="A2595" s="218"/>
      <c r="B2595" s="214"/>
    </row>
    <row r="2596" spans="1:2">
      <c r="A2596" s="218"/>
      <c r="B2596" s="214"/>
    </row>
    <row r="2597" spans="1:2">
      <c r="A2597" s="218"/>
      <c r="B2597" s="214"/>
    </row>
    <row r="2598" spans="1:2">
      <c r="A2598" s="218"/>
      <c r="B2598" s="214"/>
    </row>
    <row r="2599" spans="1:2">
      <c r="A2599" s="218"/>
      <c r="B2599" s="214"/>
    </row>
    <row r="2600" spans="1:2">
      <c r="A2600" s="218"/>
      <c r="B2600" s="214"/>
    </row>
    <row r="2601" spans="1:2">
      <c r="A2601" s="218"/>
      <c r="B2601" s="214"/>
    </row>
    <row r="2602" spans="1:2">
      <c r="A2602" s="218"/>
      <c r="B2602" s="214"/>
    </row>
    <row r="2603" spans="1:2">
      <c r="A2603" s="218"/>
      <c r="B2603" s="214"/>
    </row>
    <row r="2604" spans="1:2">
      <c r="A2604" s="218"/>
      <c r="B2604" s="214"/>
    </row>
    <row r="2605" spans="1:2">
      <c r="A2605" s="218"/>
      <c r="B2605" s="214"/>
    </row>
    <row r="2606" spans="1:2">
      <c r="A2606" s="218"/>
      <c r="B2606" s="214"/>
    </row>
    <row r="2607" spans="1:2">
      <c r="A2607" s="218"/>
      <c r="B2607" s="214"/>
    </row>
    <row r="2608" spans="1:2">
      <c r="A2608" s="218"/>
      <c r="B2608" s="214"/>
    </row>
    <row r="2609" spans="1:2">
      <c r="A2609" s="218"/>
      <c r="B2609" s="214"/>
    </row>
    <row r="2610" spans="1:2">
      <c r="A2610" s="218"/>
      <c r="B2610" s="214"/>
    </row>
    <row r="2611" spans="1:2">
      <c r="A2611" s="218"/>
      <c r="B2611" s="214"/>
    </row>
    <row r="2612" spans="1:2">
      <c r="A2612" s="218"/>
      <c r="B2612" s="214"/>
    </row>
    <row r="2613" spans="1:2">
      <c r="A2613" s="218"/>
      <c r="B2613" s="214"/>
    </row>
    <row r="2614" spans="1:2">
      <c r="A2614" s="218"/>
      <c r="B2614" s="214"/>
    </row>
    <row r="2615" spans="1:2">
      <c r="A2615" s="218"/>
      <c r="B2615" s="214"/>
    </row>
    <row r="2616" spans="1:2">
      <c r="A2616" s="218"/>
      <c r="B2616" s="214"/>
    </row>
    <row r="2617" spans="1:2">
      <c r="A2617" s="218"/>
      <c r="B2617" s="214"/>
    </row>
    <row r="2618" spans="1:2">
      <c r="A2618" s="218"/>
      <c r="B2618" s="214"/>
    </row>
    <row r="2619" spans="1:2">
      <c r="A2619" s="218"/>
      <c r="B2619" s="214"/>
    </row>
    <row r="2620" spans="1:2">
      <c r="A2620" s="218"/>
      <c r="B2620" s="214"/>
    </row>
    <row r="2621" spans="1:2">
      <c r="A2621" s="218"/>
      <c r="B2621" s="214"/>
    </row>
    <row r="2622" spans="1:2">
      <c r="A2622" s="218"/>
      <c r="B2622" s="214"/>
    </row>
    <row r="2623" spans="1:2">
      <c r="A2623" s="218"/>
      <c r="B2623" s="214"/>
    </row>
    <row r="2624" spans="1:2">
      <c r="A2624" s="218"/>
      <c r="B2624" s="214"/>
    </row>
    <row r="2625" spans="1:2">
      <c r="A2625" s="218"/>
      <c r="B2625" s="214"/>
    </row>
    <row r="2626" spans="1:2">
      <c r="A2626" s="218"/>
      <c r="B2626" s="214"/>
    </row>
    <row r="2627" spans="1:2">
      <c r="A2627" s="218"/>
      <c r="B2627" s="214"/>
    </row>
    <row r="2628" spans="1:2">
      <c r="A2628" s="218"/>
      <c r="B2628" s="214"/>
    </row>
    <row r="2629" spans="1:2">
      <c r="A2629" s="218"/>
      <c r="B2629" s="214"/>
    </row>
    <row r="2630" spans="1:2">
      <c r="A2630" s="218"/>
      <c r="B2630" s="214"/>
    </row>
    <row r="2631" spans="1:2">
      <c r="A2631" s="218"/>
      <c r="B2631" s="214"/>
    </row>
    <row r="2632" spans="1:2">
      <c r="A2632" s="218"/>
      <c r="B2632" s="214"/>
    </row>
    <row r="2633" spans="1:2">
      <c r="A2633" s="218"/>
      <c r="B2633" s="214"/>
    </row>
    <row r="2634" spans="1:2">
      <c r="A2634" s="218"/>
      <c r="B2634" s="214"/>
    </row>
    <row r="2635" spans="1:2">
      <c r="A2635" s="218"/>
      <c r="B2635" s="214"/>
    </row>
    <row r="2636" spans="1:2">
      <c r="A2636" s="218"/>
      <c r="B2636" s="214"/>
    </row>
    <row r="2637" spans="1:2">
      <c r="A2637" s="218"/>
      <c r="B2637" s="214"/>
    </row>
    <row r="2638" spans="1:2">
      <c r="A2638" s="218"/>
      <c r="B2638" s="214"/>
    </row>
    <row r="2639" spans="1:2">
      <c r="A2639" s="218"/>
      <c r="B2639" s="214"/>
    </row>
    <row r="2640" spans="1:2">
      <c r="A2640" s="218"/>
      <c r="B2640" s="214"/>
    </row>
    <row r="2641" spans="1:2">
      <c r="A2641" s="218"/>
      <c r="B2641" s="214"/>
    </row>
    <row r="2642" spans="1:2">
      <c r="A2642" s="218"/>
      <c r="B2642" s="214"/>
    </row>
    <row r="2643" spans="1:2">
      <c r="A2643" s="218"/>
      <c r="B2643" s="214"/>
    </row>
    <row r="2644" spans="1:2">
      <c r="A2644" s="218"/>
      <c r="B2644" s="214"/>
    </row>
    <row r="2645" spans="1:2">
      <c r="A2645" s="218"/>
      <c r="B2645" s="214"/>
    </row>
    <row r="2646" spans="1:2">
      <c r="A2646" s="218"/>
      <c r="B2646" s="214"/>
    </row>
    <row r="2647" spans="1:2">
      <c r="A2647" s="218"/>
      <c r="B2647" s="214"/>
    </row>
    <row r="2648" spans="1:2">
      <c r="A2648" s="218"/>
      <c r="B2648" s="214"/>
    </row>
    <row r="2649" spans="1:2">
      <c r="A2649" s="218"/>
      <c r="B2649" s="214"/>
    </row>
    <row r="2650" spans="1:2">
      <c r="A2650" s="218"/>
      <c r="B2650" s="214"/>
    </row>
    <row r="2651" spans="1:2">
      <c r="A2651" s="218"/>
      <c r="B2651" s="214"/>
    </row>
    <row r="2652" spans="1:2">
      <c r="A2652" s="218"/>
      <c r="B2652" s="214"/>
    </row>
    <row r="2653" spans="1:2">
      <c r="A2653" s="218"/>
      <c r="B2653" s="214"/>
    </row>
    <row r="2654" spans="1:2">
      <c r="A2654" s="218"/>
      <c r="B2654" s="214"/>
    </row>
    <row r="2655" spans="1:2">
      <c r="A2655" s="218"/>
      <c r="B2655" s="214"/>
    </row>
    <row r="2656" spans="1:2">
      <c r="A2656" s="218"/>
      <c r="B2656" s="214"/>
    </row>
    <row r="2657" spans="1:2">
      <c r="A2657" s="218"/>
      <c r="B2657" s="214"/>
    </row>
    <row r="2658" spans="1:2">
      <c r="A2658" s="218"/>
      <c r="B2658" s="214"/>
    </row>
    <row r="2659" spans="1:2">
      <c r="A2659" s="218"/>
      <c r="B2659" s="214"/>
    </row>
    <row r="2660" spans="1:2">
      <c r="A2660" s="218"/>
      <c r="B2660" s="214"/>
    </row>
    <row r="2661" spans="1:2">
      <c r="A2661" s="218"/>
      <c r="B2661" s="214"/>
    </row>
    <row r="2662" spans="1:2">
      <c r="A2662" s="218"/>
      <c r="B2662" s="214"/>
    </row>
    <row r="2663" spans="1:2">
      <c r="A2663" s="218"/>
      <c r="B2663" s="214"/>
    </row>
    <row r="2664" spans="1:2">
      <c r="A2664" s="218"/>
      <c r="B2664" s="214"/>
    </row>
    <row r="2665" spans="1:2">
      <c r="A2665" s="218"/>
      <c r="B2665" s="214"/>
    </row>
    <row r="2666" spans="1:2">
      <c r="A2666" s="218"/>
      <c r="B2666" s="214"/>
    </row>
    <row r="2667" spans="1:2">
      <c r="A2667" s="218"/>
      <c r="B2667" s="214"/>
    </row>
    <row r="2668" spans="1:2">
      <c r="A2668" s="218"/>
      <c r="B2668" s="214"/>
    </row>
    <row r="2669" spans="1:2">
      <c r="A2669" s="218"/>
      <c r="B2669" s="214"/>
    </row>
    <row r="2670" spans="1:2">
      <c r="A2670" s="218"/>
      <c r="B2670" s="214"/>
    </row>
    <row r="2671" spans="1:2">
      <c r="A2671" s="218"/>
      <c r="B2671" s="214"/>
    </row>
    <row r="2672" spans="1:2">
      <c r="A2672" s="218"/>
      <c r="B2672" s="214"/>
    </row>
    <row r="2673" spans="1:2">
      <c r="A2673" s="218"/>
      <c r="B2673" s="214"/>
    </row>
    <row r="2674" spans="1:2">
      <c r="A2674" s="218"/>
      <c r="B2674" s="214"/>
    </row>
    <row r="2675" spans="1:2">
      <c r="A2675" s="218"/>
      <c r="B2675" s="214"/>
    </row>
    <row r="2676" spans="1:2">
      <c r="A2676" s="218"/>
      <c r="B2676" s="214"/>
    </row>
    <row r="2677" spans="1:2">
      <c r="A2677" s="218"/>
      <c r="B2677" s="214"/>
    </row>
    <row r="2678" spans="1:2">
      <c r="A2678" s="218"/>
      <c r="B2678" s="214"/>
    </row>
    <row r="2679" spans="1:2">
      <c r="A2679" s="218"/>
      <c r="B2679" s="214"/>
    </row>
    <row r="2680" spans="1:2">
      <c r="A2680" s="218"/>
      <c r="B2680" s="214"/>
    </row>
    <row r="2681" spans="1:2">
      <c r="A2681" s="218"/>
      <c r="B2681" s="214"/>
    </row>
    <row r="2682" spans="1:2">
      <c r="A2682" s="218"/>
      <c r="B2682" s="214"/>
    </row>
    <row r="2683" spans="1:2">
      <c r="A2683" s="218"/>
      <c r="B2683" s="214"/>
    </row>
    <row r="2684" spans="1:2">
      <c r="A2684" s="218"/>
      <c r="B2684" s="214"/>
    </row>
    <row r="2685" spans="1:2">
      <c r="A2685" s="218"/>
      <c r="B2685" s="214"/>
    </row>
    <row r="2686" spans="1:2">
      <c r="A2686" s="218"/>
      <c r="B2686" s="214"/>
    </row>
    <row r="2687" spans="1:2">
      <c r="A2687" s="218"/>
      <c r="B2687" s="214"/>
    </row>
    <row r="2688" spans="1:2">
      <c r="A2688" s="218"/>
      <c r="B2688" s="214"/>
    </row>
    <row r="2689" spans="1:2">
      <c r="A2689" s="218"/>
      <c r="B2689" s="214"/>
    </row>
    <row r="2690" spans="1:2">
      <c r="A2690" s="218"/>
      <c r="B2690" s="214"/>
    </row>
    <row r="2691" spans="1:2">
      <c r="A2691" s="218"/>
      <c r="B2691" s="214"/>
    </row>
    <row r="2692" spans="1:2">
      <c r="A2692" s="218"/>
      <c r="B2692" s="214"/>
    </row>
    <row r="2693" spans="1:2">
      <c r="A2693" s="218"/>
      <c r="B2693" s="214"/>
    </row>
    <row r="2694" spans="1:2">
      <c r="A2694" s="218"/>
      <c r="B2694" s="214"/>
    </row>
    <row r="2695" spans="1:2">
      <c r="A2695" s="218"/>
      <c r="B2695" s="214"/>
    </row>
    <row r="2696" spans="1:2">
      <c r="A2696" s="218"/>
      <c r="B2696" s="214"/>
    </row>
    <row r="2697" spans="1:2">
      <c r="A2697" s="218"/>
      <c r="B2697" s="214"/>
    </row>
    <row r="2698" spans="1:2">
      <c r="A2698" s="218"/>
      <c r="B2698" s="214"/>
    </row>
    <row r="2699" spans="1:2">
      <c r="A2699" s="218"/>
      <c r="B2699" s="214"/>
    </row>
    <row r="2700" spans="1:2">
      <c r="A2700" s="218"/>
      <c r="B2700" s="214"/>
    </row>
    <row r="2701" spans="1:2">
      <c r="A2701" s="218"/>
      <c r="B2701" s="214"/>
    </row>
    <row r="2702" spans="1:2">
      <c r="A2702" s="218"/>
      <c r="B2702" s="214"/>
    </row>
    <row r="2703" spans="1:2">
      <c r="A2703" s="218"/>
      <c r="B2703" s="214"/>
    </row>
    <row r="2704" spans="1:2">
      <c r="A2704" s="218"/>
      <c r="B2704" s="214"/>
    </row>
    <row r="2705" spans="1:2">
      <c r="A2705" s="218"/>
      <c r="B2705" s="214"/>
    </row>
    <row r="2706" spans="1:2">
      <c r="A2706" s="218"/>
      <c r="B2706" s="214"/>
    </row>
    <row r="2707" spans="1:2">
      <c r="A2707" s="218"/>
      <c r="B2707" s="214"/>
    </row>
    <row r="2708" spans="1:2">
      <c r="A2708" s="218"/>
      <c r="B2708" s="214"/>
    </row>
    <row r="2709" spans="1:2">
      <c r="A2709" s="218"/>
      <c r="B2709" s="214"/>
    </row>
    <row r="2710" spans="1:2">
      <c r="A2710" s="218"/>
      <c r="B2710" s="214"/>
    </row>
    <row r="2711" spans="1:2">
      <c r="A2711" s="218"/>
      <c r="B2711" s="214"/>
    </row>
    <row r="2712" spans="1:2">
      <c r="A2712" s="218"/>
      <c r="B2712" s="214"/>
    </row>
    <row r="2713" spans="1:2">
      <c r="A2713" s="218"/>
      <c r="B2713" s="214"/>
    </row>
    <row r="2714" spans="1:2">
      <c r="A2714" s="218"/>
      <c r="B2714" s="214"/>
    </row>
    <row r="2715" spans="1:2">
      <c r="A2715" s="218"/>
      <c r="B2715" s="214"/>
    </row>
    <row r="2716" spans="1:2">
      <c r="A2716" s="218"/>
      <c r="B2716" s="214"/>
    </row>
    <row r="2717" spans="1:2">
      <c r="A2717" s="218"/>
      <c r="B2717" s="214"/>
    </row>
    <row r="2718" spans="1:2">
      <c r="A2718" s="218"/>
      <c r="B2718" s="214"/>
    </row>
    <row r="2719" spans="1:2">
      <c r="A2719" s="218"/>
      <c r="B2719" s="214"/>
    </row>
    <row r="2720" spans="1:2">
      <c r="A2720" s="218"/>
      <c r="B2720" s="214"/>
    </row>
    <row r="2721" spans="1:2">
      <c r="A2721" s="218"/>
      <c r="B2721" s="214"/>
    </row>
    <row r="2722" spans="1:2">
      <c r="A2722" s="218"/>
      <c r="B2722" s="214"/>
    </row>
    <row r="2723" spans="1:2">
      <c r="A2723" s="218"/>
      <c r="B2723" s="214"/>
    </row>
    <row r="2724" spans="1:2">
      <c r="A2724" s="218"/>
      <c r="B2724" s="214"/>
    </row>
    <row r="2725" spans="1:2">
      <c r="A2725" s="218"/>
      <c r="B2725" s="214"/>
    </row>
    <row r="2726" spans="1:2">
      <c r="A2726" s="218"/>
      <c r="B2726" s="214"/>
    </row>
    <row r="2727" spans="1:2">
      <c r="A2727" s="218"/>
      <c r="B2727" s="214"/>
    </row>
    <row r="2728" spans="1:2">
      <c r="A2728" s="218"/>
      <c r="B2728" s="214"/>
    </row>
    <row r="2729" spans="1:2">
      <c r="A2729" s="218"/>
      <c r="B2729" s="214"/>
    </row>
    <row r="2730" spans="1:2">
      <c r="A2730" s="218"/>
      <c r="B2730" s="214"/>
    </row>
    <row r="2731" spans="1:2">
      <c r="A2731" s="218"/>
      <c r="B2731" s="214"/>
    </row>
    <row r="2732" spans="1:2">
      <c r="A2732" s="218"/>
      <c r="B2732" s="214"/>
    </row>
    <row r="2733" spans="1:2">
      <c r="A2733" s="218"/>
      <c r="B2733" s="214"/>
    </row>
    <row r="2734" spans="1:2">
      <c r="A2734" s="218"/>
      <c r="B2734" s="214"/>
    </row>
    <row r="2735" spans="1:2">
      <c r="A2735" s="218"/>
      <c r="B2735" s="214"/>
    </row>
    <row r="2736" spans="1:2">
      <c r="A2736" s="218"/>
      <c r="B2736" s="214"/>
    </row>
    <row r="2737" spans="1:2">
      <c r="A2737" s="218"/>
      <c r="B2737" s="214"/>
    </row>
    <row r="2738" spans="1:2">
      <c r="A2738" s="218"/>
      <c r="B2738" s="214"/>
    </row>
    <row r="2739" spans="1:2">
      <c r="A2739" s="218"/>
      <c r="B2739" s="214"/>
    </row>
    <row r="2740" spans="1:2">
      <c r="A2740" s="218"/>
      <c r="B2740" s="214"/>
    </row>
    <row r="2741" spans="1:2">
      <c r="A2741" s="218"/>
      <c r="B2741" s="214"/>
    </row>
    <row r="2742" spans="1:2">
      <c r="A2742" s="218"/>
      <c r="B2742" s="214"/>
    </row>
    <row r="2743" spans="1:2">
      <c r="A2743" s="218"/>
      <c r="B2743" s="214"/>
    </row>
    <row r="2744" spans="1:2">
      <c r="A2744" s="218"/>
      <c r="B2744" s="214"/>
    </row>
    <row r="2745" spans="1:2">
      <c r="A2745" s="218"/>
      <c r="B2745" s="214"/>
    </row>
    <row r="2746" spans="1:2">
      <c r="A2746" s="218"/>
      <c r="B2746" s="214"/>
    </row>
    <row r="2747" spans="1:2">
      <c r="A2747" s="218"/>
      <c r="B2747" s="214"/>
    </row>
    <row r="2748" spans="1:2">
      <c r="A2748" s="218"/>
      <c r="B2748" s="214"/>
    </row>
    <row r="2749" spans="1:2">
      <c r="A2749" s="218"/>
      <c r="B2749" s="214"/>
    </row>
    <row r="2750" spans="1:2">
      <c r="A2750" s="218"/>
      <c r="B2750" s="214"/>
    </row>
    <row r="2751" spans="1:2">
      <c r="A2751" s="218"/>
      <c r="B2751" s="214"/>
    </row>
    <row r="2752" spans="1:2">
      <c r="A2752" s="218"/>
      <c r="B2752" s="214"/>
    </row>
    <row r="2753" spans="1:2">
      <c r="A2753" s="218"/>
      <c r="B2753" s="214"/>
    </row>
    <row r="2754" spans="1:2">
      <c r="A2754" s="218"/>
      <c r="B2754" s="214"/>
    </row>
    <row r="2755" spans="1:2">
      <c r="A2755" s="218"/>
      <c r="B2755" s="214"/>
    </row>
    <row r="2756" spans="1:2">
      <c r="A2756" s="218"/>
      <c r="B2756" s="214"/>
    </row>
    <row r="2757" spans="1:2">
      <c r="A2757" s="218"/>
      <c r="B2757" s="214"/>
    </row>
    <row r="2758" spans="1:2">
      <c r="A2758" s="218"/>
      <c r="B2758" s="214"/>
    </row>
    <row r="2759" spans="1:2">
      <c r="A2759" s="218"/>
      <c r="B2759" s="214"/>
    </row>
    <row r="2760" spans="1:2">
      <c r="A2760" s="218"/>
      <c r="B2760" s="214"/>
    </row>
    <row r="2761" spans="1:2">
      <c r="A2761" s="218"/>
      <c r="B2761" s="214"/>
    </row>
    <row r="2762" spans="1:2">
      <c r="A2762" s="218"/>
      <c r="B2762" s="214"/>
    </row>
    <row r="2763" spans="1:2">
      <c r="A2763" s="218"/>
      <c r="B2763" s="214"/>
    </row>
    <row r="2764" spans="1:2">
      <c r="A2764" s="218"/>
      <c r="B2764" s="214"/>
    </row>
    <row r="2765" spans="1:2">
      <c r="A2765" s="218"/>
      <c r="B2765" s="214"/>
    </row>
    <row r="2766" spans="1:2">
      <c r="A2766" s="218"/>
      <c r="B2766" s="214"/>
    </row>
    <row r="2767" spans="1:2">
      <c r="A2767" s="218"/>
      <c r="B2767" s="214"/>
    </row>
    <row r="2768" spans="1:2">
      <c r="A2768" s="218"/>
      <c r="B2768" s="214"/>
    </row>
    <row r="2769" spans="1:2">
      <c r="A2769" s="218"/>
      <c r="B2769" s="214"/>
    </row>
    <row r="2770" spans="1:2">
      <c r="A2770" s="218"/>
      <c r="B2770" s="214"/>
    </row>
    <row r="2771" spans="1:2">
      <c r="A2771" s="218"/>
      <c r="B2771" s="214"/>
    </row>
    <row r="2772" spans="1:2">
      <c r="A2772" s="218"/>
      <c r="B2772" s="214"/>
    </row>
    <row r="2773" spans="1:2">
      <c r="A2773" s="218"/>
      <c r="B2773" s="214"/>
    </row>
    <row r="2774" spans="1:2">
      <c r="A2774" s="218"/>
      <c r="B2774" s="214"/>
    </row>
    <row r="2775" spans="1:2">
      <c r="A2775" s="218"/>
      <c r="B2775" s="214"/>
    </row>
    <row r="2776" spans="1:2">
      <c r="A2776" s="218"/>
      <c r="B2776" s="214"/>
    </row>
    <row r="2777" spans="1:2">
      <c r="A2777" s="218"/>
      <c r="B2777" s="214"/>
    </row>
    <row r="2778" spans="1:2">
      <c r="A2778" s="218"/>
      <c r="B2778" s="214"/>
    </row>
    <row r="2779" spans="1:2">
      <c r="A2779" s="218"/>
      <c r="B2779" s="214"/>
    </row>
    <row r="2780" spans="1:2">
      <c r="A2780" s="218"/>
      <c r="B2780" s="214"/>
    </row>
    <row r="2781" spans="1:2">
      <c r="A2781" s="218"/>
      <c r="B2781" s="214"/>
    </row>
    <row r="2782" spans="1:2">
      <c r="A2782" s="218"/>
      <c r="B2782" s="214"/>
    </row>
    <row r="2783" spans="1:2">
      <c r="A2783" s="218"/>
      <c r="B2783" s="214"/>
    </row>
    <row r="2784" spans="1:2">
      <c r="A2784" s="218"/>
      <c r="B2784" s="214"/>
    </row>
    <row r="2785" spans="1:2">
      <c r="A2785" s="218"/>
      <c r="B2785" s="214"/>
    </row>
    <row r="2786" spans="1:2">
      <c r="A2786" s="218"/>
      <c r="B2786" s="214"/>
    </row>
    <row r="2787" spans="1:2">
      <c r="A2787" s="218"/>
      <c r="B2787" s="214"/>
    </row>
    <row r="2788" spans="1:2">
      <c r="A2788" s="218"/>
      <c r="B2788" s="214"/>
    </row>
    <row r="2789" spans="1:2">
      <c r="A2789" s="218"/>
      <c r="B2789" s="214"/>
    </row>
    <row r="2790" spans="1:2">
      <c r="A2790" s="218"/>
      <c r="B2790" s="214"/>
    </row>
    <row r="2791" spans="1:2">
      <c r="A2791" s="218"/>
      <c r="B2791" s="214"/>
    </row>
    <row r="2792" spans="1:2">
      <c r="A2792" s="218"/>
      <c r="B2792" s="214"/>
    </row>
    <row r="2793" spans="1:2">
      <c r="A2793" s="218"/>
      <c r="B2793" s="214"/>
    </row>
    <row r="2794" spans="1:2">
      <c r="A2794" s="218"/>
      <c r="B2794" s="214"/>
    </row>
    <row r="2795" spans="1:2">
      <c r="A2795" s="218"/>
      <c r="B2795" s="214"/>
    </row>
    <row r="2796" spans="1:2">
      <c r="A2796" s="218"/>
      <c r="B2796" s="214"/>
    </row>
    <row r="2797" spans="1:2">
      <c r="A2797" s="218"/>
      <c r="B2797" s="214"/>
    </row>
    <row r="2798" spans="1:2">
      <c r="A2798" s="218"/>
      <c r="B2798" s="214"/>
    </row>
    <row r="2799" spans="1:2">
      <c r="A2799" s="218"/>
      <c r="B2799" s="214"/>
    </row>
    <row r="2800" spans="1:2">
      <c r="A2800" s="218"/>
      <c r="B2800" s="214"/>
    </row>
    <row r="2801" spans="1:2">
      <c r="A2801" s="218"/>
      <c r="B2801" s="214"/>
    </row>
    <row r="2802" spans="1:2">
      <c r="A2802" s="218"/>
      <c r="B2802" s="214"/>
    </row>
    <row r="2803" spans="1:2">
      <c r="A2803" s="218"/>
      <c r="B2803" s="214"/>
    </row>
    <row r="2804" spans="1:2">
      <c r="A2804" s="218"/>
      <c r="B2804" s="214"/>
    </row>
    <row r="2805" spans="1:2">
      <c r="A2805" s="218"/>
      <c r="B2805" s="214"/>
    </row>
    <row r="2806" spans="1:2">
      <c r="A2806" s="218"/>
      <c r="B2806" s="214"/>
    </row>
    <row r="2807" spans="1:2">
      <c r="A2807" s="218"/>
      <c r="B2807" s="214"/>
    </row>
    <row r="2808" spans="1:2">
      <c r="A2808" s="218"/>
      <c r="B2808" s="214"/>
    </row>
    <row r="2809" spans="1:2">
      <c r="A2809" s="218"/>
      <c r="B2809" s="214"/>
    </row>
    <row r="2810" spans="1:2">
      <c r="A2810" s="218"/>
      <c r="B2810" s="214"/>
    </row>
    <row r="2811" spans="1:2">
      <c r="A2811" s="218"/>
      <c r="B2811" s="214"/>
    </row>
    <row r="2812" spans="1:2">
      <c r="A2812" s="218"/>
      <c r="B2812" s="214"/>
    </row>
    <row r="2813" spans="1:2">
      <c r="A2813" s="218"/>
      <c r="B2813" s="214"/>
    </row>
    <row r="2814" spans="1:2">
      <c r="A2814" s="218"/>
      <c r="B2814" s="214"/>
    </row>
    <row r="2815" spans="1:2">
      <c r="A2815" s="218"/>
      <c r="B2815" s="214"/>
    </row>
    <row r="2816" spans="1:2">
      <c r="A2816" s="218"/>
      <c r="B2816" s="214"/>
    </row>
    <row r="2817" spans="1:2">
      <c r="A2817" s="218"/>
      <c r="B2817" s="214"/>
    </row>
    <row r="2818" spans="1:2">
      <c r="A2818" s="218"/>
      <c r="B2818" s="214"/>
    </row>
    <row r="2819" spans="1:2">
      <c r="A2819" s="218"/>
      <c r="B2819" s="214"/>
    </row>
    <row r="2820" spans="1:2">
      <c r="A2820" s="218"/>
      <c r="B2820" s="214"/>
    </row>
    <row r="2821" spans="1:2">
      <c r="A2821" s="218"/>
      <c r="B2821" s="214"/>
    </row>
    <row r="2822" spans="1:2">
      <c r="A2822" s="218"/>
      <c r="B2822" s="214"/>
    </row>
    <row r="2823" spans="1:2">
      <c r="A2823" s="218"/>
      <c r="B2823" s="214"/>
    </row>
    <row r="2824" spans="1:2">
      <c r="A2824" s="218"/>
      <c r="B2824" s="214"/>
    </row>
    <row r="2825" spans="1:2">
      <c r="A2825" s="218"/>
      <c r="B2825" s="214"/>
    </row>
    <row r="2826" spans="1:2">
      <c r="A2826" s="218"/>
      <c r="B2826" s="214"/>
    </row>
    <row r="2827" spans="1:2">
      <c r="A2827" s="218"/>
      <c r="B2827" s="214"/>
    </row>
    <row r="2828" spans="1:2">
      <c r="A2828" s="218"/>
      <c r="B2828" s="214"/>
    </row>
    <row r="2829" spans="1:2">
      <c r="A2829" s="218"/>
      <c r="B2829" s="214"/>
    </row>
    <row r="2830" spans="1:2">
      <c r="A2830" s="218"/>
      <c r="B2830" s="214"/>
    </row>
    <row r="2831" spans="1:2">
      <c r="A2831" s="218"/>
      <c r="B2831" s="214"/>
    </row>
    <row r="2832" spans="1:2">
      <c r="A2832" s="218"/>
      <c r="B2832" s="214"/>
    </row>
    <row r="2833" spans="1:2">
      <c r="A2833" s="218"/>
      <c r="B2833" s="214"/>
    </row>
    <row r="2834" spans="1:2">
      <c r="A2834" s="218"/>
      <c r="B2834" s="214"/>
    </row>
    <row r="2835" spans="1:2">
      <c r="A2835" s="218"/>
      <c r="B2835" s="214"/>
    </row>
    <row r="2836" spans="1:2">
      <c r="A2836" s="218"/>
      <c r="B2836" s="214"/>
    </row>
    <row r="2837" spans="1:2">
      <c r="A2837" s="218"/>
      <c r="B2837" s="214"/>
    </row>
    <row r="2838" spans="1:2">
      <c r="A2838" s="218"/>
      <c r="B2838" s="214"/>
    </row>
    <row r="2839" spans="1:2">
      <c r="A2839" s="218"/>
      <c r="B2839" s="214"/>
    </row>
    <row r="2840" spans="1:2">
      <c r="A2840" s="218"/>
      <c r="B2840" s="214"/>
    </row>
    <row r="2841" spans="1:2">
      <c r="A2841" s="218"/>
      <c r="B2841" s="214"/>
    </row>
    <row r="2842" spans="1:2">
      <c r="A2842" s="218"/>
      <c r="B2842" s="214"/>
    </row>
    <row r="2843" spans="1:2">
      <c r="A2843" s="218"/>
      <c r="B2843" s="214"/>
    </row>
    <row r="2844" spans="1:2">
      <c r="A2844" s="218"/>
      <c r="B2844" s="214"/>
    </row>
    <row r="2845" spans="1:2">
      <c r="A2845" s="218"/>
      <c r="B2845" s="214"/>
    </row>
    <row r="2846" spans="1:2">
      <c r="A2846" s="218"/>
      <c r="B2846" s="214"/>
    </row>
    <row r="2847" spans="1:2">
      <c r="A2847" s="218"/>
      <c r="B2847" s="214"/>
    </row>
    <row r="2848" spans="1:2">
      <c r="A2848" s="218"/>
      <c r="B2848" s="214"/>
    </row>
    <row r="2849" spans="1:2">
      <c r="A2849" s="218"/>
      <c r="B2849" s="214"/>
    </row>
    <row r="2850" spans="1:2">
      <c r="A2850" s="218"/>
      <c r="B2850" s="214"/>
    </row>
    <row r="2851" spans="1:2">
      <c r="A2851" s="218"/>
      <c r="B2851" s="214"/>
    </row>
    <row r="2852" spans="1:2">
      <c r="A2852" s="218"/>
      <c r="B2852" s="214"/>
    </row>
    <row r="2853" spans="1:2">
      <c r="A2853" s="218"/>
      <c r="B2853" s="214"/>
    </row>
    <row r="2854" spans="1:2">
      <c r="A2854" s="218"/>
      <c r="B2854" s="214"/>
    </row>
    <row r="2855" spans="1:2">
      <c r="A2855" s="218"/>
      <c r="B2855" s="214"/>
    </row>
    <row r="2856" spans="1:2">
      <c r="A2856" s="218"/>
      <c r="B2856" s="214"/>
    </row>
    <row r="2857" spans="1:2">
      <c r="A2857" s="218"/>
      <c r="B2857" s="214"/>
    </row>
    <row r="2858" spans="1:2">
      <c r="A2858" s="218"/>
      <c r="B2858" s="214"/>
    </row>
    <row r="2859" spans="1:2">
      <c r="A2859" s="218"/>
      <c r="B2859" s="214"/>
    </row>
    <row r="2860" spans="1:2">
      <c r="A2860" s="218"/>
      <c r="B2860" s="214"/>
    </row>
    <row r="2861" spans="1:2">
      <c r="A2861" s="218"/>
      <c r="B2861" s="214"/>
    </row>
    <row r="2862" spans="1:2">
      <c r="A2862" s="218"/>
      <c r="B2862" s="214"/>
    </row>
    <row r="2863" spans="1:2">
      <c r="A2863" s="218"/>
      <c r="B2863" s="214"/>
    </row>
    <row r="2864" spans="1:2">
      <c r="A2864" s="218"/>
      <c r="B2864" s="214"/>
    </row>
    <row r="2865" spans="1:2">
      <c r="A2865" s="218"/>
      <c r="B2865" s="214"/>
    </row>
    <row r="2866" spans="1:2">
      <c r="A2866" s="218"/>
      <c r="B2866" s="214"/>
    </row>
    <row r="2867" spans="1:2">
      <c r="A2867" s="218"/>
      <c r="B2867" s="214"/>
    </row>
    <row r="2868" spans="1:2">
      <c r="A2868" s="218"/>
      <c r="B2868" s="214"/>
    </row>
    <row r="2869" spans="1:2">
      <c r="A2869" s="218"/>
      <c r="B2869" s="214"/>
    </row>
    <row r="2870" spans="1:2">
      <c r="A2870" s="218"/>
      <c r="B2870" s="214"/>
    </row>
    <row r="2871" spans="1:2">
      <c r="A2871" s="218"/>
      <c r="B2871" s="214"/>
    </row>
    <row r="2872" spans="1:2">
      <c r="A2872" s="218"/>
      <c r="B2872" s="214"/>
    </row>
    <row r="2873" spans="1:2">
      <c r="A2873" s="218"/>
      <c r="B2873" s="214"/>
    </row>
    <row r="2874" spans="1:2">
      <c r="A2874" s="218"/>
      <c r="B2874" s="214"/>
    </row>
    <row r="2875" spans="1:2">
      <c r="A2875" s="218"/>
      <c r="B2875" s="214"/>
    </row>
    <row r="2876" spans="1:2">
      <c r="A2876" s="218"/>
      <c r="B2876" s="214"/>
    </row>
    <row r="2877" spans="1:2">
      <c r="A2877" s="218"/>
      <c r="B2877" s="214"/>
    </row>
    <row r="2878" spans="1:2">
      <c r="A2878" s="218"/>
      <c r="B2878" s="214"/>
    </row>
    <row r="2879" spans="1:2">
      <c r="A2879" s="218"/>
      <c r="B2879" s="214"/>
    </row>
    <row r="2880" spans="1:2">
      <c r="A2880" s="218"/>
      <c r="B2880" s="214"/>
    </row>
    <row r="2881" spans="1:2">
      <c r="A2881" s="218"/>
      <c r="B2881" s="214"/>
    </row>
    <row r="2882" spans="1:2">
      <c r="A2882" s="218"/>
      <c r="B2882" s="214"/>
    </row>
    <row r="2883" spans="1:2">
      <c r="A2883" s="218"/>
      <c r="B2883" s="214"/>
    </row>
    <row r="2884" spans="1:2">
      <c r="A2884" s="218"/>
      <c r="B2884" s="214"/>
    </row>
    <row r="2885" spans="1:2">
      <c r="A2885" s="218"/>
      <c r="B2885" s="214"/>
    </row>
    <row r="2886" spans="1:2">
      <c r="A2886" s="218"/>
      <c r="B2886" s="214"/>
    </row>
    <row r="2887" spans="1:2">
      <c r="A2887" s="218"/>
      <c r="B2887" s="214"/>
    </row>
    <row r="2888" spans="1:2">
      <c r="A2888" s="218"/>
      <c r="B2888" s="214"/>
    </row>
    <row r="2889" spans="1:2">
      <c r="A2889" s="218"/>
      <c r="B2889" s="214"/>
    </row>
    <row r="2890" spans="1:2">
      <c r="A2890" s="218"/>
      <c r="B2890" s="214"/>
    </row>
    <row r="2891" spans="1:2">
      <c r="A2891" s="218"/>
      <c r="B2891" s="214"/>
    </row>
    <row r="2892" spans="1:2">
      <c r="A2892" s="218"/>
      <c r="B2892" s="214"/>
    </row>
    <row r="2893" spans="1:2">
      <c r="A2893" s="218"/>
      <c r="B2893" s="214"/>
    </row>
    <row r="2894" spans="1:2">
      <c r="A2894" s="218"/>
      <c r="B2894" s="214"/>
    </row>
    <row r="2895" spans="1:2">
      <c r="A2895" s="218"/>
      <c r="B2895" s="214"/>
    </row>
    <row r="2896" spans="1:2">
      <c r="A2896" s="218"/>
      <c r="B2896" s="214"/>
    </row>
    <row r="2897" spans="1:2">
      <c r="A2897" s="218"/>
      <c r="B2897" s="214"/>
    </row>
    <row r="2898" spans="1:2">
      <c r="A2898" s="218"/>
      <c r="B2898" s="214"/>
    </row>
    <row r="2899" spans="1:2">
      <c r="A2899" s="218"/>
      <c r="B2899" s="214"/>
    </row>
    <row r="2900" spans="1:2">
      <c r="A2900" s="218"/>
      <c r="B2900" s="214"/>
    </row>
    <row r="2901" spans="1:2">
      <c r="A2901" s="218"/>
      <c r="B2901" s="214"/>
    </row>
    <row r="2902" spans="1:2">
      <c r="A2902" s="218"/>
      <c r="B2902" s="214"/>
    </row>
    <row r="2903" spans="1:2">
      <c r="A2903" s="218"/>
      <c r="B2903" s="214"/>
    </row>
    <row r="2904" spans="1:2">
      <c r="A2904" s="218"/>
      <c r="B2904" s="214"/>
    </row>
    <row r="2905" spans="1:2">
      <c r="A2905" s="218"/>
      <c r="B2905" s="214"/>
    </row>
    <row r="2906" spans="1:2">
      <c r="A2906" s="218"/>
      <c r="B2906" s="214"/>
    </row>
    <row r="2907" spans="1:2">
      <c r="A2907" s="218"/>
      <c r="B2907" s="214"/>
    </row>
    <row r="2908" spans="1:2">
      <c r="A2908" s="218"/>
      <c r="B2908" s="214"/>
    </row>
    <row r="2909" spans="1:2">
      <c r="A2909" s="218"/>
      <c r="B2909" s="214"/>
    </row>
    <row r="2910" spans="1:2">
      <c r="A2910" s="218"/>
      <c r="B2910" s="214"/>
    </row>
    <row r="2911" spans="1:2">
      <c r="A2911" s="218"/>
      <c r="B2911" s="214"/>
    </row>
    <row r="2912" spans="1:2">
      <c r="A2912" s="218"/>
      <c r="B2912" s="214"/>
    </row>
    <row r="2913" spans="1:2">
      <c r="A2913" s="218"/>
      <c r="B2913" s="214"/>
    </row>
    <row r="2914" spans="1:2">
      <c r="A2914" s="218"/>
      <c r="B2914" s="214"/>
    </row>
    <row r="2915" spans="1:2">
      <c r="A2915" s="218"/>
      <c r="B2915" s="214"/>
    </row>
    <row r="2916" spans="1:2">
      <c r="A2916" s="218"/>
      <c r="B2916" s="214"/>
    </row>
    <row r="2917" spans="1:2">
      <c r="A2917" s="218"/>
      <c r="B2917" s="214"/>
    </row>
    <row r="2918" spans="1:2">
      <c r="A2918" s="218"/>
      <c r="B2918" s="214"/>
    </row>
    <row r="2919" spans="1:2">
      <c r="A2919" s="218"/>
      <c r="B2919" s="214"/>
    </row>
    <row r="2920" spans="1:2">
      <c r="A2920" s="218"/>
      <c r="B2920" s="214"/>
    </row>
    <row r="2921" spans="1:2">
      <c r="A2921" s="218"/>
      <c r="B2921" s="214"/>
    </row>
    <row r="2922" spans="1:2">
      <c r="A2922" s="218"/>
      <c r="B2922" s="214"/>
    </row>
    <row r="2923" spans="1:2">
      <c r="A2923" s="218"/>
      <c r="B2923" s="214"/>
    </row>
    <row r="2924" spans="1:2">
      <c r="A2924" s="218"/>
      <c r="B2924" s="214"/>
    </row>
    <row r="2925" spans="1:2">
      <c r="A2925" s="218"/>
      <c r="B2925" s="214"/>
    </row>
    <row r="2926" spans="1:2">
      <c r="A2926" s="218"/>
      <c r="B2926" s="214"/>
    </row>
    <row r="2927" spans="1:2">
      <c r="A2927" s="218"/>
      <c r="B2927" s="214"/>
    </row>
    <row r="2928" spans="1:2">
      <c r="A2928" s="218"/>
      <c r="B2928" s="214"/>
    </row>
    <row r="2929" spans="1:2">
      <c r="A2929" s="218"/>
      <c r="B2929" s="214"/>
    </row>
    <row r="2930" spans="1:2">
      <c r="A2930" s="218"/>
      <c r="B2930" s="214"/>
    </row>
    <row r="2931" spans="1:2">
      <c r="A2931" s="218"/>
      <c r="B2931" s="214"/>
    </row>
    <row r="2932" spans="1:2">
      <c r="A2932" s="218"/>
      <c r="B2932" s="214"/>
    </row>
    <row r="2933" spans="1:2">
      <c r="A2933" s="218"/>
      <c r="B2933" s="214"/>
    </row>
    <row r="2934" spans="1:2">
      <c r="A2934" s="218"/>
      <c r="B2934" s="214"/>
    </row>
    <row r="2935" spans="1:2">
      <c r="A2935" s="218"/>
      <c r="B2935" s="214"/>
    </row>
    <row r="2936" spans="1:2">
      <c r="A2936" s="218"/>
      <c r="B2936" s="214"/>
    </row>
    <row r="2937" spans="1:2">
      <c r="A2937" s="218"/>
      <c r="B2937" s="214"/>
    </row>
    <row r="2938" spans="1:2">
      <c r="A2938" s="218"/>
      <c r="B2938" s="214"/>
    </row>
    <row r="2939" spans="1:2">
      <c r="A2939" s="218"/>
      <c r="B2939" s="214"/>
    </row>
    <row r="2940" spans="1:2">
      <c r="A2940" s="218"/>
      <c r="B2940" s="214"/>
    </row>
    <row r="2941" spans="1:2">
      <c r="A2941" s="218"/>
      <c r="B2941" s="214"/>
    </row>
    <row r="2942" spans="1:2">
      <c r="A2942" s="218"/>
      <c r="B2942" s="214"/>
    </row>
    <row r="2943" spans="1:2">
      <c r="A2943" s="218"/>
      <c r="B2943" s="214"/>
    </row>
    <row r="2944" spans="1:2">
      <c r="A2944" s="218"/>
      <c r="B2944" s="214"/>
    </row>
    <row r="2945" spans="1:2">
      <c r="A2945" s="218"/>
      <c r="B2945" s="214"/>
    </row>
    <row r="2946" spans="1:2">
      <c r="A2946" s="218"/>
      <c r="B2946" s="214"/>
    </row>
    <row r="2947" spans="1:2">
      <c r="A2947" s="218"/>
      <c r="B2947" s="214"/>
    </row>
    <row r="2948" spans="1:2">
      <c r="A2948" s="218"/>
      <c r="B2948" s="214"/>
    </row>
    <row r="2949" spans="1:2">
      <c r="A2949" s="218"/>
      <c r="B2949" s="214"/>
    </row>
    <row r="2950" spans="1:2">
      <c r="A2950" s="218"/>
      <c r="B2950" s="214"/>
    </row>
    <row r="2951" spans="1:2">
      <c r="A2951" s="218"/>
      <c r="B2951" s="214"/>
    </row>
    <row r="2952" spans="1:2">
      <c r="A2952" s="218"/>
      <c r="B2952" s="214"/>
    </row>
    <row r="2953" spans="1:2">
      <c r="A2953" s="218"/>
      <c r="B2953" s="214"/>
    </row>
    <row r="2954" spans="1:2">
      <c r="A2954" s="218"/>
      <c r="B2954" s="214"/>
    </row>
    <row r="2955" spans="1:2">
      <c r="A2955" s="218"/>
      <c r="B2955" s="214"/>
    </row>
    <row r="2956" spans="1:2">
      <c r="A2956" s="218"/>
      <c r="B2956" s="214"/>
    </row>
    <row r="2957" spans="1:2">
      <c r="A2957" s="218"/>
      <c r="B2957" s="214"/>
    </row>
    <row r="2958" spans="1:2">
      <c r="A2958" s="218"/>
      <c r="B2958" s="214"/>
    </row>
    <row r="2959" spans="1:2">
      <c r="A2959" s="218"/>
      <c r="B2959" s="214"/>
    </row>
    <row r="2960" spans="1:2">
      <c r="A2960" s="218"/>
      <c r="B2960" s="214"/>
    </row>
    <row r="2961" spans="1:2">
      <c r="A2961" s="218"/>
      <c r="B2961" s="214"/>
    </row>
    <row r="2962" spans="1:2">
      <c r="A2962" s="218"/>
      <c r="B2962" s="214"/>
    </row>
    <row r="2963" spans="1:2">
      <c r="A2963" s="218"/>
      <c r="B2963" s="214"/>
    </row>
    <row r="2964" spans="1:2">
      <c r="A2964" s="218"/>
      <c r="B2964" s="214"/>
    </row>
    <row r="2965" spans="1:2">
      <c r="A2965" s="218"/>
      <c r="B2965" s="214"/>
    </row>
    <row r="2966" spans="1:2">
      <c r="A2966" s="218"/>
      <c r="B2966" s="214"/>
    </row>
    <row r="2967" spans="1:2">
      <c r="A2967" s="218"/>
      <c r="B2967" s="214"/>
    </row>
    <row r="2968" spans="1:2">
      <c r="A2968" s="218"/>
      <c r="B2968" s="214"/>
    </row>
    <row r="2969" spans="1:2">
      <c r="A2969" s="218"/>
      <c r="B2969" s="214"/>
    </row>
    <row r="2970" spans="1:2">
      <c r="A2970" s="218"/>
      <c r="B2970" s="214"/>
    </row>
    <row r="2971" spans="1:2">
      <c r="A2971" s="218"/>
      <c r="B2971" s="214"/>
    </row>
    <row r="2972" spans="1:2">
      <c r="A2972" s="218"/>
      <c r="B2972" s="214"/>
    </row>
    <row r="2973" spans="1:2">
      <c r="A2973" s="218"/>
      <c r="B2973" s="214"/>
    </row>
    <row r="2974" spans="1:2">
      <c r="A2974" s="218"/>
      <c r="B2974" s="214"/>
    </row>
    <row r="2975" spans="1:2">
      <c r="A2975" s="218"/>
      <c r="B2975" s="214"/>
    </row>
    <row r="2976" spans="1:2">
      <c r="A2976" s="218"/>
      <c r="B2976" s="214"/>
    </row>
    <row r="2977" spans="1:2">
      <c r="A2977" s="218"/>
      <c r="B2977" s="214"/>
    </row>
    <row r="2978" spans="1:2">
      <c r="A2978" s="218"/>
      <c r="B2978" s="214"/>
    </row>
    <row r="2979" spans="1:2">
      <c r="A2979" s="218"/>
      <c r="B2979" s="214"/>
    </row>
    <row r="2980" spans="1:2">
      <c r="A2980" s="218"/>
      <c r="B2980" s="214"/>
    </row>
    <row r="2981" spans="1:2">
      <c r="A2981" s="218"/>
      <c r="B2981" s="214"/>
    </row>
    <row r="2982" spans="1:2">
      <c r="A2982" s="218"/>
      <c r="B2982" s="214"/>
    </row>
    <row r="2983" spans="1:2">
      <c r="A2983" s="218"/>
      <c r="B2983" s="214"/>
    </row>
    <row r="2984" spans="1:2">
      <c r="A2984" s="218"/>
      <c r="B2984" s="214"/>
    </row>
    <row r="2985" spans="1:2">
      <c r="A2985" s="218"/>
      <c r="B2985" s="214"/>
    </row>
    <row r="2986" spans="1:2">
      <c r="A2986" s="218"/>
      <c r="B2986" s="214"/>
    </row>
    <row r="2987" spans="1:2">
      <c r="A2987" s="218"/>
      <c r="B2987" s="214"/>
    </row>
    <row r="2988" spans="1:2">
      <c r="A2988" s="218"/>
      <c r="B2988" s="214"/>
    </row>
    <row r="2989" spans="1:2">
      <c r="A2989" s="218"/>
      <c r="B2989" s="214"/>
    </row>
    <row r="2990" spans="1:2">
      <c r="A2990" s="218"/>
      <c r="B2990" s="214"/>
    </row>
    <row r="2991" spans="1:2">
      <c r="A2991" s="218"/>
      <c r="B2991" s="214"/>
    </row>
    <row r="2992" spans="1:2">
      <c r="A2992" s="218"/>
      <c r="B2992" s="214"/>
    </row>
    <row r="2993" spans="1:2">
      <c r="A2993" s="218"/>
      <c r="B2993" s="214"/>
    </row>
    <row r="2994" spans="1:2">
      <c r="A2994" s="218"/>
      <c r="B2994" s="214"/>
    </row>
    <row r="2995" spans="1:2">
      <c r="A2995" s="218"/>
      <c r="B2995" s="214"/>
    </row>
    <row r="2996" spans="1:2">
      <c r="A2996" s="218"/>
      <c r="B2996" s="214"/>
    </row>
    <row r="2997" spans="1:2">
      <c r="A2997" s="218"/>
      <c r="B2997" s="214"/>
    </row>
    <row r="2998" spans="1:2">
      <c r="A2998" s="218"/>
      <c r="B2998" s="214"/>
    </row>
    <row r="2999" spans="1:2">
      <c r="A2999" s="218"/>
      <c r="B2999" s="214"/>
    </row>
    <row r="3000" spans="1:2">
      <c r="A3000" s="218"/>
      <c r="B3000" s="214"/>
    </row>
    <row r="3001" spans="1:2">
      <c r="A3001" s="218"/>
      <c r="B3001" s="214"/>
    </row>
    <row r="3002" spans="1:2">
      <c r="A3002" s="218"/>
      <c r="B3002" s="214"/>
    </row>
    <row r="3003" spans="1:2">
      <c r="A3003" s="218"/>
      <c r="B3003" s="214"/>
    </row>
    <row r="3004" spans="1:2">
      <c r="A3004" s="218"/>
      <c r="B3004" s="214"/>
    </row>
    <row r="3005" spans="1:2">
      <c r="A3005" s="218"/>
      <c r="B3005" s="214"/>
    </row>
    <row r="3006" spans="1:2">
      <c r="A3006" s="218"/>
      <c r="B3006" s="214"/>
    </row>
    <row r="3007" spans="1:2">
      <c r="A3007" s="218"/>
      <c r="B3007" s="214"/>
    </row>
    <row r="3008" spans="1:2">
      <c r="A3008" s="218"/>
      <c r="B3008" s="214"/>
    </row>
    <row r="3009" spans="1:2">
      <c r="A3009" s="218"/>
      <c r="B3009" s="214"/>
    </row>
    <row r="3010" spans="1:2">
      <c r="A3010" s="218"/>
      <c r="B3010" s="214"/>
    </row>
    <row r="3011" spans="1:2">
      <c r="A3011" s="218"/>
      <c r="B3011" s="214"/>
    </row>
    <row r="3012" spans="1:2">
      <c r="A3012" s="218"/>
      <c r="B3012" s="214"/>
    </row>
    <row r="3013" spans="1:2">
      <c r="A3013" s="218"/>
      <c r="B3013" s="214"/>
    </row>
    <row r="3014" spans="1:2">
      <c r="A3014" s="218"/>
      <c r="B3014" s="214"/>
    </row>
    <row r="3015" spans="1:2">
      <c r="A3015" s="218"/>
      <c r="B3015" s="214"/>
    </row>
    <row r="3016" spans="1:2">
      <c r="A3016" s="218"/>
      <c r="B3016" s="214"/>
    </row>
    <row r="3017" spans="1:2">
      <c r="A3017" s="218"/>
      <c r="B3017" s="214"/>
    </row>
    <row r="3018" spans="1:2">
      <c r="A3018" s="218"/>
      <c r="B3018" s="214"/>
    </row>
    <row r="3019" spans="1:2">
      <c r="A3019" s="218"/>
      <c r="B3019" s="214"/>
    </row>
    <row r="3020" spans="1:2">
      <c r="A3020" s="218"/>
      <c r="B3020" s="214"/>
    </row>
    <row r="3021" spans="1:2">
      <c r="A3021" s="218"/>
      <c r="B3021" s="214"/>
    </row>
    <row r="3022" spans="1:2">
      <c r="A3022" s="218"/>
      <c r="B3022" s="214"/>
    </row>
    <row r="3023" spans="1:2">
      <c r="A3023" s="218"/>
      <c r="B3023" s="214"/>
    </row>
    <row r="3024" spans="1:2">
      <c r="A3024" s="218"/>
      <c r="B3024" s="214"/>
    </row>
    <row r="3025" spans="1:2">
      <c r="A3025" s="218"/>
      <c r="B3025" s="214"/>
    </row>
    <row r="3026" spans="1:2">
      <c r="A3026" s="218"/>
      <c r="B3026" s="214"/>
    </row>
    <row r="3027" spans="1:2">
      <c r="A3027" s="218"/>
      <c r="B3027" s="214"/>
    </row>
    <row r="3028" spans="1:2">
      <c r="A3028" s="218"/>
      <c r="B3028" s="214"/>
    </row>
    <row r="3029" spans="1:2">
      <c r="A3029" s="218"/>
      <c r="B3029" s="214"/>
    </row>
    <row r="3030" spans="1:2">
      <c r="A3030" s="218"/>
      <c r="B3030" s="214"/>
    </row>
    <row r="3031" spans="1:2">
      <c r="A3031" s="218"/>
      <c r="B3031" s="214"/>
    </row>
    <row r="3032" spans="1:2">
      <c r="A3032" s="218"/>
      <c r="B3032" s="214"/>
    </row>
    <row r="3033" spans="1:2">
      <c r="A3033" s="218"/>
      <c r="B3033" s="214"/>
    </row>
    <row r="3034" spans="1:2">
      <c r="A3034" s="218"/>
      <c r="B3034" s="214"/>
    </row>
    <row r="3035" spans="1:2">
      <c r="A3035" s="218"/>
      <c r="B3035" s="214"/>
    </row>
    <row r="3036" spans="1:2">
      <c r="A3036" s="218"/>
      <c r="B3036" s="214"/>
    </row>
    <row r="3037" spans="1:2">
      <c r="A3037" s="218"/>
      <c r="B3037" s="214"/>
    </row>
    <row r="3038" spans="1:2">
      <c r="A3038" s="218"/>
      <c r="B3038" s="214"/>
    </row>
    <row r="3039" spans="1:2">
      <c r="A3039" s="218"/>
      <c r="B3039" s="214"/>
    </row>
    <row r="3040" spans="1:2">
      <c r="A3040" s="218"/>
      <c r="B3040" s="214"/>
    </row>
    <row r="3041" spans="1:2">
      <c r="A3041" s="218"/>
      <c r="B3041" s="214"/>
    </row>
    <row r="3042" spans="1:2">
      <c r="A3042" s="218"/>
      <c r="B3042" s="214"/>
    </row>
    <row r="3043" spans="1:2">
      <c r="A3043" s="218"/>
      <c r="B3043" s="214"/>
    </row>
    <row r="3044" spans="1:2">
      <c r="A3044" s="218"/>
      <c r="B3044" s="214"/>
    </row>
    <row r="3045" spans="1:2">
      <c r="A3045" s="218"/>
      <c r="B3045" s="214"/>
    </row>
    <row r="3046" spans="1:2">
      <c r="A3046" s="218"/>
      <c r="B3046" s="214"/>
    </row>
    <row r="3047" spans="1:2">
      <c r="A3047" s="218"/>
      <c r="B3047" s="214"/>
    </row>
    <row r="3048" spans="1:2">
      <c r="A3048" s="218"/>
      <c r="B3048" s="214"/>
    </row>
    <row r="3049" spans="1:2">
      <c r="A3049" s="218"/>
      <c r="B3049" s="214"/>
    </row>
    <row r="3050" spans="1:2">
      <c r="A3050" s="218"/>
      <c r="B3050" s="214"/>
    </row>
    <row r="3051" spans="1:2">
      <c r="A3051" s="218"/>
      <c r="B3051" s="214"/>
    </row>
    <row r="3052" spans="1:2">
      <c r="A3052" s="218"/>
      <c r="B3052" s="214"/>
    </row>
    <row r="3053" spans="1:2">
      <c r="A3053" s="218"/>
      <c r="B3053" s="214"/>
    </row>
    <row r="3054" spans="1:2">
      <c r="A3054" s="218"/>
      <c r="B3054" s="214"/>
    </row>
    <row r="3055" spans="1:2">
      <c r="A3055" s="218"/>
      <c r="B3055" s="214"/>
    </row>
    <row r="3056" spans="1:2">
      <c r="A3056" s="218"/>
      <c r="B3056" s="214"/>
    </row>
    <row r="3057" spans="1:2">
      <c r="A3057" s="218"/>
      <c r="B3057" s="214"/>
    </row>
    <row r="3058" spans="1:2">
      <c r="A3058" s="218"/>
      <c r="B3058" s="214"/>
    </row>
    <row r="3059" spans="1:2">
      <c r="A3059" s="218"/>
      <c r="B3059" s="214"/>
    </row>
    <row r="3060" spans="1:2">
      <c r="A3060" s="218"/>
      <c r="B3060" s="214"/>
    </row>
    <row r="3061" spans="1:2">
      <c r="A3061" s="218"/>
      <c r="B3061" s="214"/>
    </row>
    <row r="3062" spans="1:2">
      <c r="A3062" s="218"/>
      <c r="B3062" s="214"/>
    </row>
    <row r="3063" spans="1:2">
      <c r="A3063" s="218"/>
      <c r="B3063" s="214"/>
    </row>
    <row r="3064" spans="1:2">
      <c r="A3064" s="218"/>
      <c r="B3064" s="214"/>
    </row>
    <row r="3065" spans="1:2">
      <c r="A3065" s="218"/>
      <c r="B3065" s="214"/>
    </row>
    <row r="3066" spans="1:2">
      <c r="A3066" s="218"/>
      <c r="B3066" s="214"/>
    </row>
    <row r="3067" spans="1:2">
      <c r="A3067" s="218"/>
      <c r="B3067" s="214"/>
    </row>
    <row r="3068" spans="1:2">
      <c r="A3068" s="218"/>
      <c r="B3068" s="214"/>
    </row>
    <row r="3069" spans="1:2">
      <c r="A3069" s="218"/>
      <c r="B3069" s="214"/>
    </row>
    <row r="3070" spans="1:2">
      <c r="A3070" s="218"/>
      <c r="B3070" s="214"/>
    </row>
    <row r="3071" spans="1:2">
      <c r="A3071" s="218"/>
      <c r="B3071" s="214"/>
    </row>
    <row r="3072" spans="1:2">
      <c r="A3072" s="218"/>
      <c r="B3072" s="214"/>
    </row>
    <row r="3073" spans="1:2">
      <c r="A3073" s="218"/>
      <c r="B3073" s="214"/>
    </row>
    <row r="3074" spans="1:2">
      <c r="A3074" s="218"/>
      <c r="B3074" s="214"/>
    </row>
    <row r="3075" spans="1:2">
      <c r="A3075" s="218"/>
      <c r="B3075" s="214"/>
    </row>
    <row r="3076" spans="1:2">
      <c r="A3076" s="218"/>
      <c r="B3076" s="214"/>
    </row>
    <row r="3077" spans="1:2">
      <c r="A3077" s="218"/>
      <c r="B3077" s="214"/>
    </row>
    <row r="3078" spans="1:2">
      <c r="A3078" s="218"/>
      <c r="B3078" s="214"/>
    </row>
    <row r="3079" spans="1:2">
      <c r="A3079" s="218"/>
      <c r="B3079" s="214"/>
    </row>
    <row r="3080" spans="1:2">
      <c r="A3080" s="218"/>
      <c r="B3080" s="214"/>
    </row>
    <row r="3081" spans="1:2">
      <c r="A3081" s="218"/>
      <c r="B3081" s="214"/>
    </row>
    <row r="3082" spans="1:2">
      <c r="A3082" s="218"/>
      <c r="B3082" s="214"/>
    </row>
    <row r="3083" spans="1:2">
      <c r="A3083" s="218"/>
      <c r="B3083" s="214"/>
    </row>
    <row r="3084" spans="1:2">
      <c r="A3084" s="218"/>
      <c r="B3084" s="214"/>
    </row>
    <row r="3085" spans="1:2">
      <c r="A3085" s="218"/>
      <c r="B3085" s="214"/>
    </row>
    <row r="3086" spans="1:2">
      <c r="A3086" s="218"/>
      <c r="B3086" s="214"/>
    </row>
    <row r="3087" spans="1:2">
      <c r="A3087" s="218"/>
      <c r="B3087" s="214"/>
    </row>
    <row r="3088" spans="1:2">
      <c r="A3088" s="218"/>
      <c r="B3088" s="214"/>
    </row>
    <row r="3089" spans="1:2">
      <c r="A3089" s="218"/>
      <c r="B3089" s="214"/>
    </row>
    <row r="3090" spans="1:2">
      <c r="A3090" s="218"/>
      <c r="B3090" s="214"/>
    </row>
    <row r="3091" spans="1:2">
      <c r="A3091" s="218"/>
      <c r="B3091" s="214"/>
    </row>
    <row r="3092" spans="1:2">
      <c r="A3092" s="218"/>
      <c r="B3092" s="214"/>
    </row>
    <row r="3093" spans="1:2">
      <c r="A3093" s="218"/>
      <c r="B3093" s="214"/>
    </row>
    <row r="3094" spans="1:2">
      <c r="A3094" s="218"/>
      <c r="B3094" s="214"/>
    </row>
    <row r="3095" spans="1:2">
      <c r="A3095" s="218"/>
      <c r="B3095" s="214"/>
    </row>
    <row r="3096" spans="1:2">
      <c r="A3096" s="218"/>
      <c r="B3096" s="214"/>
    </row>
    <row r="3097" spans="1:2">
      <c r="A3097" s="218"/>
      <c r="B3097" s="214"/>
    </row>
    <row r="3098" spans="1:2">
      <c r="A3098" s="218"/>
      <c r="B3098" s="214"/>
    </row>
    <row r="3099" spans="1:2">
      <c r="A3099" s="218"/>
      <c r="B3099" s="214"/>
    </row>
    <row r="3100" spans="1:2">
      <c r="A3100" s="218"/>
      <c r="B3100" s="214"/>
    </row>
    <row r="3101" spans="1:2">
      <c r="A3101" s="218"/>
      <c r="B3101" s="214"/>
    </row>
    <row r="3102" spans="1:2">
      <c r="A3102" s="218"/>
      <c r="B3102" s="214"/>
    </row>
    <row r="3103" spans="1:2">
      <c r="A3103" s="218"/>
      <c r="B3103" s="214"/>
    </row>
    <row r="3104" spans="1:2">
      <c r="A3104" s="218"/>
      <c r="B3104" s="214"/>
    </row>
    <row r="3105" spans="1:2">
      <c r="A3105" s="218"/>
      <c r="B3105" s="214"/>
    </row>
    <row r="3106" spans="1:2">
      <c r="A3106" s="218"/>
      <c r="B3106" s="214"/>
    </row>
    <row r="3107" spans="1:2">
      <c r="A3107" s="218"/>
      <c r="B3107" s="214"/>
    </row>
    <row r="3108" spans="1:2">
      <c r="A3108" s="218"/>
      <c r="B3108" s="214"/>
    </row>
    <row r="3109" spans="1:2">
      <c r="A3109" s="218"/>
      <c r="B3109" s="214"/>
    </row>
    <row r="3110" spans="1:2">
      <c r="A3110" s="218"/>
      <c r="B3110" s="214"/>
    </row>
    <row r="3111" spans="1:2">
      <c r="A3111" s="218"/>
      <c r="B3111" s="214"/>
    </row>
    <row r="3112" spans="1:2">
      <c r="A3112" s="218"/>
      <c r="B3112" s="214"/>
    </row>
    <row r="3113" spans="1:2">
      <c r="A3113" s="218"/>
      <c r="B3113" s="214"/>
    </row>
    <row r="3114" spans="1:2">
      <c r="A3114" s="218"/>
      <c r="B3114" s="214"/>
    </row>
    <row r="3115" spans="1:2">
      <c r="A3115" s="218"/>
      <c r="B3115" s="214"/>
    </row>
    <row r="3116" spans="1:2">
      <c r="A3116" s="218"/>
      <c r="B3116" s="214"/>
    </row>
    <row r="3117" spans="1:2">
      <c r="A3117" s="218"/>
      <c r="B3117" s="214"/>
    </row>
    <row r="3118" spans="1:2">
      <c r="A3118" s="218"/>
      <c r="B3118" s="214"/>
    </row>
    <row r="3119" spans="1:2">
      <c r="A3119" s="218"/>
      <c r="B3119" s="214"/>
    </row>
    <row r="3120" spans="1:2">
      <c r="A3120" s="218"/>
      <c r="B3120" s="214"/>
    </row>
    <row r="3121" spans="1:2">
      <c r="A3121" s="218"/>
      <c r="B3121" s="214"/>
    </row>
    <row r="3122" spans="1:2">
      <c r="A3122" s="218"/>
      <c r="B3122" s="214"/>
    </row>
    <row r="3123" spans="1:2">
      <c r="A3123" s="218"/>
      <c r="B3123" s="214"/>
    </row>
    <row r="3124" spans="1:2">
      <c r="A3124" s="218"/>
      <c r="B3124" s="214"/>
    </row>
    <row r="3125" spans="1:2">
      <c r="A3125" s="218"/>
      <c r="B3125" s="214"/>
    </row>
    <row r="3126" spans="1:2">
      <c r="A3126" s="218"/>
      <c r="B3126" s="214"/>
    </row>
    <row r="3127" spans="1:2">
      <c r="A3127" s="218"/>
      <c r="B3127" s="214"/>
    </row>
    <row r="3128" spans="1:2">
      <c r="A3128" s="218"/>
      <c r="B3128" s="214"/>
    </row>
    <row r="3129" spans="1:2">
      <c r="A3129" s="218"/>
      <c r="B3129" s="214"/>
    </row>
    <row r="3130" spans="1:2">
      <c r="A3130" s="218"/>
      <c r="B3130" s="214"/>
    </row>
    <row r="3131" spans="1:2">
      <c r="A3131" s="218"/>
      <c r="B3131" s="214"/>
    </row>
    <row r="3132" spans="1:2">
      <c r="A3132" s="218"/>
      <c r="B3132" s="214"/>
    </row>
    <row r="3133" spans="1:2">
      <c r="A3133" s="218"/>
      <c r="B3133" s="214"/>
    </row>
    <row r="3134" spans="1:2">
      <c r="A3134" s="218"/>
      <c r="B3134" s="214"/>
    </row>
    <row r="3135" spans="1:2">
      <c r="A3135" s="218"/>
      <c r="B3135" s="214"/>
    </row>
    <row r="3136" spans="1:2">
      <c r="A3136" s="218"/>
      <c r="B3136" s="214"/>
    </row>
    <row r="3137" spans="1:2">
      <c r="A3137" s="218"/>
      <c r="B3137" s="214"/>
    </row>
    <row r="3138" spans="1:2">
      <c r="A3138" s="218"/>
      <c r="B3138" s="214"/>
    </row>
    <row r="3139" spans="1:2">
      <c r="A3139" s="218"/>
      <c r="B3139" s="214"/>
    </row>
    <row r="3140" spans="1:2">
      <c r="A3140" s="218"/>
      <c r="B3140" s="214"/>
    </row>
    <row r="3141" spans="1:2">
      <c r="A3141" s="218"/>
      <c r="B3141" s="214"/>
    </row>
    <row r="3142" spans="1:2">
      <c r="A3142" s="218"/>
      <c r="B3142" s="214"/>
    </row>
    <row r="3143" spans="1:2">
      <c r="A3143" s="218"/>
      <c r="B3143" s="214"/>
    </row>
    <row r="3144" spans="1:2">
      <c r="A3144" s="218"/>
      <c r="B3144" s="214"/>
    </row>
    <row r="3145" spans="1:2">
      <c r="A3145" s="218"/>
      <c r="B3145" s="214"/>
    </row>
    <row r="3146" spans="1:2">
      <c r="A3146" s="218"/>
      <c r="B3146" s="214"/>
    </row>
    <row r="3147" spans="1:2">
      <c r="A3147" s="218"/>
      <c r="B3147" s="214"/>
    </row>
    <row r="3148" spans="1:2">
      <c r="A3148" s="218"/>
      <c r="B3148" s="214"/>
    </row>
    <row r="3149" spans="1:2">
      <c r="A3149" s="218"/>
      <c r="B3149" s="214"/>
    </row>
    <row r="3150" spans="1:2">
      <c r="A3150" s="218"/>
      <c r="B3150" s="214"/>
    </row>
    <row r="3151" spans="1:2">
      <c r="A3151" s="218"/>
      <c r="B3151" s="214"/>
    </row>
    <row r="3152" spans="1:2">
      <c r="A3152" s="218"/>
      <c r="B3152" s="214"/>
    </row>
    <row r="3153" spans="1:2">
      <c r="A3153" s="218"/>
      <c r="B3153" s="214"/>
    </row>
    <row r="3154" spans="1:2">
      <c r="A3154" s="218"/>
      <c r="B3154" s="214"/>
    </row>
    <row r="3155" spans="1:2">
      <c r="A3155" s="218"/>
      <c r="B3155" s="214"/>
    </row>
    <row r="3156" spans="1:2">
      <c r="A3156" s="218"/>
      <c r="B3156" s="214"/>
    </row>
    <row r="3157" spans="1:2">
      <c r="A3157" s="218"/>
      <c r="B3157" s="214"/>
    </row>
    <row r="3158" spans="1:2">
      <c r="A3158" s="218"/>
      <c r="B3158" s="214"/>
    </row>
    <row r="3159" spans="1:2">
      <c r="A3159" s="218"/>
      <c r="B3159" s="214"/>
    </row>
    <row r="3160" spans="1:2">
      <c r="A3160" s="218"/>
      <c r="B3160" s="214"/>
    </row>
    <row r="3161" spans="1:2">
      <c r="A3161" s="218"/>
      <c r="B3161" s="214"/>
    </row>
    <row r="3162" spans="1:2">
      <c r="A3162" s="218"/>
      <c r="B3162" s="214"/>
    </row>
    <row r="3163" spans="1:2">
      <c r="A3163" s="218"/>
      <c r="B3163" s="214"/>
    </row>
    <row r="3164" spans="1:2">
      <c r="A3164" s="218"/>
      <c r="B3164" s="214"/>
    </row>
    <row r="3165" spans="1:2">
      <c r="A3165" s="218"/>
      <c r="B3165" s="214"/>
    </row>
    <row r="3166" spans="1:2">
      <c r="A3166" s="218"/>
      <c r="B3166" s="214"/>
    </row>
    <row r="3167" spans="1:2">
      <c r="A3167" s="218"/>
      <c r="B3167" s="214"/>
    </row>
    <row r="3168" spans="1:2">
      <c r="A3168" s="218"/>
      <c r="B3168" s="214"/>
    </row>
    <row r="3169" spans="1:2">
      <c r="A3169" s="218"/>
      <c r="B3169" s="214"/>
    </row>
    <row r="3170" spans="1:2">
      <c r="A3170" s="218"/>
      <c r="B3170" s="214"/>
    </row>
    <row r="3171" spans="1:2">
      <c r="A3171" s="218"/>
      <c r="B3171" s="214"/>
    </row>
    <row r="3172" spans="1:2">
      <c r="A3172" s="218"/>
      <c r="B3172" s="214"/>
    </row>
    <row r="3173" spans="1:2">
      <c r="A3173" s="218"/>
      <c r="B3173" s="214"/>
    </row>
    <row r="3174" spans="1:2">
      <c r="A3174" s="218"/>
      <c r="B3174" s="214"/>
    </row>
    <row r="3175" spans="1:2">
      <c r="A3175" s="218"/>
      <c r="B3175" s="214"/>
    </row>
    <row r="3176" spans="1:2">
      <c r="A3176" s="218"/>
      <c r="B3176" s="214"/>
    </row>
    <row r="3177" spans="1:2">
      <c r="A3177" s="218"/>
      <c r="B3177" s="214"/>
    </row>
    <row r="3178" spans="1:2">
      <c r="A3178" s="218"/>
      <c r="B3178" s="214"/>
    </row>
    <row r="3179" spans="1:2">
      <c r="A3179" s="218"/>
      <c r="B3179" s="214"/>
    </row>
    <row r="3180" spans="1:2">
      <c r="A3180" s="218"/>
      <c r="B3180" s="214"/>
    </row>
    <row r="3181" spans="1:2">
      <c r="A3181" s="218"/>
      <c r="B3181" s="214"/>
    </row>
    <row r="3182" spans="1:2">
      <c r="A3182" s="218"/>
      <c r="B3182" s="214"/>
    </row>
    <row r="3183" spans="1:2">
      <c r="A3183" s="218"/>
      <c r="B3183" s="214"/>
    </row>
    <row r="3184" spans="1:2">
      <c r="A3184" s="218"/>
      <c r="B3184" s="214"/>
    </row>
    <row r="3185" spans="1:2">
      <c r="A3185" s="218"/>
      <c r="B3185" s="214"/>
    </row>
    <row r="3186" spans="1:2">
      <c r="A3186" s="218"/>
      <c r="B3186" s="214"/>
    </row>
    <row r="3187" spans="1:2">
      <c r="A3187" s="218"/>
      <c r="B3187" s="214"/>
    </row>
    <row r="3188" spans="1:2">
      <c r="A3188" s="218"/>
      <c r="B3188" s="214"/>
    </row>
    <row r="3189" spans="1:2">
      <c r="A3189" s="218"/>
      <c r="B3189" s="214"/>
    </row>
    <row r="3190" spans="1:2">
      <c r="A3190" s="218"/>
      <c r="B3190" s="214"/>
    </row>
    <row r="3191" spans="1:2">
      <c r="A3191" s="218"/>
      <c r="B3191" s="214"/>
    </row>
    <row r="3192" spans="1:2">
      <c r="A3192" s="218"/>
      <c r="B3192" s="214"/>
    </row>
    <row r="3193" spans="1:2">
      <c r="A3193" s="218"/>
      <c r="B3193" s="214"/>
    </row>
    <row r="3194" spans="1:2">
      <c r="A3194" s="218"/>
      <c r="B3194" s="214"/>
    </row>
    <row r="3195" spans="1:2">
      <c r="A3195" s="218"/>
      <c r="B3195" s="214"/>
    </row>
    <row r="3196" spans="1:2">
      <c r="A3196" s="218"/>
      <c r="B3196" s="214"/>
    </row>
    <row r="3197" spans="1:2">
      <c r="A3197" s="218"/>
      <c r="B3197" s="214"/>
    </row>
    <row r="3198" spans="1:2">
      <c r="A3198" s="218"/>
      <c r="B3198" s="214"/>
    </row>
    <row r="3199" spans="1:2">
      <c r="A3199" s="218"/>
      <c r="B3199" s="214"/>
    </row>
    <row r="3200" spans="1:2">
      <c r="A3200" s="218"/>
      <c r="B3200" s="214"/>
    </row>
    <row r="3201" spans="1:2">
      <c r="A3201" s="218"/>
      <c r="B3201" s="214"/>
    </row>
    <row r="3202" spans="1:2">
      <c r="A3202" s="218"/>
      <c r="B3202" s="214"/>
    </row>
    <row r="3203" spans="1:2">
      <c r="A3203" s="218"/>
      <c r="B3203" s="214"/>
    </row>
    <row r="3204" spans="1:2">
      <c r="A3204" s="218"/>
      <c r="B3204" s="214"/>
    </row>
    <row r="3205" spans="1:2">
      <c r="A3205" s="218"/>
      <c r="B3205" s="214"/>
    </row>
    <row r="3206" spans="1:2">
      <c r="A3206" s="218"/>
      <c r="B3206" s="214"/>
    </row>
    <row r="3207" spans="1:2">
      <c r="A3207" s="218"/>
      <c r="B3207" s="214"/>
    </row>
    <row r="3208" spans="1:2">
      <c r="A3208" s="218"/>
      <c r="B3208" s="214"/>
    </row>
    <row r="3209" spans="1:2">
      <c r="A3209" s="218"/>
      <c r="B3209" s="214"/>
    </row>
    <row r="3210" spans="1:2">
      <c r="A3210" s="218"/>
      <c r="B3210" s="214"/>
    </row>
    <row r="3211" spans="1:2">
      <c r="A3211" s="218"/>
      <c r="B3211" s="214"/>
    </row>
    <row r="3212" spans="1:2">
      <c r="A3212" s="218"/>
      <c r="B3212" s="214"/>
    </row>
    <row r="3213" spans="1:2">
      <c r="A3213" s="218"/>
      <c r="B3213" s="214"/>
    </row>
    <row r="3214" spans="1:2">
      <c r="A3214" s="218"/>
      <c r="B3214" s="214"/>
    </row>
    <row r="3215" spans="1:2">
      <c r="A3215" s="218"/>
      <c r="B3215" s="214"/>
    </row>
    <row r="3216" spans="1:2">
      <c r="A3216" s="218"/>
      <c r="B3216" s="214"/>
    </row>
    <row r="3217" spans="1:2">
      <c r="A3217" s="218"/>
      <c r="B3217" s="214"/>
    </row>
    <row r="3218" spans="1:2">
      <c r="A3218" s="218"/>
      <c r="B3218" s="214"/>
    </row>
    <row r="3219" spans="1:2">
      <c r="A3219" s="218"/>
      <c r="B3219" s="214"/>
    </row>
    <row r="3220" spans="1:2">
      <c r="A3220" s="218"/>
      <c r="B3220" s="214"/>
    </row>
    <row r="3221" spans="1:2">
      <c r="A3221" s="218"/>
      <c r="B3221" s="214"/>
    </row>
    <row r="3222" spans="1:2">
      <c r="A3222" s="218"/>
      <c r="B3222" s="214"/>
    </row>
    <row r="3223" spans="1:2">
      <c r="A3223" s="218"/>
      <c r="B3223" s="214"/>
    </row>
    <row r="3224" spans="1:2">
      <c r="A3224" s="218"/>
      <c r="B3224" s="214"/>
    </row>
    <row r="3225" spans="1:2">
      <c r="A3225" s="218"/>
      <c r="B3225" s="214"/>
    </row>
    <row r="3226" spans="1:2">
      <c r="A3226" s="218"/>
      <c r="B3226" s="214"/>
    </row>
    <row r="3227" spans="1:2">
      <c r="A3227" s="218"/>
      <c r="B3227" s="214"/>
    </row>
    <row r="3228" spans="1:2">
      <c r="A3228" s="218"/>
      <c r="B3228" s="214"/>
    </row>
    <row r="3229" spans="1:2">
      <c r="A3229" s="218"/>
      <c r="B3229" s="214"/>
    </row>
    <row r="3230" spans="1:2">
      <c r="A3230" s="218"/>
      <c r="B3230" s="214"/>
    </row>
    <row r="3231" spans="1:2">
      <c r="A3231" s="218"/>
      <c r="B3231" s="214"/>
    </row>
    <row r="3232" spans="1:2">
      <c r="A3232" s="218"/>
      <c r="B3232" s="214"/>
    </row>
    <row r="3233" spans="1:2">
      <c r="A3233" s="218"/>
      <c r="B3233" s="214"/>
    </row>
    <row r="3234" spans="1:2">
      <c r="A3234" s="218"/>
      <c r="B3234" s="214"/>
    </row>
    <row r="3235" spans="1:2">
      <c r="A3235" s="218"/>
      <c r="B3235" s="214"/>
    </row>
    <row r="3236" spans="1:2">
      <c r="A3236" s="218"/>
      <c r="B3236" s="214"/>
    </row>
    <row r="3237" spans="1:2">
      <c r="A3237" s="218"/>
      <c r="B3237" s="214"/>
    </row>
    <row r="3238" spans="1:2">
      <c r="A3238" s="218"/>
      <c r="B3238" s="214"/>
    </row>
    <row r="3239" spans="1:2">
      <c r="A3239" s="218"/>
      <c r="B3239" s="214"/>
    </row>
    <row r="3240" spans="1:2">
      <c r="A3240" s="218"/>
      <c r="B3240" s="214"/>
    </row>
    <row r="3241" spans="1:2">
      <c r="A3241" s="218"/>
      <c r="B3241" s="214"/>
    </row>
    <row r="3242" spans="1:2">
      <c r="A3242" s="218"/>
      <c r="B3242" s="214"/>
    </row>
    <row r="3243" spans="1:2">
      <c r="A3243" s="218"/>
      <c r="B3243" s="214"/>
    </row>
    <row r="3244" spans="1:2">
      <c r="A3244" s="218"/>
      <c r="B3244" s="214"/>
    </row>
    <row r="3245" spans="1:2">
      <c r="A3245" s="218"/>
      <c r="B3245" s="214"/>
    </row>
    <row r="3246" spans="1:2">
      <c r="A3246" s="218"/>
      <c r="B3246" s="214"/>
    </row>
    <row r="3247" spans="1:2">
      <c r="A3247" s="218"/>
      <c r="B3247" s="214"/>
    </row>
    <row r="3248" spans="1:2">
      <c r="A3248" s="218"/>
      <c r="B3248" s="214"/>
    </row>
    <row r="3249" spans="1:2">
      <c r="A3249" s="218"/>
      <c r="B3249" s="214"/>
    </row>
    <row r="3250" spans="1:2">
      <c r="A3250" s="218"/>
      <c r="B3250" s="214"/>
    </row>
    <row r="3251" spans="1:2">
      <c r="A3251" s="218"/>
      <c r="B3251" s="214"/>
    </row>
    <row r="3252" spans="1:2">
      <c r="A3252" s="218"/>
      <c r="B3252" s="214"/>
    </row>
    <row r="3253" spans="1:2">
      <c r="A3253" s="218"/>
      <c r="B3253" s="214"/>
    </row>
    <row r="3254" spans="1:2">
      <c r="A3254" s="218"/>
      <c r="B3254" s="214"/>
    </row>
    <row r="3255" spans="1:2">
      <c r="A3255" s="218"/>
      <c r="B3255" s="214"/>
    </row>
    <row r="3256" spans="1:2">
      <c r="A3256" s="218"/>
      <c r="B3256" s="214"/>
    </row>
    <row r="3257" spans="1:2">
      <c r="A3257" s="218"/>
      <c r="B3257" s="214"/>
    </row>
    <row r="3258" spans="1:2">
      <c r="A3258" s="218"/>
      <c r="B3258" s="214"/>
    </row>
    <row r="3259" spans="1:2">
      <c r="A3259" s="218"/>
      <c r="B3259" s="214"/>
    </row>
    <row r="3260" spans="1:2">
      <c r="A3260" s="218"/>
      <c r="B3260" s="214"/>
    </row>
    <row r="3261" spans="1:2">
      <c r="A3261" s="218"/>
      <c r="B3261" s="214"/>
    </row>
    <row r="3262" spans="1:2">
      <c r="A3262" s="218"/>
      <c r="B3262" s="214"/>
    </row>
    <row r="3263" spans="1:2">
      <c r="A3263" s="218"/>
      <c r="B3263" s="214"/>
    </row>
    <row r="3264" spans="1:2">
      <c r="A3264" s="218"/>
      <c r="B3264" s="214"/>
    </row>
    <row r="3265" spans="1:2">
      <c r="A3265" s="218"/>
      <c r="B3265" s="214"/>
    </row>
    <row r="3266" spans="1:2">
      <c r="A3266" s="218"/>
      <c r="B3266" s="214"/>
    </row>
    <row r="3267" spans="1:2">
      <c r="A3267" s="218"/>
      <c r="B3267" s="214"/>
    </row>
    <row r="3268" spans="1:2">
      <c r="A3268" s="218"/>
      <c r="B3268" s="214"/>
    </row>
    <row r="3269" spans="1:2">
      <c r="A3269" s="218"/>
      <c r="B3269" s="214"/>
    </row>
    <row r="3270" spans="1:2">
      <c r="A3270" s="218"/>
      <c r="B3270" s="214"/>
    </row>
    <row r="3271" spans="1:2">
      <c r="A3271" s="218"/>
      <c r="B3271" s="214"/>
    </row>
    <row r="3272" spans="1:2">
      <c r="A3272" s="218"/>
      <c r="B3272" s="214"/>
    </row>
    <row r="3273" spans="1:2">
      <c r="A3273" s="218"/>
      <c r="B3273" s="214"/>
    </row>
    <row r="3274" spans="1:2">
      <c r="A3274" s="218"/>
      <c r="B3274" s="214"/>
    </row>
    <row r="3275" spans="1:2">
      <c r="A3275" s="218"/>
      <c r="B3275" s="214"/>
    </row>
    <row r="3276" spans="1:2">
      <c r="A3276" s="218"/>
      <c r="B3276" s="214"/>
    </row>
    <row r="3277" spans="1:2">
      <c r="A3277" s="218"/>
      <c r="B3277" s="214"/>
    </row>
    <row r="3278" spans="1:2">
      <c r="A3278" s="218"/>
      <c r="B3278" s="214"/>
    </row>
    <row r="3279" spans="1:2">
      <c r="A3279" s="218"/>
      <c r="B3279" s="214"/>
    </row>
    <row r="3280" spans="1:2">
      <c r="A3280" s="218"/>
      <c r="B3280" s="214"/>
    </row>
    <row r="3281" spans="1:2">
      <c r="A3281" s="218"/>
      <c r="B3281" s="214"/>
    </row>
    <row r="3282" spans="1:2">
      <c r="A3282" s="218"/>
      <c r="B3282" s="214"/>
    </row>
    <row r="3283" spans="1:2">
      <c r="A3283" s="218"/>
      <c r="B3283" s="214"/>
    </row>
    <row r="3284" spans="1:2">
      <c r="A3284" s="218"/>
      <c r="B3284" s="214"/>
    </row>
    <row r="3285" spans="1:2">
      <c r="A3285" s="218"/>
      <c r="B3285" s="214"/>
    </row>
    <row r="3286" spans="1:2">
      <c r="A3286" s="218"/>
      <c r="B3286" s="214"/>
    </row>
    <row r="3287" spans="1:2">
      <c r="A3287" s="218"/>
      <c r="B3287" s="214"/>
    </row>
    <row r="3288" spans="1:2">
      <c r="A3288" s="218"/>
      <c r="B3288" s="214"/>
    </row>
    <row r="3289" spans="1:2">
      <c r="A3289" s="218"/>
      <c r="B3289" s="214"/>
    </row>
    <row r="3290" spans="1:2">
      <c r="A3290" s="218"/>
      <c r="B3290" s="214"/>
    </row>
    <row r="3291" spans="1:2">
      <c r="A3291" s="218"/>
      <c r="B3291" s="214"/>
    </row>
    <row r="3292" spans="1:2">
      <c r="A3292" s="218"/>
      <c r="B3292" s="214"/>
    </row>
    <row r="3293" spans="1:2">
      <c r="A3293" s="218"/>
      <c r="B3293" s="214"/>
    </row>
    <row r="3294" spans="1:2">
      <c r="A3294" s="218"/>
      <c r="B3294" s="214"/>
    </row>
    <row r="3295" spans="1:2">
      <c r="A3295" s="218"/>
      <c r="B3295" s="214"/>
    </row>
    <row r="3296" spans="1:2">
      <c r="A3296" s="218"/>
      <c r="B3296" s="214"/>
    </row>
    <row r="3297" spans="1:2">
      <c r="A3297" s="218"/>
      <c r="B3297" s="214"/>
    </row>
    <row r="3298" spans="1:2">
      <c r="A3298" s="218"/>
      <c r="B3298" s="214"/>
    </row>
    <row r="3299" spans="1:2">
      <c r="A3299" s="218"/>
      <c r="B3299" s="214"/>
    </row>
    <row r="3300" spans="1:2">
      <c r="A3300" s="218"/>
      <c r="B3300" s="214"/>
    </row>
    <row r="3301" spans="1:2">
      <c r="A3301" s="218"/>
      <c r="B3301" s="214"/>
    </row>
    <row r="3302" spans="1:2">
      <c r="A3302" s="218"/>
      <c r="B3302" s="214"/>
    </row>
    <row r="3303" spans="1:2">
      <c r="A3303" s="218"/>
      <c r="B3303" s="214"/>
    </row>
    <row r="3304" spans="1:2">
      <c r="A3304" s="218"/>
      <c r="B3304" s="214"/>
    </row>
    <row r="3305" spans="1:2">
      <c r="A3305" s="218"/>
      <c r="B3305" s="214"/>
    </row>
    <row r="3306" spans="1:2">
      <c r="A3306" s="218"/>
      <c r="B3306" s="214"/>
    </row>
    <row r="3307" spans="1:2">
      <c r="A3307" s="218"/>
      <c r="B3307" s="214"/>
    </row>
    <row r="3308" spans="1:2">
      <c r="A3308" s="218"/>
      <c r="B3308" s="214"/>
    </row>
    <row r="3309" spans="1:2">
      <c r="A3309" s="218"/>
      <c r="B3309" s="214"/>
    </row>
    <row r="3310" spans="1:2">
      <c r="A3310" s="218"/>
      <c r="B3310" s="214"/>
    </row>
    <row r="3311" spans="1:2">
      <c r="A3311" s="218"/>
      <c r="B3311" s="214"/>
    </row>
    <row r="3312" spans="1:2">
      <c r="A3312" s="218"/>
      <c r="B3312" s="214"/>
    </row>
    <row r="3313" spans="1:2">
      <c r="A3313" s="218"/>
      <c r="B3313" s="214"/>
    </row>
    <row r="3314" spans="1:2">
      <c r="A3314" s="218"/>
      <c r="B3314" s="214"/>
    </row>
    <row r="3315" spans="1:2">
      <c r="A3315" s="218"/>
      <c r="B3315" s="214"/>
    </row>
    <row r="3316" spans="1:2">
      <c r="A3316" s="218"/>
      <c r="B3316" s="214"/>
    </row>
    <row r="3317" spans="1:2">
      <c r="A3317" s="218"/>
      <c r="B3317" s="214"/>
    </row>
    <row r="3318" spans="1:2">
      <c r="A3318" s="218"/>
      <c r="B3318" s="214"/>
    </row>
    <row r="3319" spans="1:2">
      <c r="A3319" s="218"/>
      <c r="B3319" s="214"/>
    </row>
    <row r="3320" spans="1:2">
      <c r="A3320" s="218"/>
      <c r="B3320" s="214"/>
    </row>
    <row r="3321" spans="1:2">
      <c r="A3321" s="218"/>
      <c r="B3321" s="214"/>
    </row>
    <row r="3322" spans="1:2">
      <c r="A3322" s="218"/>
      <c r="B3322" s="214"/>
    </row>
    <row r="3323" spans="1:2">
      <c r="A3323" s="218"/>
      <c r="B3323" s="214"/>
    </row>
    <row r="3324" spans="1:2">
      <c r="A3324" s="218"/>
      <c r="B3324" s="214"/>
    </row>
    <row r="3325" spans="1:2">
      <c r="A3325" s="218"/>
      <c r="B3325" s="214"/>
    </row>
    <row r="3326" spans="1:2">
      <c r="A3326" s="218"/>
      <c r="B3326" s="214"/>
    </row>
    <row r="3327" spans="1:2">
      <c r="A3327" s="218"/>
      <c r="B3327" s="214"/>
    </row>
    <row r="3328" spans="1:2">
      <c r="A3328" s="218"/>
      <c r="B3328" s="214"/>
    </row>
    <row r="3329" spans="1:2">
      <c r="A3329" s="218"/>
      <c r="B3329" s="214"/>
    </row>
    <row r="3330" spans="1:2">
      <c r="A3330" s="218"/>
      <c r="B3330" s="214"/>
    </row>
    <row r="3331" spans="1:2">
      <c r="A3331" s="218"/>
      <c r="B3331" s="214"/>
    </row>
    <row r="3332" spans="1:2">
      <c r="A3332" s="218"/>
      <c r="B3332" s="214"/>
    </row>
    <row r="3333" spans="1:2">
      <c r="A3333" s="218"/>
      <c r="B3333" s="214"/>
    </row>
    <row r="3334" spans="1:2">
      <c r="A3334" s="218"/>
      <c r="B3334" s="214"/>
    </row>
    <row r="3335" spans="1:2">
      <c r="A3335" s="218"/>
      <c r="B3335" s="214"/>
    </row>
    <row r="3336" spans="1:2">
      <c r="A3336" s="218"/>
      <c r="B3336" s="214"/>
    </row>
    <row r="3337" spans="1:2">
      <c r="A3337" s="218"/>
      <c r="B3337" s="214"/>
    </row>
    <row r="3338" spans="1:2">
      <c r="A3338" s="218"/>
      <c r="B3338" s="214"/>
    </row>
    <row r="3339" spans="1:2">
      <c r="A3339" s="218"/>
      <c r="B3339" s="214"/>
    </row>
    <row r="3340" spans="1:2">
      <c r="A3340" s="218"/>
      <c r="B3340" s="214"/>
    </row>
    <row r="3341" spans="1:2">
      <c r="A3341" s="218"/>
      <c r="B3341" s="214"/>
    </row>
    <row r="3342" spans="1:2">
      <c r="A3342" s="218"/>
      <c r="B3342" s="214"/>
    </row>
    <row r="3343" spans="1:2">
      <c r="A3343" s="218"/>
      <c r="B3343" s="214"/>
    </row>
    <row r="3344" spans="1:2">
      <c r="A3344" s="218"/>
      <c r="B3344" s="214"/>
    </row>
    <row r="3345" spans="1:2">
      <c r="A3345" s="218"/>
      <c r="B3345" s="214"/>
    </row>
    <row r="3346" spans="1:2">
      <c r="A3346" s="218"/>
      <c r="B3346" s="214"/>
    </row>
    <row r="3347" spans="1:2">
      <c r="A3347" s="218"/>
      <c r="B3347" s="214"/>
    </row>
    <row r="3348" spans="1:2">
      <c r="A3348" s="218"/>
      <c r="B3348" s="214"/>
    </row>
    <row r="3349" spans="1:2">
      <c r="A3349" s="218"/>
      <c r="B3349" s="214"/>
    </row>
    <row r="3350" spans="1:2">
      <c r="A3350" s="218"/>
      <c r="B3350" s="214"/>
    </row>
    <row r="3351" spans="1:2">
      <c r="A3351" s="218"/>
      <c r="B3351" s="214"/>
    </row>
    <row r="3352" spans="1:2">
      <c r="A3352" s="218"/>
      <c r="B3352" s="214"/>
    </row>
    <row r="3353" spans="1:2">
      <c r="A3353" s="218"/>
      <c r="B3353" s="214"/>
    </row>
    <row r="3354" spans="1:2">
      <c r="A3354" s="218"/>
      <c r="B3354" s="214"/>
    </row>
    <row r="3355" spans="1:2">
      <c r="A3355" s="218"/>
      <c r="B3355" s="214"/>
    </row>
    <row r="3356" spans="1:2">
      <c r="A3356" s="218"/>
      <c r="B3356" s="214"/>
    </row>
    <row r="3357" spans="1:2">
      <c r="A3357" s="218"/>
      <c r="B3357" s="214"/>
    </row>
    <row r="3358" spans="1:2">
      <c r="A3358" s="218"/>
      <c r="B3358" s="214"/>
    </row>
    <row r="3359" spans="1:2">
      <c r="A3359" s="218"/>
      <c r="B3359" s="214"/>
    </row>
    <row r="3360" spans="1:2">
      <c r="A3360" s="218"/>
      <c r="B3360" s="214"/>
    </row>
    <row r="3361" spans="1:2">
      <c r="A3361" s="218"/>
      <c r="B3361" s="214"/>
    </row>
    <row r="3362" spans="1:2">
      <c r="A3362" s="218"/>
      <c r="B3362" s="214"/>
    </row>
    <row r="3363" spans="1:2">
      <c r="A3363" s="218"/>
      <c r="B3363" s="214"/>
    </row>
    <row r="3364" spans="1:2">
      <c r="A3364" s="218"/>
      <c r="B3364" s="214"/>
    </row>
    <row r="3365" spans="1:2">
      <c r="A3365" s="218"/>
      <c r="B3365" s="214"/>
    </row>
    <row r="3366" spans="1:2">
      <c r="A3366" s="218"/>
      <c r="B3366" s="214"/>
    </row>
    <row r="3367" spans="1:2">
      <c r="A3367" s="218"/>
      <c r="B3367" s="214"/>
    </row>
    <row r="3368" spans="1:2">
      <c r="A3368" s="218"/>
      <c r="B3368" s="214"/>
    </row>
    <row r="3369" spans="1:2">
      <c r="A3369" s="218"/>
      <c r="B3369" s="214"/>
    </row>
    <row r="3370" spans="1:2">
      <c r="A3370" s="218"/>
      <c r="B3370" s="214"/>
    </row>
    <row r="3371" spans="1:2">
      <c r="A3371" s="218"/>
      <c r="B3371" s="214"/>
    </row>
    <row r="3372" spans="1:2">
      <c r="A3372" s="218"/>
      <c r="B3372" s="214"/>
    </row>
    <row r="3373" spans="1:2">
      <c r="A3373" s="218"/>
      <c r="B3373" s="214"/>
    </row>
    <row r="3374" spans="1:2">
      <c r="A3374" s="218"/>
      <c r="B3374" s="214"/>
    </row>
    <row r="3375" spans="1:2">
      <c r="A3375" s="218"/>
      <c r="B3375" s="214"/>
    </row>
    <row r="3376" spans="1:2">
      <c r="A3376" s="218"/>
      <c r="B3376" s="214"/>
    </row>
    <row r="3377" spans="1:2">
      <c r="A3377" s="218"/>
      <c r="B3377" s="214"/>
    </row>
    <row r="3378" spans="1:2">
      <c r="A3378" s="218"/>
      <c r="B3378" s="214"/>
    </row>
    <row r="3379" spans="1:2">
      <c r="A3379" s="218"/>
      <c r="B3379" s="214"/>
    </row>
    <row r="3380" spans="1:2">
      <c r="A3380" s="218"/>
      <c r="B3380" s="214"/>
    </row>
    <row r="3381" spans="1:2">
      <c r="A3381" s="218"/>
      <c r="B3381" s="214"/>
    </row>
    <row r="3382" spans="1:2">
      <c r="A3382" s="218"/>
      <c r="B3382" s="214"/>
    </row>
    <row r="3383" spans="1:2">
      <c r="A3383" s="218"/>
      <c r="B3383" s="214"/>
    </row>
    <row r="3384" spans="1:2">
      <c r="A3384" s="218"/>
      <c r="B3384" s="214"/>
    </row>
    <row r="3385" spans="1:2">
      <c r="A3385" s="218"/>
      <c r="B3385" s="214"/>
    </row>
    <row r="3386" spans="1:2">
      <c r="A3386" s="218"/>
      <c r="B3386" s="214"/>
    </row>
    <row r="3387" spans="1:2">
      <c r="A3387" s="218"/>
      <c r="B3387" s="214"/>
    </row>
    <row r="3388" spans="1:2">
      <c r="A3388" s="218"/>
      <c r="B3388" s="214"/>
    </row>
    <row r="3389" spans="1:2">
      <c r="A3389" s="218"/>
      <c r="B3389" s="214"/>
    </row>
    <row r="3390" spans="1:2">
      <c r="A3390" s="218"/>
      <c r="B3390" s="214"/>
    </row>
    <row r="3391" spans="1:2">
      <c r="A3391" s="218"/>
      <c r="B3391" s="214"/>
    </row>
    <row r="3392" spans="1:2">
      <c r="A3392" s="218"/>
      <c r="B3392" s="214"/>
    </row>
    <row r="3393" spans="1:2">
      <c r="A3393" s="218"/>
      <c r="B3393" s="214"/>
    </row>
    <row r="3394" spans="1:2">
      <c r="A3394" s="218"/>
      <c r="B3394" s="214"/>
    </row>
    <row r="3395" spans="1:2">
      <c r="A3395" s="218"/>
      <c r="B3395" s="214"/>
    </row>
    <row r="3396" spans="1:2">
      <c r="A3396" s="218"/>
      <c r="B3396" s="214"/>
    </row>
    <row r="3397" spans="1:2">
      <c r="A3397" s="218"/>
      <c r="B3397" s="214"/>
    </row>
    <row r="3398" spans="1:2">
      <c r="A3398" s="218"/>
      <c r="B3398" s="214"/>
    </row>
    <row r="3399" spans="1:2">
      <c r="A3399" s="218"/>
      <c r="B3399" s="214"/>
    </row>
    <row r="3400" spans="1:2">
      <c r="A3400" s="218"/>
      <c r="B3400" s="214"/>
    </row>
    <row r="3401" spans="1:2">
      <c r="A3401" s="218"/>
      <c r="B3401" s="214"/>
    </row>
    <row r="3402" spans="1:2">
      <c r="A3402" s="218"/>
      <c r="B3402" s="214"/>
    </row>
    <row r="3403" spans="1:2">
      <c r="A3403" s="218"/>
      <c r="B3403" s="214"/>
    </row>
    <row r="3404" spans="1:2">
      <c r="A3404" s="218"/>
      <c r="B3404" s="214"/>
    </row>
    <row r="3405" spans="1:2">
      <c r="A3405" s="218"/>
      <c r="B3405" s="214"/>
    </row>
    <row r="3406" spans="1:2">
      <c r="A3406" s="218"/>
      <c r="B3406" s="214"/>
    </row>
    <row r="3407" spans="1:2">
      <c r="A3407" s="218"/>
      <c r="B3407" s="214"/>
    </row>
    <row r="3408" spans="1:2">
      <c r="A3408" s="218"/>
      <c r="B3408" s="214"/>
    </row>
    <row r="3409" spans="1:2">
      <c r="A3409" s="218"/>
      <c r="B3409" s="214"/>
    </row>
    <row r="3410" spans="1:2">
      <c r="A3410" s="218"/>
      <c r="B3410" s="214"/>
    </row>
    <row r="3411" spans="1:2">
      <c r="A3411" s="218"/>
      <c r="B3411" s="214"/>
    </row>
    <row r="3412" spans="1:2">
      <c r="A3412" s="218"/>
      <c r="B3412" s="214"/>
    </row>
    <row r="3413" spans="1:2">
      <c r="A3413" s="218"/>
      <c r="B3413" s="214"/>
    </row>
    <row r="3414" spans="1:2">
      <c r="A3414" s="218"/>
      <c r="B3414" s="214"/>
    </row>
    <row r="3415" spans="1:2">
      <c r="A3415" s="218"/>
      <c r="B3415" s="214"/>
    </row>
    <row r="3416" spans="1:2">
      <c r="A3416" s="218"/>
      <c r="B3416" s="214"/>
    </row>
    <row r="3417" spans="1:2">
      <c r="A3417" s="218"/>
      <c r="B3417" s="214"/>
    </row>
    <row r="3418" spans="1:2">
      <c r="A3418" s="218"/>
      <c r="B3418" s="214"/>
    </row>
    <row r="3419" spans="1:2">
      <c r="A3419" s="218"/>
      <c r="B3419" s="214"/>
    </row>
    <row r="3420" spans="1:2">
      <c r="A3420" s="218"/>
      <c r="B3420" s="214"/>
    </row>
    <row r="3421" spans="1:2">
      <c r="A3421" s="218"/>
      <c r="B3421" s="214"/>
    </row>
    <row r="3422" spans="1:2">
      <c r="A3422" s="218"/>
      <c r="B3422" s="214"/>
    </row>
    <row r="3423" spans="1:2">
      <c r="A3423" s="218"/>
      <c r="B3423" s="214"/>
    </row>
    <row r="3424" spans="1:2">
      <c r="A3424" s="218"/>
      <c r="B3424" s="214"/>
    </row>
    <row r="3425" spans="1:2">
      <c r="A3425" s="218"/>
      <c r="B3425" s="214"/>
    </row>
    <row r="3426" spans="1:2">
      <c r="A3426" s="218"/>
      <c r="B3426" s="214"/>
    </row>
    <row r="3427" spans="1:2">
      <c r="A3427" s="218"/>
      <c r="B3427" s="214"/>
    </row>
    <row r="3428" spans="1:2">
      <c r="A3428" s="218"/>
      <c r="B3428" s="214"/>
    </row>
    <row r="3429" spans="1:2">
      <c r="A3429" s="218"/>
      <c r="B3429" s="214"/>
    </row>
    <row r="3430" spans="1:2">
      <c r="A3430" s="218"/>
      <c r="B3430" s="214"/>
    </row>
    <row r="3431" spans="1:2">
      <c r="A3431" s="218"/>
      <c r="B3431" s="214"/>
    </row>
    <row r="3432" spans="1:2">
      <c r="A3432" s="218"/>
      <c r="B3432" s="214"/>
    </row>
    <row r="3433" spans="1:2">
      <c r="A3433" s="218"/>
      <c r="B3433" s="214"/>
    </row>
    <row r="3434" spans="1:2">
      <c r="A3434" s="218"/>
      <c r="B3434" s="214"/>
    </row>
    <row r="3435" spans="1:2">
      <c r="A3435" s="218"/>
      <c r="B3435" s="214"/>
    </row>
    <row r="3436" spans="1:2">
      <c r="A3436" s="218"/>
      <c r="B3436" s="214"/>
    </row>
    <row r="3437" spans="1:2">
      <c r="A3437" s="218"/>
      <c r="B3437" s="214"/>
    </row>
    <row r="3438" spans="1:2">
      <c r="A3438" s="218"/>
      <c r="B3438" s="214"/>
    </row>
    <row r="3439" spans="1:2">
      <c r="A3439" s="218"/>
      <c r="B3439" s="214"/>
    </row>
    <row r="3440" spans="1:2">
      <c r="A3440" s="218"/>
      <c r="B3440" s="214"/>
    </row>
    <row r="3441" spans="1:2">
      <c r="A3441" s="218"/>
      <c r="B3441" s="214"/>
    </row>
    <row r="3442" spans="1:2">
      <c r="A3442" s="218"/>
      <c r="B3442" s="214"/>
    </row>
    <row r="3443" spans="1:2">
      <c r="A3443" s="218"/>
      <c r="B3443" s="214"/>
    </row>
    <row r="3444" spans="1:2">
      <c r="A3444" s="218"/>
      <c r="B3444" s="214"/>
    </row>
    <row r="3445" spans="1:2">
      <c r="A3445" s="218"/>
      <c r="B3445" s="214"/>
    </row>
    <row r="3446" spans="1:2">
      <c r="A3446" s="218"/>
      <c r="B3446" s="214"/>
    </row>
    <row r="3447" spans="1:2">
      <c r="A3447" s="218"/>
      <c r="B3447" s="214"/>
    </row>
    <row r="3448" spans="1:2">
      <c r="A3448" s="218"/>
      <c r="B3448" s="214"/>
    </row>
    <row r="3449" spans="1:2">
      <c r="A3449" s="218"/>
      <c r="B3449" s="214"/>
    </row>
    <row r="3450" spans="1:2">
      <c r="A3450" s="218"/>
      <c r="B3450" s="214"/>
    </row>
    <row r="3451" spans="1:2">
      <c r="A3451" s="218"/>
      <c r="B3451" s="214"/>
    </row>
    <row r="3452" spans="1:2">
      <c r="A3452" s="218"/>
      <c r="B3452" s="214"/>
    </row>
    <row r="3453" spans="1:2">
      <c r="A3453" s="218"/>
      <c r="B3453" s="214"/>
    </row>
    <row r="3454" spans="1:2">
      <c r="A3454" s="218"/>
      <c r="B3454" s="214"/>
    </row>
    <row r="3455" spans="1:2">
      <c r="A3455" s="218"/>
      <c r="B3455" s="214"/>
    </row>
    <row r="3456" spans="1:2">
      <c r="A3456" s="218"/>
      <c r="B3456" s="214"/>
    </row>
    <row r="3457" spans="1:2">
      <c r="A3457" s="218"/>
      <c r="B3457" s="214"/>
    </row>
    <row r="3458" spans="1:2">
      <c r="A3458" s="218"/>
      <c r="B3458" s="214"/>
    </row>
    <row r="3459" spans="1:2">
      <c r="A3459" s="218"/>
      <c r="B3459" s="214"/>
    </row>
    <row r="3460" spans="1:2">
      <c r="A3460" s="218"/>
      <c r="B3460" s="214"/>
    </row>
    <row r="3461" spans="1:2">
      <c r="A3461" s="218"/>
      <c r="B3461" s="214"/>
    </row>
    <row r="3462" spans="1:2">
      <c r="A3462" s="218"/>
      <c r="B3462" s="214"/>
    </row>
    <row r="3463" spans="1:2">
      <c r="A3463" s="218"/>
      <c r="B3463" s="214"/>
    </row>
    <row r="3464" spans="1:2">
      <c r="A3464" s="218"/>
      <c r="B3464" s="214"/>
    </row>
    <row r="3465" spans="1:2">
      <c r="A3465" s="218"/>
      <c r="B3465" s="214"/>
    </row>
    <row r="3466" spans="1:2">
      <c r="A3466" s="218"/>
      <c r="B3466" s="214"/>
    </row>
    <row r="3467" spans="1:2">
      <c r="A3467" s="218"/>
      <c r="B3467" s="214"/>
    </row>
    <row r="3468" spans="1:2">
      <c r="A3468" s="218"/>
      <c r="B3468" s="214"/>
    </row>
    <row r="3469" spans="1:2">
      <c r="A3469" s="218"/>
      <c r="B3469" s="214"/>
    </row>
    <row r="3470" spans="1:2">
      <c r="A3470" s="218"/>
      <c r="B3470" s="214"/>
    </row>
    <row r="3471" spans="1:2">
      <c r="A3471" s="218"/>
      <c r="B3471" s="214"/>
    </row>
    <row r="3472" spans="1:2">
      <c r="A3472" s="218"/>
      <c r="B3472" s="214"/>
    </row>
    <row r="3473" spans="1:2">
      <c r="A3473" s="218"/>
      <c r="B3473" s="214"/>
    </row>
    <row r="3474" spans="1:2">
      <c r="A3474" s="218"/>
      <c r="B3474" s="214"/>
    </row>
    <row r="3475" spans="1:2">
      <c r="A3475" s="218"/>
      <c r="B3475" s="214"/>
    </row>
    <row r="3476" spans="1:2">
      <c r="A3476" s="218"/>
      <c r="B3476" s="214"/>
    </row>
    <row r="3477" spans="1:2">
      <c r="A3477" s="218"/>
      <c r="B3477" s="214"/>
    </row>
    <row r="3478" spans="1:2">
      <c r="A3478" s="218"/>
      <c r="B3478" s="214"/>
    </row>
    <row r="3479" spans="1:2">
      <c r="A3479" s="218"/>
      <c r="B3479" s="214"/>
    </row>
    <row r="3480" spans="1:2">
      <c r="A3480" s="218"/>
      <c r="B3480" s="214"/>
    </row>
    <row r="3481" spans="1:2">
      <c r="A3481" s="218"/>
      <c r="B3481" s="214"/>
    </row>
    <row r="3482" spans="1:2">
      <c r="A3482" s="218"/>
      <c r="B3482" s="214"/>
    </row>
    <row r="3483" spans="1:2">
      <c r="A3483" s="218"/>
      <c r="B3483" s="214"/>
    </row>
    <row r="3484" spans="1:2">
      <c r="A3484" s="218"/>
      <c r="B3484" s="214"/>
    </row>
    <row r="3485" spans="1:2">
      <c r="A3485" s="218"/>
      <c r="B3485" s="214"/>
    </row>
    <row r="3486" spans="1:2">
      <c r="A3486" s="218"/>
      <c r="B3486" s="214"/>
    </row>
    <row r="3487" spans="1:2">
      <c r="A3487" s="218"/>
      <c r="B3487" s="214"/>
    </row>
    <row r="3488" spans="1:2">
      <c r="A3488" s="218"/>
      <c r="B3488" s="214"/>
    </row>
    <row r="3489" spans="1:2">
      <c r="A3489" s="218"/>
      <c r="B3489" s="214"/>
    </row>
    <row r="3490" spans="1:2">
      <c r="A3490" s="218"/>
      <c r="B3490" s="214"/>
    </row>
    <row r="3491" spans="1:2">
      <c r="A3491" s="218"/>
      <c r="B3491" s="214"/>
    </row>
    <row r="3492" spans="1:2">
      <c r="A3492" s="218"/>
      <c r="B3492" s="214"/>
    </row>
    <row r="3493" spans="1:2">
      <c r="A3493" s="218"/>
      <c r="B3493" s="214"/>
    </row>
    <row r="3494" spans="1:2">
      <c r="A3494" s="218"/>
      <c r="B3494" s="214"/>
    </row>
    <row r="3495" spans="1:2">
      <c r="A3495" s="218"/>
      <c r="B3495" s="214"/>
    </row>
    <row r="3496" spans="1:2">
      <c r="A3496" s="218"/>
      <c r="B3496" s="214"/>
    </row>
    <row r="3497" spans="1:2">
      <c r="A3497" s="218"/>
      <c r="B3497" s="214"/>
    </row>
    <row r="3498" spans="1:2">
      <c r="A3498" s="218"/>
      <c r="B3498" s="214"/>
    </row>
    <row r="3499" spans="1:2">
      <c r="A3499" s="218"/>
      <c r="B3499" s="214"/>
    </row>
    <row r="3500" spans="1:2">
      <c r="A3500" s="218"/>
      <c r="B3500" s="214"/>
    </row>
    <row r="3501" spans="1:2">
      <c r="A3501" s="218"/>
      <c r="B3501" s="214"/>
    </row>
    <row r="3502" spans="1:2">
      <c r="A3502" s="218"/>
      <c r="B3502" s="214"/>
    </row>
    <row r="3503" spans="1:2">
      <c r="A3503" s="218"/>
      <c r="B3503" s="214"/>
    </row>
    <row r="3504" spans="1:2">
      <c r="A3504" s="218"/>
      <c r="B3504" s="214"/>
    </row>
    <row r="3505" spans="1:2">
      <c r="A3505" s="218"/>
      <c r="B3505" s="214"/>
    </row>
    <row r="3506" spans="1:2">
      <c r="A3506" s="218"/>
      <c r="B3506" s="214"/>
    </row>
    <row r="3507" spans="1:2">
      <c r="A3507" s="218"/>
      <c r="B3507" s="214"/>
    </row>
    <row r="3508" spans="1:2">
      <c r="A3508" s="218"/>
      <c r="B3508" s="214"/>
    </row>
    <row r="3509" spans="1:2">
      <c r="A3509" s="218"/>
      <c r="B3509" s="214"/>
    </row>
    <row r="3510" spans="1:2">
      <c r="A3510" s="218"/>
      <c r="B3510" s="214"/>
    </row>
    <row r="3511" spans="1:2">
      <c r="A3511" s="218"/>
      <c r="B3511" s="214"/>
    </row>
    <row r="3512" spans="1:2">
      <c r="A3512" s="218"/>
      <c r="B3512" s="214"/>
    </row>
    <row r="3513" spans="1:2">
      <c r="A3513" s="218"/>
      <c r="B3513" s="214"/>
    </row>
    <row r="3514" spans="1:2">
      <c r="A3514" s="218"/>
      <c r="B3514" s="214"/>
    </row>
    <row r="3515" spans="1:2">
      <c r="A3515" s="218"/>
      <c r="B3515" s="214"/>
    </row>
    <row r="3516" spans="1:2">
      <c r="A3516" s="218"/>
      <c r="B3516" s="214"/>
    </row>
    <row r="3517" spans="1:2">
      <c r="A3517" s="218"/>
      <c r="B3517" s="214"/>
    </row>
    <row r="3518" spans="1:2">
      <c r="A3518" s="218"/>
      <c r="B3518" s="214"/>
    </row>
    <row r="3519" spans="1:2">
      <c r="A3519" s="218"/>
      <c r="B3519" s="214"/>
    </row>
    <row r="3520" spans="1:2">
      <c r="A3520" s="218"/>
      <c r="B3520" s="214"/>
    </row>
    <row r="3521" spans="1:2">
      <c r="A3521" s="218"/>
      <c r="B3521" s="214"/>
    </row>
    <row r="3522" spans="1:2">
      <c r="A3522" s="218"/>
      <c r="B3522" s="214"/>
    </row>
    <row r="3523" spans="1:2">
      <c r="A3523" s="218"/>
      <c r="B3523" s="214"/>
    </row>
    <row r="3524" spans="1:2">
      <c r="A3524" s="218"/>
      <c r="B3524" s="214"/>
    </row>
    <row r="3525" spans="1:2">
      <c r="A3525" s="218"/>
      <c r="B3525" s="214"/>
    </row>
    <row r="3526" spans="1:2">
      <c r="A3526" s="218"/>
      <c r="B3526" s="214"/>
    </row>
    <row r="3527" spans="1:2">
      <c r="A3527" s="218"/>
      <c r="B3527" s="214"/>
    </row>
    <row r="3528" spans="1:2">
      <c r="A3528" s="218"/>
      <c r="B3528" s="214"/>
    </row>
    <row r="3529" spans="1:2">
      <c r="A3529" s="218"/>
      <c r="B3529" s="214"/>
    </row>
    <row r="3530" spans="1:2">
      <c r="A3530" s="218"/>
      <c r="B3530" s="214"/>
    </row>
    <row r="3531" spans="1:2">
      <c r="A3531" s="218"/>
      <c r="B3531" s="214"/>
    </row>
    <row r="3532" spans="1:2">
      <c r="A3532" s="218"/>
      <c r="B3532" s="214"/>
    </row>
    <row r="3533" spans="1:2">
      <c r="A3533" s="218"/>
      <c r="B3533" s="214"/>
    </row>
    <row r="3534" spans="1:2">
      <c r="A3534" s="218"/>
      <c r="B3534" s="214"/>
    </row>
    <row r="3535" spans="1:2">
      <c r="A3535" s="218"/>
      <c r="B3535" s="214"/>
    </row>
    <row r="3536" spans="1:2">
      <c r="A3536" s="218"/>
      <c r="B3536" s="214"/>
    </row>
    <row r="3537" spans="1:2">
      <c r="A3537" s="218"/>
      <c r="B3537" s="214"/>
    </row>
    <row r="3538" spans="1:2">
      <c r="A3538" s="218"/>
      <c r="B3538" s="214"/>
    </row>
    <row r="3539" spans="1:2">
      <c r="A3539" s="218"/>
      <c r="B3539" s="214"/>
    </row>
    <row r="3540" spans="1:2">
      <c r="A3540" s="218"/>
      <c r="B3540" s="214"/>
    </row>
    <row r="3541" spans="1:2">
      <c r="A3541" s="218"/>
      <c r="B3541" s="214"/>
    </row>
    <row r="3542" spans="1:2">
      <c r="A3542" s="218"/>
      <c r="B3542" s="214"/>
    </row>
    <row r="3543" spans="1:2">
      <c r="A3543" s="218"/>
      <c r="B3543" s="214"/>
    </row>
    <row r="3544" spans="1:2">
      <c r="A3544" s="218"/>
      <c r="B3544" s="214"/>
    </row>
    <row r="3545" spans="1:2">
      <c r="A3545" s="218"/>
      <c r="B3545" s="214"/>
    </row>
    <row r="3546" spans="1:2">
      <c r="A3546" s="218"/>
      <c r="B3546" s="214"/>
    </row>
    <row r="3547" spans="1:2">
      <c r="A3547" s="218"/>
      <c r="B3547" s="214"/>
    </row>
    <row r="3548" spans="1:2">
      <c r="A3548" s="218"/>
      <c r="B3548" s="214"/>
    </row>
    <row r="3549" spans="1:2">
      <c r="A3549" s="218"/>
      <c r="B3549" s="214"/>
    </row>
    <row r="3550" spans="1:2">
      <c r="A3550" s="218"/>
      <c r="B3550" s="214"/>
    </row>
    <row r="3551" spans="1:2">
      <c r="A3551" s="218"/>
      <c r="B3551" s="214"/>
    </row>
    <row r="3552" spans="1:2">
      <c r="A3552" s="218"/>
      <c r="B3552" s="214"/>
    </row>
    <row r="3553" spans="1:2">
      <c r="A3553" s="218"/>
      <c r="B3553" s="214"/>
    </row>
    <row r="3554" spans="1:2">
      <c r="A3554" s="218"/>
      <c r="B3554" s="214"/>
    </row>
    <row r="3555" spans="1:2">
      <c r="A3555" s="218"/>
      <c r="B3555" s="214"/>
    </row>
    <row r="3556" spans="1:2">
      <c r="A3556" s="218"/>
      <c r="B3556" s="214"/>
    </row>
    <row r="3557" spans="1:2">
      <c r="A3557" s="218"/>
      <c r="B3557" s="214"/>
    </row>
    <row r="3558" spans="1:2">
      <c r="A3558" s="218"/>
      <c r="B3558" s="214"/>
    </row>
    <row r="3559" spans="1:2">
      <c r="A3559" s="218"/>
      <c r="B3559" s="214"/>
    </row>
    <row r="3560" spans="1:2">
      <c r="A3560" s="218"/>
      <c r="B3560" s="214"/>
    </row>
    <row r="3561" spans="1:2">
      <c r="A3561" s="218"/>
      <c r="B3561" s="214"/>
    </row>
    <row r="3562" spans="1:2">
      <c r="A3562" s="218"/>
      <c r="B3562" s="214"/>
    </row>
    <row r="3563" spans="1:2">
      <c r="A3563" s="218"/>
      <c r="B3563" s="214"/>
    </row>
    <row r="3564" spans="1:2">
      <c r="A3564" s="218"/>
      <c r="B3564" s="214"/>
    </row>
    <row r="3565" spans="1:2">
      <c r="A3565" s="218"/>
      <c r="B3565" s="214"/>
    </row>
    <row r="3566" spans="1:2">
      <c r="A3566" s="218"/>
      <c r="B3566" s="214"/>
    </row>
    <row r="3567" spans="1:2">
      <c r="A3567" s="218"/>
      <c r="B3567" s="214"/>
    </row>
    <row r="3568" spans="1:2">
      <c r="A3568" s="218"/>
      <c r="B3568" s="214"/>
    </row>
    <row r="3569" spans="1:2">
      <c r="A3569" s="218"/>
      <c r="B3569" s="214"/>
    </row>
    <row r="3570" spans="1:2">
      <c r="A3570" s="218"/>
      <c r="B3570" s="214"/>
    </row>
    <row r="3571" spans="1:2">
      <c r="A3571" s="218"/>
      <c r="B3571" s="214"/>
    </row>
    <row r="3572" spans="1:2">
      <c r="A3572" s="218"/>
      <c r="B3572" s="214"/>
    </row>
    <row r="3573" spans="1:2">
      <c r="A3573" s="218"/>
      <c r="B3573" s="214"/>
    </row>
    <row r="3574" spans="1:2">
      <c r="A3574" s="218"/>
      <c r="B3574" s="214"/>
    </row>
    <row r="3575" spans="1:2">
      <c r="A3575" s="218"/>
      <c r="B3575" s="214"/>
    </row>
    <row r="3576" spans="1:2">
      <c r="A3576" s="218"/>
      <c r="B3576" s="214"/>
    </row>
    <row r="3577" spans="1:2">
      <c r="A3577" s="218"/>
      <c r="B3577" s="214"/>
    </row>
    <row r="3578" spans="1:2">
      <c r="A3578" s="218"/>
      <c r="B3578" s="214"/>
    </row>
    <row r="3579" spans="1:2">
      <c r="A3579" s="218"/>
      <c r="B3579" s="214"/>
    </row>
    <row r="3580" spans="1:2">
      <c r="A3580" s="218"/>
      <c r="B3580" s="214"/>
    </row>
    <row r="3581" spans="1:2">
      <c r="A3581" s="218"/>
      <c r="B3581" s="214"/>
    </row>
    <row r="3582" spans="1:2">
      <c r="A3582" s="218"/>
      <c r="B3582" s="214"/>
    </row>
    <row r="3583" spans="1:2">
      <c r="A3583" s="218"/>
      <c r="B3583" s="214"/>
    </row>
    <row r="3584" spans="1:2">
      <c r="A3584" s="218"/>
      <c r="B3584" s="214"/>
    </row>
    <row r="3585" spans="1:2">
      <c r="A3585" s="218"/>
      <c r="B3585" s="214"/>
    </row>
    <row r="3586" spans="1:2">
      <c r="A3586" s="218"/>
      <c r="B3586" s="214"/>
    </row>
    <row r="3587" spans="1:2">
      <c r="A3587" s="218"/>
      <c r="B3587" s="214"/>
    </row>
    <row r="3588" spans="1:2">
      <c r="A3588" s="218"/>
      <c r="B3588" s="214"/>
    </row>
    <row r="3589" spans="1:2">
      <c r="A3589" s="218"/>
      <c r="B3589" s="214"/>
    </row>
    <row r="3590" spans="1:2">
      <c r="A3590" s="218"/>
      <c r="B3590" s="214"/>
    </row>
    <row r="3591" spans="1:2">
      <c r="A3591" s="218"/>
      <c r="B3591" s="214"/>
    </row>
    <row r="3592" spans="1:2">
      <c r="A3592" s="218"/>
      <c r="B3592" s="214"/>
    </row>
    <row r="3593" spans="1:2">
      <c r="A3593" s="218"/>
      <c r="B3593" s="214"/>
    </row>
    <row r="3594" spans="1:2">
      <c r="A3594" s="218"/>
      <c r="B3594" s="214"/>
    </row>
    <row r="3595" spans="1:2">
      <c r="A3595" s="218"/>
      <c r="B3595" s="214"/>
    </row>
    <row r="3596" spans="1:2">
      <c r="A3596" s="218"/>
      <c r="B3596" s="214"/>
    </row>
    <row r="3597" spans="1:2">
      <c r="A3597" s="218"/>
      <c r="B3597" s="214"/>
    </row>
    <row r="3598" spans="1:2">
      <c r="A3598" s="218"/>
      <c r="B3598" s="214"/>
    </row>
    <row r="3599" spans="1:2">
      <c r="A3599" s="218"/>
      <c r="B3599" s="214"/>
    </row>
    <row r="3600" spans="1:2">
      <c r="A3600" s="218"/>
      <c r="B3600" s="214"/>
    </row>
    <row r="3601" spans="1:2">
      <c r="A3601" s="218"/>
      <c r="B3601" s="214"/>
    </row>
    <row r="3602" spans="1:2">
      <c r="A3602" s="218"/>
      <c r="B3602" s="214"/>
    </row>
    <row r="3603" spans="1:2">
      <c r="A3603" s="218"/>
      <c r="B3603" s="214"/>
    </row>
    <row r="3604" spans="1:2">
      <c r="A3604" s="218"/>
      <c r="B3604" s="214"/>
    </row>
    <row r="3605" spans="1:2">
      <c r="A3605" s="218"/>
      <c r="B3605" s="214"/>
    </row>
    <row r="3606" spans="1:2">
      <c r="A3606" s="218"/>
      <c r="B3606" s="214"/>
    </row>
    <row r="3607" spans="1:2">
      <c r="A3607" s="218"/>
      <c r="B3607" s="214"/>
    </row>
    <row r="3608" spans="1:2">
      <c r="A3608" s="218"/>
      <c r="B3608" s="214"/>
    </row>
    <row r="3609" spans="1:2">
      <c r="A3609" s="218"/>
      <c r="B3609" s="214"/>
    </row>
    <row r="3610" spans="1:2">
      <c r="A3610" s="218"/>
      <c r="B3610" s="214"/>
    </row>
    <row r="3611" spans="1:2">
      <c r="A3611" s="218"/>
      <c r="B3611" s="214"/>
    </row>
    <row r="3612" spans="1:2">
      <c r="A3612" s="218"/>
      <c r="B3612" s="214"/>
    </row>
    <row r="3613" spans="1:2">
      <c r="A3613" s="218"/>
      <c r="B3613" s="214"/>
    </row>
    <row r="3614" spans="1:2">
      <c r="A3614" s="218"/>
      <c r="B3614" s="214"/>
    </row>
    <row r="3615" spans="1:2">
      <c r="A3615" s="218"/>
      <c r="B3615" s="214"/>
    </row>
    <row r="3616" spans="1:2">
      <c r="A3616" s="218"/>
      <c r="B3616" s="214"/>
    </row>
    <row r="3617" spans="1:2">
      <c r="A3617" s="218"/>
      <c r="B3617" s="214"/>
    </row>
    <row r="3618" spans="1:2">
      <c r="A3618" s="218"/>
      <c r="B3618" s="214"/>
    </row>
    <row r="3619" spans="1:2">
      <c r="A3619" s="218"/>
      <c r="B3619" s="214"/>
    </row>
    <row r="3620" spans="1:2">
      <c r="A3620" s="218"/>
      <c r="B3620" s="214"/>
    </row>
    <row r="3621" spans="1:2">
      <c r="A3621" s="218"/>
      <c r="B3621" s="214"/>
    </row>
    <row r="3622" spans="1:2">
      <c r="A3622" s="218"/>
      <c r="B3622" s="214"/>
    </row>
    <row r="3623" spans="1:2">
      <c r="A3623" s="218"/>
      <c r="B3623" s="214"/>
    </row>
    <row r="3624" spans="1:2">
      <c r="A3624" s="218"/>
      <c r="B3624" s="214"/>
    </row>
    <row r="3625" spans="1:2">
      <c r="A3625" s="218"/>
      <c r="B3625" s="214"/>
    </row>
    <row r="3626" spans="1:2">
      <c r="A3626" s="218"/>
      <c r="B3626" s="214"/>
    </row>
    <row r="3627" spans="1:2">
      <c r="A3627" s="218"/>
      <c r="B3627" s="214"/>
    </row>
    <row r="3628" spans="1:2">
      <c r="A3628" s="218"/>
      <c r="B3628" s="214"/>
    </row>
    <row r="3629" spans="1:2">
      <c r="A3629" s="218"/>
      <c r="B3629" s="214"/>
    </row>
    <row r="3630" spans="1:2">
      <c r="A3630" s="218"/>
      <c r="B3630" s="214"/>
    </row>
    <row r="3631" spans="1:2">
      <c r="A3631" s="218"/>
      <c r="B3631" s="214"/>
    </row>
    <row r="3632" spans="1:2">
      <c r="A3632" s="218"/>
      <c r="B3632" s="214"/>
    </row>
    <row r="3633" spans="1:2">
      <c r="A3633" s="218"/>
      <c r="B3633" s="214"/>
    </row>
    <row r="3634" spans="1:2">
      <c r="A3634" s="218"/>
      <c r="B3634" s="214"/>
    </row>
    <row r="3635" spans="1:2">
      <c r="A3635" s="218"/>
      <c r="B3635" s="214"/>
    </row>
    <row r="3636" spans="1:2">
      <c r="A3636" s="218"/>
      <c r="B3636" s="214"/>
    </row>
    <row r="3637" spans="1:2">
      <c r="A3637" s="218"/>
      <c r="B3637" s="214"/>
    </row>
    <row r="3638" spans="1:2">
      <c r="A3638" s="218"/>
      <c r="B3638" s="214"/>
    </row>
    <row r="3639" spans="1:2">
      <c r="A3639" s="218"/>
      <c r="B3639" s="214"/>
    </row>
    <row r="3640" spans="1:2">
      <c r="A3640" s="218"/>
      <c r="B3640" s="214"/>
    </row>
    <row r="3641" spans="1:2">
      <c r="A3641" s="218"/>
      <c r="B3641" s="214"/>
    </row>
    <row r="3642" spans="1:2">
      <c r="A3642" s="218"/>
      <c r="B3642" s="214"/>
    </row>
    <row r="3643" spans="1:2">
      <c r="A3643" s="218"/>
      <c r="B3643" s="214"/>
    </row>
    <row r="3644" spans="1:2">
      <c r="A3644" s="218"/>
      <c r="B3644" s="214"/>
    </row>
    <row r="3645" spans="1:2">
      <c r="A3645" s="218"/>
      <c r="B3645" s="214"/>
    </row>
    <row r="3646" spans="1:2">
      <c r="A3646" s="218"/>
      <c r="B3646" s="214"/>
    </row>
    <row r="3647" spans="1:2">
      <c r="A3647" s="218"/>
      <c r="B3647" s="214"/>
    </row>
    <row r="3648" spans="1:2">
      <c r="A3648" s="218"/>
      <c r="B3648" s="214"/>
    </row>
    <row r="3649" spans="1:2">
      <c r="A3649" s="218"/>
      <c r="B3649" s="214"/>
    </row>
    <row r="3650" spans="1:2">
      <c r="A3650" s="218"/>
      <c r="B3650" s="214"/>
    </row>
    <row r="3651" spans="1:2">
      <c r="A3651" s="218"/>
      <c r="B3651" s="214"/>
    </row>
    <row r="3652" spans="1:2">
      <c r="A3652" s="218"/>
      <c r="B3652" s="214"/>
    </row>
    <row r="3653" spans="1:2">
      <c r="A3653" s="218"/>
      <c r="B3653" s="214"/>
    </row>
    <row r="3654" spans="1:2">
      <c r="A3654" s="218"/>
      <c r="B3654" s="214"/>
    </row>
    <row r="3655" spans="1:2">
      <c r="A3655" s="218"/>
      <c r="B3655" s="214"/>
    </row>
    <row r="3656" spans="1:2">
      <c r="A3656" s="218"/>
      <c r="B3656" s="214"/>
    </row>
    <row r="3657" spans="1:2">
      <c r="A3657" s="218"/>
      <c r="B3657" s="214"/>
    </row>
    <row r="3658" spans="1:2">
      <c r="A3658" s="218"/>
      <c r="B3658" s="214"/>
    </row>
    <row r="3659" spans="1:2">
      <c r="A3659" s="218"/>
      <c r="B3659" s="214"/>
    </row>
    <row r="3660" spans="1:2">
      <c r="A3660" s="218"/>
      <c r="B3660" s="214"/>
    </row>
    <row r="3661" spans="1:2">
      <c r="A3661" s="218"/>
      <c r="B3661" s="214"/>
    </row>
    <row r="3662" spans="1:2">
      <c r="A3662" s="218"/>
      <c r="B3662" s="214"/>
    </row>
    <row r="3663" spans="1:2">
      <c r="A3663" s="218"/>
      <c r="B3663" s="214"/>
    </row>
    <row r="3664" spans="1:2">
      <c r="A3664" s="218"/>
      <c r="B3664" s="214"/>
    </row>
    <row r="3665" spans="1:2">
      <c r="A3665" s="218"/>
      <c r="B3665" s="214"/>
    </row>
    <row r="3666" spans="1:2">
      <c r="A3666" s="218"/>
      <c r="B3666" s="214"/>
    </row>
    <row r="3667" spans="1:2">
      <c r="A3667" s="218"/>
      <c r="B3667" s="214"/>
    </row>
    <row r="3668" spans="1:2">
      <c r="A3668" s="218"/>
      <c r="B3668" s="214"/>
    </row>
    <row r="3669" spans="1:2">
      <c r="A3669" s="218"/>
      <c r="B3669" s="214"/>
    </row>
    <row r="3670" spans="1:2">
      <c r="A3670" s="218"/>
      <c r="B3670" s="214"/>
    </row>
    <row r="3671" spans="1:2">
      <c r="A3671" s="218"/>
      <c r="B3671" s="214"/>
    </row>
    <row r="3672" spans="1:2">
      <c r="A3672" s="218"/>
      <c r="B3672" s="214"/>
    </row>
    <row r="3673" spans="1:2">
      <c r="A3673" s="218"/>
      <c r="B3673" s="214"/>
    </row>
    <row r="3674" spans="1:2">
      <c r="A3674" s="218"/>
      <c r="B3674" s="214"/>
    </row>
    <row r="3675" spans="1:2">
      <c r="A3675" s="218"/>
      <c r="B3675" s="214"/>
    </row>
    <row r="3676" spans="1:2">
      <c r="A3676" s="218"/>
      <c r="B3676" s="214"/>
    </row>
    <row r="3677" spans="1:2">
      <c r="A3677" s="218"/>
      <c r="B3677" s="214"/>
    </row>
    <row r="3678" spans="1:2">
      <c r="A3678" s="218"/>
      <c r="B3678" s="214"/>
    </row>
    <row r="3679" spans="1:2">
      <c r="A3679" s="218"/>
      <c r="B3679" s="214"/>
    </row>
    <row r="3680" spans="1:2">
      <c r="A3680" s="218"/>
      <c r="B3680" s="214"/>
    </row>
    <row r="3681" spans="1:2">
      <c r="A3681" s="218"/>
      <c r="B3681" s="214"/>
    </row>
    <row r="3682" spans="1:2">
      <c r="A3682" s="218"/>
      <c r="B3682" s="214"/>
    </row>
    <row r="3683" spans="1:2">
      <c r="A3683" s="218"/>
      <c r="B3683" s="214"/>
    </row>
    <row r="3684" spans="1:2">
      <c r="A3684" s="218"/>
      <c r="B3684" s="214"/>
    </row>
    <row r="3685" spans="1:2">
      <c r="A3685" s="218"/>
      <c r="B3685" s="214"/>
    </row>
    <row r="3686" spans="1:2">
      <c r="A3686" s="218"/>
      <c r="B3686" s="214"/>
    </row>
    <row r="3687" spans="1:2">
      <c r="A3687" s="218"/>
      <c r="B3687" s="214"/>
    </row>
    <row r="3688" spans="1:2">
      <c r="A3688" s="218"/>
      <c r="B3688" s="214"/>
    </row>
    <row r="3689" spans="1:2">
      <c r="A3689" s="218"/>
      <c r="B3689" s="214"/>
    </row>
    <row r="3690" spans="1:2">
      <c r="A3690" s="218"/>
      <c r="B3690" s="214"/>
    </row>
    <row r="3691" spans="1:2">
      <c r="A3691" s="218"/>
      <c r="B3691" s="214"/>
    </row>
    <row r="3692" spans="1:2">
      <c r="A3692" s="218"/>
      <c r="B3692" s="214"/>
    </row>
    <row r="3693" spans="1:2">
      <c r="A3693" s="218"/>
      <c r="B3693" s="214"/>
    </row>
    <row r="3694" spans="1:2">
      <c r="A3694" s="218"/>
      <c r="B3694" s="214"/>
    </row>
    <row r="3695" spans="1:2">
      <c r="A3695" s="218"/>
      <c r="B3695" s="214"/>
    </row>
    <row r="3696" spans="1:2">
      <c r="A3696" s="218"/>
      <c r="B3696" s="214"/>
    </row>
    <row r="3697" spans="1:2">
      <c r="A3697" s="218"/>
      <c r="B3697" s="214"/>
    </row>
    <row r="3698" spans="1:2">
      <c r="A3698" s="218"/>
      <c r="B3698" s="214"/>
    </row>
    <row r="3699" spans="1:2">
      <c r="A3699" s="218"/>
      <c r="B3699" s="214"/>
    </row>
    <row r="3700" spans="1:2">
      <c r="A3700" s="218"/>
      <c r="B3700" s="214"/>
    </row>
    <row r="3701" spans="1:2">
      <c r="A3701" s="218"/>
      <c r="B3701" s="214"/>
    </row>
    <row r="3702" spans="1:2">
      <c r="A3702" s="218"/>
      <c r="B3702" s="214"/>
    </row>
    <row r="3703" spans="1:2">
      <c r="A3703" s="218"/>
      <c r="B3703" s="214"/>
    </row>
    <row r="3704" spans="1:2">
      <c r="A3704" s="218"/>
      <c r="B3704" s="214"/>
    </row>
    <row r="3705" spans="1:2">
      <c r="A3705" s="218"/>
      <c r="B3705" s="214"/>
    </row>
    <row r="3706" spans="1:2">
      <c r="A3706" s="218"/>
      <c r="B3706" s="214"/>
    </row>
    <row r="3707" spans="1:2">
      <c r="A3707" s="218"/>
      <c r="B3707" s="214"/>
    </row>
    <row r="3708" spans="1:2">
      <c r="A3708" s="218"/>
      <c r="B3708" s="214"/>
    </row>
    <row r="3709" spans="1:2">
      <c r="A3709" s="218"/>
      <c r="B3709" s="214"/>
    </row>
    <row r="3710" spans="1:2">
      <c r="A3710" s="218"/>
      <c r="B3710" s="214"/>
    </row>
    <row r="3711" spans="1:2">
      <c r="A3711" s="218"/>
      <c r="B3711" s="214"/>
    </row>
    <row r="3712" spans="1:2">
      <c r="A3712" s="218"/>
      <c r="B3712" s="214"/>
    </row>
    <row r="3713" spans="1:2">
      <c r="A3713" s="218"/>
      <c r="B3713" s="214"/>
    </row>
    <row r="3714" spans="1:2">
      <c r="A3714" s="218"/>
      <c r="B3714" s="214"/>
    </row>
    <row r="3715" spans="1:2">
      <c r="A3715" s="218"/>
      <c r="B3715" s="214"/>
    </row>
    <row r="3716" spans="1:2">
      <c r="A3716" s="218"/>
      <c r="B3716" s="214"/>
    </row>
    <row r="3717" spans="1:2">
      <c r="A3717" s="218"/>
      <c r="B3717" s="214"/>
    </row>
    <row r="3718" spans="1:2">
      <c r="A3718" s="218"/>
      <c r="B3718" s="214"/>
    </row>
    <row r="3719" spans="1:2">
      <c r="A3719" s="218"/>
      <c r="B3719" s="214"/>
    </row>
    <row r="3720" spans="1:2">
      <c r="A3720" s="218"/>
      <c r="B3720" s="214"/>
    </row>
    <row r="3721" spans="1:2">
      <c r="A3721" s="218"/>
      <c r="B3721" s="214"/>
    </row>
    <row r="3722" spans="1:2">
      <c r="A3722" s="218"/>
      <c r="B3722" s="214"/>
    </row>
    <row r="3723" spans="1:2">
      <c r="A3723" s="218"/>
      <c r="B3723" s="214"/>
    </row>
    <row r="3724" spans="1:2">
      <c r="A3724" s="218"/>
      <c r="B3724" s="214"/>
    </row>
    <row r="3725" spans="1:2">
      <c r="A3725" s="218"/>
      <c r="B3725" s="214"/>
    </row>
    <row r="3726" spans="1:2">
      <c r="A3726" s="218"/>
      <c r="B3726" s="214"/>
    </row>
    <row r="3727" spans="1:2">
      <c r="A3727" s="218"/>
      <c r="B3727" s="214"/>
    </row>
    <row r="3728" spans="1:2">
      <c r="A3728" s="218"/>
      <c r="B3728" s="214"/>
    </row>
    <row r="3729" spans="1:2">
      <c r="A3729" s="218"/>
      <c r="B3729" s="214"/>
    </row>
    <row r="3730" spans="1:2">
      <c r="A3730" s="218"/>
      <c r="B3730" s="214"/>
    </row>
    <row r="3731" spans="1:2">
      <c r="A3731" s="218"/>
      <c r="B3731" s="214"/>
    </row>
    <row r="3732" spans="1:2">
      <c r="A3732" s="218"/>
      <c r="B3732" s="214"/>
    </row>
    <row r="3733" spans="1:2">
      <c r="A3733" s="218"/>
      <c r="B3733" s="214"/>
    </row>
    <row r="3734" spans="1:2">
      <c r="A3734" s="218"/>
      <c r="B3734" s="214"/>
    </row>
    <row r="3735" spans="1:2">
      <c r="A3735" s="218"/>
      <c r="B3735" s="214"/>
    </row>
    <row r="3736" spans="1:2">
      <c r="A3736" s="218"/>
      <c r="B3736" s="214"/>
    </row>
    <row r="3737" spans="1:2">
      <c r="A3737" s="218"/>
      <c r="B3737" s="214"/>
    </row>
    <row r="3738" spans="1:2">
      <c r="A3738" s="218"/>
      <c r="B3738" s="214"/>
    </row>
    <row r="3739" spans="1:2">
      <c r="A3739" s="218"/>
      <c r="B3739" s="214"/>
    </row>
    <row r="3740" spans="1:2">
      <c r="A3740" s="218"/>
      <c r="B3740" s="214"/>
    </row>
    <row r="3741" spans="1:2">
      <c r="A3741" s="218"/>
      <c r="B3741" s="214"/>
    </row>
    <row r="3742" spans="1:2">
      <c r="A3742" s="218"/>
      <c r="B3742" s="214"/>
    </row>
    <row r="3743" spans="1:2">
      <c r="A3743" s="218"/>
      <c r="B3743" s="214"/>
    </row>
    <row r="3744" spans="1:2">
      <c r="A3744" s="218"/>
      <c r="B3744" s="214"/>
    </row>
    <row r="3745" spans="1:2">
      <c r="A3745" s="218"/>
      <c r="B3745" s="214"/>
    </row>
    <row r="3746" spans="1:2">
      <c r="A3746" s="218"/>
      <c r="B3746" s="214"/>
    </row>
    <row r="3747" spans="1:2">
      <c r="A3747" s="218"/>
      <c r="B3747" s="214"/>
    </row>
    <row r="3748" spans="1:2">
      <c r="A3748" s="218"/>
      <c r="B3748" s="214"/>
    </row>
    <row r="3749" spans="1:2">
      <c r="A3749" s="218"/>
      <c r="B3749" s="214"/>
    </row>
    <row r="3750" spans="1:2">
      <c r="A3750" s="218"/>
      <c r="B3750" s="214"/>
    </row>
    <row r="3751" spans="1:2">
      <c r="A3751" s="218"/>
      <c r="B3751" s="214"/>
    </row>
    <row r="3752" spans="1:2">
      <c r="A3752" s="218"/>
      <c r="B3752" s="214"/>
    </row>
    <row r="3753" spans="1:2">
      <c r="A3753" s="218"/>
      <c r="B3753" s="214"/>
    </row>
    <row r="3754" spans="1:2">
      <c r="A3754" s="218"/>
      <c r="B3754" s="214"/>
    </row>
    <row r="3755" spans="1:2">
      <c r="A3755" s="218"/>
      <c r="B3755" s="214"/>
    </row>
    <row r="3756" spans="1:2">
      <c r="A3756" s="218"/>
      <c r="B3756" s="214"/>
    </row>
    <row r="3757" spans="1:2">
      <c r="A3757" s="218"/>
      <c r="B3757" s="214"/>
    </row>
    <row r="3758" spans="1:2">
      <c r="A3758" s="218"/>
      <c r="B3758" s="214"/>
    </row>
    <row r="3759" spans="1:2">
      <c r="A3759" s="218"/>
      <c r="B3759" s="214"/>
    </row>
    <row r="3760" spans="1:2">
      <c r="A3760" s="218"/>
      <c r="B3760" s="214"/>
    </row>
    <row r="3761" spans="1:2">
      <c r="A3761" s="218"/>
      <c r="B3761" s="214"/>
    </row>
    <row r="3762" spans="1:2">
      <c r="A3762" s="218"/>
      <c r="B3762" s="214"/>
    </row>
    <row r="3763" spans="1:2">
      <c r="A3763" s="218"/>
      <c r="B3763" s="214"/>
    </row>
    <row r="3764" spans="1:2">
      <c r="A3764" s="218"/>
      <c r="B3764" s="214"/>
    </row>
    <row r="3765" spans="1:2">
      <c r="A3765" s="218"/>
      <c r="B3765" s="214"/>
    </row>
    <row r="3766" spans="1:2">
      <c r="A3766" s="218"/>
      <c r="B3766" s="214"/>
    </row>
    <row r="3767" spans="1:2">
      <c r="A3767" s="218"/>
      <c r="B3767" s="214"/>
    </row>
    <row r="3768" spans="1:2">
      <c r="A3768" s="218"/>
      <c r="B3768" s="214"/>
    </row>
    <row r="3769" spans="1:2">
      <c r="A3769" s="218"/>
      <c r="B3769" s="214"/>
    </row>
    <row r="3770" spans="1:2">
      <c r="A3770" s="218"/>
      <c r="B3770" s="214"/>
    </row>
    <row r="3771" spans="1:2">
      <c r="A3771" s="218"/>
      <c r="B3771" s="214"/>
    </row>
    <row r="3772" spans="1:2">
      <c r="A3772" s="218"/>
      <c r="B3772" s="214"/>
    </row>
    <row r="3773" spans="1:2">
      <c r="A3773" s="218"/>
      <c r="B3773" s="214"/>
    </row>
    <row r="3774" spans="1:2">
      <c r="A3774" s="218"/>
      <c r="B3774" s="214"/>
    </row>
    <row r="3775" spans="1:2">
      <c r="A3775" s="218"/>
      <c r="B3775" s="214"/>
    </row>
    <row r="3776" spans="1:2">
      <c r="A3776" s="218"/>
      <c r="B3776" s="214"/>
    </row>
    <row r="3777" spans="1:2">
      <c r="A3777" s="218"/>
      <c r="B3777" s="214"/>
    </row>
    <row r="3778" spans="1:2">
      <c r="A3778" s="218"/>
      <c r="B3778" s="214"/>
    </row>
    <row r="3779" spans="1:2">
      <c r="A3779" s="218"/>
      <c r="B3779" s="214"/>
    </row>
    <row r="3780" spans="1:2">
      <c r="A3780" s="218"/>
      <c r="B3780" s="214"/>
    </row>
    <row r="3781" spans="1:2">
      <c r="A3781" s="218"/>
      <c r="B3781" s="214"/>
    </row>
    <row r="3782" spans="1:2">
      <c r="A3782" s="218"/>
      <c r="B3782" s="214"/>
    </row>
    <row r="3783" spans="1:2">
      <c r="A3783" s="218"/>
      <c r="B3783" s="214"/>
    </row>
    <row r="3784" spans="1:2">
      <c r="A3784" s="218"/>
      <c r="B3784" s="214"/>
    </row>
    <row r="3785" spans="1:2">
      <c r="A3785" s="218"/>
      <c r="B3785" s="214"/>
    </row>
    <row r="3786" spans="1:2">
      <c r="A3786" s="218"/>
      <c r="B3786" s="214"/>
    </row>
    <row r="3787" spans="1:2">
      <c r="A3787" s="218"/>
      <c r="B3787" s="214"/>
    </row>
    <row r="3788" spans="1:2">
      <c r="A3788" s="218"/>
      <c r="B3788" s="214"/>
    </row>
    <row r="3789" spans="1:2">
      <c r="A3789" s="218"/>
      <c r="B3789" s="214"/>
    </row>
    <row r="3790" spans="1:2">
      <c r="A3790" s="218"/>
      <c r="B3790" s="214"/>
    </row>
    <row r="3791" spans="1:2">
      <c r="A3791" s="218"/>
      <c r="B3791" s="214"/>
    </row>
    <row r="3792" spans="1:2">
      <c r="A3792" s="218"/>
      <c r="B3792" s="214"/>
    </row>
    <row r="3793" spans="1:2">
      <c r="A3793" s="218"/>
      <c r="B3793" s="214"/>
    </row>
    <row r="3794" spans="1:2">
      <c r="A3794" s="218"/>
      <c r="B3794" s="214"/>
    </row>
    <row r="3795" spans="1:2">
      <c r="A3795" s="218"/>
      <c r="B3795" s="214"/>
    </row>
    <row r="3796" spans="1:2">
      <c r="A3796" s="218"/>
      <c r="B3796" s="214"/>
    </row>
    <row r="3797" spans="1:2">
      <c r="A3797" s="218"/>
      <c r="B3797" s="214"/>
    </row>
    <row r="3798" spans="1:2">
      <c r="A3798" s="218"/>
      <c r="B3798" s="214"/>
    </row>
    <row r="3799" spans="1:2">
      <c r="A3799" s="218"/>
      <c r="B3799" s="214"/>
    </row>
    <row r="3800" spans="1:2">
      <c r="A3800" s="218"/>
      <c r="B3800" s="214"/>
    </row>
    <row r="3801" spans="1:2">
      <c r="A3801" s="218"/>
      <c r="B3801" s="214"/>
    </row>
    <row r="3802" spans="1:2">
      <c r="A3802" s="218"/>
      <c r="B3802" s="214"/>
    </row>
    <row r="3803" spans="1:2">
      <c r="A3803" s="218"/>
      <c r="B3803" s="214"/>
    </row>
    <row r="3804" spans="1:2">
      <c r="A3804" s="218"/>
      <c r="B3804" s="214"/>
    </row>
    <row r="3805" spans="1:2">
      <c r="A3805" s="218"/>
      <c r="B3805" s="214"/>
    </row>
    <row r="3806" spans="1:2">
      <c r="A3806" s="218"/>
      <c r="B3806" s="214"/>
    </row>
    <row r="3807" spans="1:2">
      <c r="A3807" s="218"/>
      <c r="B3807" s="214"/>
    </row>
    <row r="3808" spans="1:2">
      <c r="A3808" s="218"/>
      <c r="B3808" s="214"/>
    </row>
    <row r="3809" spans="1:2">
      <c r="A3809" s="218"/>
      <c r="B3809" s="214"/>
    </row>
    <row r="3810" spans="1:2">
      <c r="A3810" s="218"/>
      <c r="B3810" s="214"/>
    </row>
    <row r="3811" spans="1:2">
      <c r="A3811" s="218"/>
      <c r="B3811" s="214"/>
    </row>
    <row r="3812" spans="1:2">
      <c r="A3812" s="218"/>
      <c r="B3812" s="214"/>
    </row>
    <row r="3813" spans="1:2">
      <c r="A3813" s="218"/>
      <c r="B3813" s="214"/>
    </row>
    <row r="3814" spans="1:2">
      <c r="A3814" s="218"/>
      <c r="B3814" s="214"/>
    </row>
    <row r="3815" spans="1:2">
      <c r="A3815" s="218"/>
      <c r="B3815" s="214"/>
    </row>
    <row r="3816" spans="1:2">
      <c r="A3816" s="218"/>
      <c r="B3816" s="214"/>
    </row>
    <row r="3817" spans="1:2">
      <c r="A3817" s="218"/>
      <c r="B3817" s="214"/>
    </row>
    <row r="3818" spans="1:2">
      <c r="A3818" s="218"/>
      <c r="B3818" s="214"/>
    </row>
    <row r="3819" spans="1:2">
      <c r="A3819" s="218"/>
      <c r="B3819" s="214"/>
    </row>
    <row r="3820" spans="1:2">
      <c r="A3820" s="218"/>
      <c r="B3820" s="214"/>
    </row>
    <row r="3821" spans="1:2">
      <c r="A3821" s="218"/>
      <c r="B3821" s="214"/>
    </row>
    <row r="3822" spans="1:2">
      <c r="A3822" s="218"/>
      <c r="B3822" s="214"/>
    </row>
    <row r="3823" spans="1:2">
      <c r="A3823" s="218"/>
      <c r="B3823" s="214"/>
    </row>
    <row r="3824" spans="1:2">
      <c r="A3824" s="218"/>
      <c r="B3824" s="214"/>
    </row>
    <row r="3825" spans="1:2">
      <c r="A3825" s="218"/>
      <c r="B3825" s="214"/>
    </row>
    <row r="3826" spans="1:2">
      <c r="A3826" s="218"/>
      <c r="B3826" s="214"/>
    </row>
    <row r="3827" spans="1:2">
      <c r="A3827" s="218"/>
      <c r="B3827" s="214"/>
    </row>
    <row r="3828" spans="1:2">
      <c r="A3828" s="218"/>
      <c r="B3828" s="214"/>
    </row>
    <row r="3829" spans="1:2">
      <c r="A3829" s="218"/>
      <c r="B3829" s="214"/>
    </row>
    <row r="3830" spans="1:2">
      <c r="A3830" s="218"/>
      <c r="B3830" s="214"/>
    </row>
    <row r="3831" spans="1:2">
      <c r="A3831" s="218"/>
      <c r="B3831" s="214"/>
    </row>
    <row r="3832" spans="1:2">
      <c r="A3832" s="218"/>
      <c r="B3832" s="214"/>
    </row>
    <row r="3833" spans="1:2">
      <c r="A3833" s="218"/>
      <c r="B3833" s="214"/>
    </row>
    <row r="3834" spans="1:2">
      <c r="A3834" s="218"/>
      <c r="B3834" s="214"/>
    </row>
    <row r="3835" spans="1:2">
      <c r="A3835" s="218"/>
      <c r="B3835" s="214"/>
    </row>
    <row r="3836" spans="1:2">
      <c r="A3836" s="218"/>
      <c r="B3836" s="214"/>
    </row>
    <row r="3837" spans="1:2">
      <c r="A3837" s="218"/>
      <c r="B3837" s="214"/>
    </row>
    <row r="3838" spans="1:2">
      <c r="A3838" s="218"/>
      <c r="B3838" s="214"/>
    </row>
    <row r="3839" spans="1:2">
      <c r="A3839" s="218"/>
      <c r="B3839" s="214"/>
    </row>
    <row r="3840" spans="1:2">
      <c r="A3840" s="218"/>
      <c r="B3840" s="214"/>
    </row>
    <row r="3841" spans="1:2">
      <c r="A3841" s="218"/>
      <c r="B3841" s="214"/>
    </row>
    <row r="3842" spans="1:2">
      <c r="A3842" s="218"/>
      <c r="B3842" s="214"/>
    </row>
    <row r="3843" spans="1:2">
      <c r="A3843" s="218"/>
      <c r="B3843" s="214"/>
    </row>
    <row r="3844" spans="1:2">
      <c r="A3844" s="218"/>
      <c r="B3844" s="214"/>
    </row>
    <row r="3845" spans="1:2">
      <c r="A3845" s="218"/>
      <c r="B3845" s="214"/>
    </row>
    <row r="3846" spans="1:2">
      <c r="A3846" s="218"/>
      <c r="B3846" s="214"/>
    </row>
    <row r="3847" spans="1:2">
      <c r="A3847" s="218"/>
      <c r="B3847" s="214"/>
    </row>
    <row r="3848" spans="1:2">
      <c r="A3848" s="218"/>
      <c r="B3848" s="214"/>
    </row>
    <row r="3849" spans="1:2">
      <c r="A3849" s="218"/>
      <c r="B3849" s="214"/>
    </row>
    <row r="3850" spans="1:2">
      <c r="A3850" s="218"/>
      <c r="B3850" s="214"/>
    </row>
    <row r="3851" spans="1:2">
      <c r="A3851" s="218"/>
      <c r="B3851" s="214"/>
    </row>
    <row r="3852" spans="1:2">
      <c r="A3852" s="218"/>
      <c r="B3852" s="214"/>
    </row>
    <row r="3853" spans="1:2">
      <c r="A3853" s="218"/>
      <c r="B3853" s="214"/>
    </row>
    <row r="3854" spans="1:2">
      <c r="A3854" s="218"/>
      <c r="B3854" s="214"/>
    </row>
    <row r="3855" spans="1:2">
      <c r="A3855" s="218"/>
      <c r="B3855" s="214"/>
    </row>
    <row r="3856" spans="1:2">
      <c r="A3856" s="218"/>
      <c r="B3856" s="214"/>
    </row>
    <row r="3857" spans="1:2">
      <c r="A3857" s="218"/>
      <c r="B3857" s="214"/>
    </row>
    <row r="3858" spans="1:2">
      <c r="A3858" s="218"/>
      <c r="B3858" s="214"/>
    </row>
    <row r="3859" spans="1:2">
      <c r="A3859" s="218"/>
      <c r="B3859" s="214"/>
    </row>
    <row r="3860" spans="1:2">
      <c r="A3860" s="218"/>
      <c r="B3860" s="214"/>
    </row>
    <row r="3861" spans="1:2">
      <c r="A3861" s="218"/>
      <c r="B3861" s="214"/>
    </row>
    <row r="3862" spans="1:2">
      <c r="A3862" s="218"/>
      <c r="B3862" s="214"/>
    </row>
    <row r="3863" spans="1:2">
      <c r="A3863" s="218"/>
      <c r="B3863" s="214"/>
    </row>
    <row r="3864" spans="1:2">
      <c r="A3864" s="218"/>
      <c r="B3864" s="214"/>
    </row>
    <row r="3865" spans="1:2">
      <c r="A3865" s="218"/>
      <c r="B3865" s="214"/>
    </row>
    <row r="3866" spans="1:2">
      <c r="A3866" s="218"/>
      <c r="B3866" s="214"/>
    </row>
    <row r="3867" spans="1:2">
      <c r="A3867" s="218"/>
      <c r="B3867" s="214"/>
    </row>
    <row r="3868" spans="1:2">
      <c r="A3868" s="218"/>
      <c r="B3868" s="214"/>
    </row>
    <row r="3869" spans="1:2">
      <c r="A3869" s="218"/>
      <c r="B3869" s="214"/>
    </row>
    <row r="3870" spans="1:2">
      <c r="A3870" s="218"/>
      <c r="B3870" s="214"/>
    </row>
    <row r="3871" spans="1:2">
      <c r="A3871" s="218"/>
      <c r="B3871" s="214"/>
    </row>
    <row r="3872" spans="1:2">
      <c r="A3872" s="218"/>
      <c r="B3872" s="214"/>
    </row>
    <row r="3873" spans="1:2">
      <c r="A3873" s="218"/>
      <c r="B3873" s="214"/>
    </row>
    <row r="3874" spans="1:2">
      <c r="A3874" s="218"/>
      <c r="B3874" s="214"/>
    </row>
    <row r="3875" spans="1:2">
      <c r="A3875" s="218"/>
      <c r="B3875" s="214"/>
    </row>
    <row r="3876" spans="1:2">
      <c r="A3876" s="218"/>
      <c r="B3876" s="214"/>
    </row>
    <row r="3877" spans="1:2">
      <c r="A3877" s="218"/>
      <c r="B3877" s="214"/>
    </row>
    <row r="3878" spans="1:2">
      <c r="A3878" s="218"/>
      <c r="B3878" s="214"/>
    </row>
    <row r="3879" spans="1:2">
      <c r="A3879" s="218"/>
      <c r="B3879" s="214"/>
    </row>
    <row r="3880" spans="1:2">
      <c r="A3880" s="218"/>
      <c r="B3880" s="214"/>
    </row>
    <row r="3881" spans="1:2">
      <c r="A3881" s="218"/>
      <c r="B3881" s="214"/>
    </row>
    <row r="3882" spans="1:2">
      <c r="A3882" s="218"/>
      <c r="B3882" s="214"/>
    </row>
    <row r="3883" spans="1:2">
      <c r="A3883" s="218"/>
      <c r="B3883" s="214"/>
    </row>
    <row r="3884" spans="1:2">
      <c r="A3884" s="218"/>
      <c r="B3884" s="214"/>
    </row>
    <row r="3885" spans="1:2">
      <c r="A3885" s="218"/>
      <c r="B3885" s="214"/>
    </row>
    <row r="3886" spans="1:2">
      <c r="A3886" s="218"/>
      <c r="B3886" s="214"/>
    </row>
    <row r="3887" spans="1:2">
      <c r="A3887" s="218"/>
      <c r="B3887" s="214"/>
    </row>
    <row r="3888" spans="1:2">
      <c r="A3888" s="218"/>
      <c r="B3888" s="214"/>
    </row>
    <row r="3889" spans="1:2">
      <c r="A3889" s="218"/>
      <c r="B3889" s="214"/>
    </row>
    <row r="3890" spans="1:2">
      <c r="A3890" s="218"/>
      <c r="B3890" s="214"/>
    </row>
    <row r="3891" spans="1:2">
      <c r="A3891" s="218"/>
      <c r="B3891" s="214"/>
    </row>
    <row r="3892" spans="1:2">
      <c r="A3892" s="218"/>
      <c r="B3892" s="214"/>
    </row>
    <row r="3893" spans="1:2">
      <c r="A3893" s="218"/>
      <c r="B3893" s="214"/>
    </row>
    <row r="3894" spans="1:2">
      <c r="A3894" s="218"/>
      <c r="B3894" s="214"/>
    </row>
    <row r="3895" spans="1:2">
      <c r="A3895" s="218"/>
      <c r="B3895" s="214"/>
    </row>
    <row r="3896" spans="1:2">
      <c r="A3896" s="218"/>
      <c r="B3896" s="214"/>
    </row>
    <row r="3897" spans="1:2">
      <c r="A3897" s="218"/>
      <c r="B3897" s="214"/>
    </row>
    <row r="3898" spans="1:2">
      <c r="A3898" s="218"/>
      <c r="B3898" s="214"/>
    </row>
    <row r="3899" spans="1:2">
      <c r="A3899" s="218"/>
      <c r="B3899" s="214"/>
    </row>
    <row r="3900" spans="1:2">
      <c r="A3900" s="218"/>
      <c r="B3900" s="214"/>
    </row>
    <row r="3901" spans="1:2">
      <c r="A3901" s="218"/>
      <c r="B3901" s="214"/>
    </row>
    <row r="3902" spans="1:2">
      <c r="A3902" s="218"/>
      <c r="B3902" s="214"/>
    </row>
    <row r="3903" spans="1:2">
      <c r="A3903" s="218"/>
      <c r="B3903" s="214"/>
    </row>
    <row r="3904" spans="1:2">
      <c r="A3904" s="218"/>
      <c r="B3904" s="214"/>
    </row>
    <row r="3905" spans="1:2">
      <c r="A3905" s="218"/>
      <c r="B3905" s="214"/>
    </row>
    <row r="3906" spans="1:2">
      <c r="A3906" s="218"/>
      <c r="B3906" s="214"/>
    </row>
    <row r="3907" spans="1:2">
      <c r="A3907" s="218"/>
      <c r="B3907" s="214"/>
    </row>
    <row r="3908" spans="1:2">
      <c r="A3908" s="218"/>
      <c r="B3908" s="214"/>
    </row>
    <row r="3909" spans="1:2">
      <c r="A3909" s="218"/>
      <c r="B3909" s="214"/>
    </row>
    <row r="3910" spans="1:2">
      <c r="A3910" s="218"/>
      <c r="B3910" s="214"/>
    </row>
    <row r="3911" spans="1:2">
      <c r="A3911" s="218"/>
      <c r="B3911" s="214"/>
    </row>
    <row r="3912" spans="1:2">
      <c r="A3912" s="218"/>
      <c r="B3912" s="214"/>
    </row>
    <row r="3913" spans="1:2">
      <c r="A3913" s="218"/>
      <c r="B3913" s="214"/>
    </row>
    <row r="3914" spans="1:2">
      <c r="A3914" s="218"/>
      <c r="B3914" s="214"/>
    </row>
    <row r="3915" spans="1:2">
      <c r="A3915" s="218"/>
      <c r="B3915" s="214"/>
    </row>
    <row r="3916" spans="1:2">
      <c r="A3916" s="218"/>
      <c r="B3916" s="214"/>
    </row>
    <row r="3917" spans="1:2">
      <c r="A3917" s="218"/>
      <c r="B3917" s="214"/>
    </row>
    <row r="3918" spans="1:2">
      <c r="A3918" s="218"/>
      <c r="B3918" s="214"/>
    </row>
    <row r="3919" spans="1:2">
      <c r="A3919" s="218"/>
      <c r="B3919" s="214"/>
    </row>
    <row r="3920" spans="1:2">
      <c r="A3920" s="218"/>
      <c r="B3920" s="214"/>
    </row>
    <row r="3921" spans="1:2">
      <c r="A3921" s="218"/>
      <c r="B3921" s="214"/>
    </row>
    <row r="3922" spans="1:2">
      <c r="A3922" s="218"/>
      <c r="B3922" s="214"/>
    </row>
    <row r="3923" spans="1:2">
      <c r="A3923" s="218"/>
      <c r="B3923" s="214"/>
    </row>
    <row r="3924" spans="1:2">
      <c r="A3924" s="218"/>
      <c r="B3924" s="214"/>
    </row>
    <row r="3925" spans="1:2">
      <c r="A3925" s="218"/>
      <c r="B3925" s="214"/>
    </row>
    <row r="3926" spans="1:2">
      <c r="A3926" s="218"/>
      <c r="B3926" s="214"/>
    </row>
    <row r="3927" spans="1:2">
      <c r="A3927" s="218"/>
      <c r="B3927" s="214"/>
    </row>
    <row r="3928" spans="1:2">
      <c r="A3928" s="218"/>
      <c r="B3928" s="214"/>
    </row>
    <row r="3929" spans="1:2">
      <c r="A3929" s="218"/>
      <c r="B3929" s="214"/>
    </row>
    <row r="3930" spans="1:2">
      <c r="A3930" s="218"/>
      <c r="B3930" s="214"/>
    </row>
    <row r="3931" spans="1:2">
      <c r="A3931" s="218"/>
      <c r="B3931" s="214"/>
    </row>
    <row r="3932" spans="1:2">
      <c r="A3932" s="218"/>
      <c r="B3932" s="214"/>
    </row>
    <row r="3933" spans="1:2">
      <c r="A3933" s="218"/>
      <c r="B3933" s="214"/>
    </row>
    <row r="3934" spans="1:2">
      <c r="A3934" s="218"/>
      <c r="B3934" s="214"/>
    </row>
    <row r="3935" spans="1:2">
      <c r="A3935" s="218"/>
      <c r="B3935" s="214"/>
    </row>
    <row r="3936" spans="1:2">
      <c r="A3936" s="218"/>
      <c r="B3936" s="214"/>
    </row>
    <row r="3937" spans="1:2">
      <c r="A3937" s="218"/>
      <c r="B3937" s="214"/>
    </row>
    <row r="3938" spans="1:2">
      <c r="A3938" s="218"/>
      <c r="B3938" s="214"/>
    </row>
    <row r="3939" spans="1:2">
      <c r="A3939" s="218"/>
      <c r="B3939" s="214"/>
    </row>
    <row r="3940" spans="1:2">
      <c r="A3940" s="218"/>
      <c r="B3940" s="214"/>
    </row>
    <row r="3941" spans="1:2">
      <c r="A3941" s="218"/>
      <c r="B3941" s="214"/>
    </row>
    <row r="3942" spans="1:2">
      <c r="A3942" s="218"/>
      <c r="B3942" s="214"/>
    </row>
    <row r="3943" spans="1:2">
      <c r="A3943" s="218"/>
      <c r="B3943" s="214"/>
    </row>
    <row r="3944" spans="1:2">
      <c r="A3944" s="218"/>
      <c r="B3944" s="214"/>
    </row>
    <row r="3945" spans="1:2">
      <c r="A3945" s="218"/>
      <c r="B3945" s="214"/>
    </row>
    <row r="3946" spans="1:2">
      <c r="A3946" s="218"/>
      <c r="B3946" s="214"/>
    </row>
    <row r="3947" spans="1:2">
      <c r="A3947" s="218"/>
      <c r="B3947" s="214"/>
    </row>
    <row r="3948" spans="1:2">
      <c r="A3948" s="218"/>
      <c r="B3948" s="214"/>
    </row>
    <row r="3949" spans="1:2">
      <c r="A3949" s="218"/>
      <c r="B3949" s="214"/>
    </row>
    <row r="3950" spans="1:2">
      <c r="A3950" s="218"/>
      <c r="B3950" s="214"/>
    </row>
    <row r="3951" spans="1:2">
      <c r="A3951" s="218"/>
      <c r="B3951" s="214"/>
    </row>
    <row r="3952" spans="1:2">
      <c r="A3952" s="218"/>
      <c r="B3952" s="214"/>
    </row>
    <row r="3953" spans="1:2">
      <c r="A3953" s="218"/>
      <c r="B3953" s="214"/>
    </row>
    <row r="3954" spans="1:2">
      <c r="A3954" s="218"/>
      <c r="B3954" s="214"/>
    </row>
    <row r="3955" spans="1:2">
      <c r="A3955" s="218"/>
      <c r="B3955" s="214"/>
    </row>
    <row r="3956" spans="1:2">
      <c r="A3956" s="218"/>
      <c r="B3956" s="214"/>
    </row>
    <row r="3957" spans="1:2">
      <c r="A3957" s="218"/>
      <c r="B3957" s="214"/>
    </row>
    <row r="3958" spans="1:2">
      <c r="A3958" s="218"/>
      <c r="B3958" s="214"/>
    </row>
    <row r="3959" spans="1:2">
      <c r="A3959" s="218"/>
      <c r="B3959" s="214"/>
    </row>
    <row r="3960" spans="1:2">
      <c r="A3960" s="218"/>
      <c r="B3960" s="214"/>
    </row>
    <row r="3961" spans="1:2">
      <c r="A3961" s="218"/>
      <c r="B3961" s="214"/>
    </row>
    <row r="3962" spans="1:2">
      <c r="A3962" s="218"/>
      <c r="B3962" s="214"/>
    </row>
    <row r="3963" spans="1:2">
      <c r="A3963" s="218"/>
      <c r="B3963" s="214"/>
    </row>
    <row r="3964" spans="1:2">
      <c r="A3964" s="218"/>
      <c r="B3964" s="214"/>
    </row>
    <row r="3965" spans="1:2">
      <c r="A3965" s="218"/>
      <c r="B3965" s="214"/>
    </row>
    <row r="3966" spans="1:2">
      <c r="A3966" s="218"/>
      <c r="B3966" s="214"/>
    </row>
    <row r="3967" spans="1:2">
      <c r="A3967" s="218"/>
      <c r="B3967" s="214"/>
    </row>
    <row r="3968" spans="1:2">
      <c r="A3968" s="218"/>
      <c r="B3968" s="214"/>
    </row>
    <row r="3969" spans="1:2">
      <c r="A3969" s="218"/>
      <c r="B3969" s="214"/>
    </row>
    <row r="3970" spans="1:2">
      <c r="A3970" s="218"/>
      <c r="B3970" s="214"/>
    </row>
    <row r="3971" spans="1:2">
      <c r="A3971" s="218"/>
      <c r="B3971" s="214"/>
    </row>
    <row r="3972" spans="1:2">
      <c r="A3972" s="218"/>
      <c r="B3972" s="214"/>
    </row>
    <row r="3973" spans="1:2">
      <c r="A3973" s="218"/>
      <c r="B3973" s="214"/>
    </row>
    <row r="3974" spans="1:2">
      <c r="A3974" s="218"/>
      <c r="B3974" s="214"/>
    </row>
    <row r="3975" spans="1:2">
      <c r="A3975" s="218"/>
      <c r="B3975" s="214"/>
    </row>
    <row r="3976" spans="1:2">
      <c r="A3976" s="218"/>
      <c r="B3976" s="214"/>
    </row>
    <row r="3977" spans="1:2">
      <c r="A3977" s="218"/>
      <c r="B3977" s="214"/>
    </row>
    <row r="3978" spans="1:2">
      <c r="A3978" s="218"/>
      <c r="B3978" s="214"/>
    </row>
    <row r="3979" spans="1:2">
      <c r="A3979" s="218"/>
      <c r="B3979" s="214"/>
    </row>
    <row r="3980" spans="1:2">
      <c r="A3980" s="218"/>
      <c r="B3980" s="214"/>
    </row>
    <row r="3981" spans="1:2">
      <c r="A3981" s="218"/>
      <c r="B3981" s="214"/>
    </row>
    <row r="3982" spans="1:2">
      <c r="A3982" s="218"/>
      <c r="B3982" s="214"/>
    </row>
    <row r="3983" spans="1:2">
      <c r="A3983" s="218"/>
      <c r="B3983" s="214"/>
    </row>
    <row r="3984" spans="1:2">
      <c r="A3984" s="218"/>
      <c r="B3984" s="214"/>
    </row>
    <row r="3985" spans="1:2">
      <c r="A3985" s="218"/>
      <c r="B3985" s="214"/>
    </row>
    <row r="3986" spans="1:2">
      <c r="A3986" s="218"/>
      <c r="B3986" s="214"/>
    </row>
    <row r="3987" spans="1:2">
      <c r="A3987" s="218"/>
      <c r="B3987" s="214"/>
    </row>
    <row r="3988" spans="1:2">
      <c r="A3988" s="218"/>
      <c r="B3988" s="214"/>
    </row>
    <row r="3989" spans="1:2">
      <c r="A3989" s="218"/>
      <c r="B3989" s="214"/>
    </row>
    <row r="3990" spans="1:2">
      <c r="A3990" s="218"/>
      <c r="B3990" s="214"/>
    </row>
    <row r="3991" spans="1:2">
      <c r="A3991" s="218"/>
      <c r="B3991" s="214"/>
    </row>
    <row r="3992" spans="1:2">
      <c r="A3992" s="218"/>
      <c r="B3992" s="214"/>
    </row>
    <row r="3993" spans="1:2">
      <c r="A3993" s="218"/>
      <c r="B3993" s="214"/>
    </row>
    <row r="3994" spans="1:2">
      <c r="A3994" s="218"/>
      <c r="B3994" s="214"/>
    </row>
    <row r="3995" spans="1:2">
      <c r="A3995" s="218"/>
      <c r="B3995" s="214"/>
    </row>
    <row r="3996" spans="1:2">
      <c r="A3996" s="218"/>
      <c r="B3996" s="214"/>
    </row>
    <row r="3997" spans="1:2">
      <c r="A3997" s="218"/>
      <c r="B3997" s="214"/>
    </row>
    <row r="3998" spans="1:2">
      <c r="A3998" s="218"/>
      <c r="B3998" s="214"/>
    </row>
    <row r="3999" spans="1:2">
      <c r="A3999" s="218"/>
      <c r="B3999" s="214"/>
    </row>
    <row r="4000" spans="1:2">
      <c r="A4000" s="218"/>
      <c r="B4000" s="214"/>
    </row>
    <row r="4001" spans="1:2">
      <c r="A4001" s="218"/>
      <c r="B4001" s="214"/>
    </row>
    <row r="4002" spans="1:2">
      <c r="A4002" s="218"/>
      <c r="B4002" s="214"/>
    </row>
    <row r="4003" spans="1:2">
      <c r="A4003" s="218"/>
      <c r="B4003" s="214"/>
    </row>
    <row r="4004" spans="1:2">
      <c r="A4004" s="218"/>
      <c r="B4004" s="214"/>
    </row>
    <row r="4005" spans="1:2">
      <c r="A4005" s="218"/>
      <c r="B4005" s="214"/>
    </row>
    <row r="4006" spans="1:2">
      <c r="A4006" s="218"/>
      <c r="B4006" s="214"/>
    </row>
    <row r="4007" spans="1:2">
      <c r="A4007" s="218"/>
      <c r="B4007" s="214"/>
    </row>
    <row r="4008" spans="1:2">
      <c r="A4008" s="218"/>
      <c r="B4008" s="214"/>
    </row>
    <row r="4009" spans="1:2">
      <c r="A4009" s="218"/>
      <c r="B4009" s="214"/>
    </row>
    <row r="4010" spans="1:2">
      <c r="A4010" s="218"/>
      <c r="B4010" s="214"/>
    </row>
    <row r="4011" spans="1:2">
      <c r="A4011" s="218"/>
      <c r="B4011" s="214"/>
    </row>
    <row r="4012" spans="1:2">
      <c r="A4012" s="218"/>
      <c r="B4012" s="214"/>
    </row>
    <row r="4013" spans="1:2">
      <c r="A4013" s="218"/>
      <c r="B4013" s="214"/>
    </row>
    <row r="4014" spans="1:2">
      <c r="A4014" s="218"/>
      <c r="B4014" s="214"/>
    </row>
    <row r="4015" spans="1:2">
      <c r="A4015" s="218"/>
      <c r="B4015" s="214"/>
    </row>
    <row r="4016" spans="1:2">
      <c r="A4016" s="218"/>
      <c r="B4016" s="214"/>
    </row>
    <row r="4017" spans="1:2">
      <c r="A4017" s="218"/>
      <c r="B4017" s="214"/>
    </row>
    <row r="4018" spans="1:2">
      <c r="A4018" s="218"/>
      <c r="B4018" s="214"/>
    </row>
    <row r="4019" spans="1:2">
      <c r="A4019" s="218"/>
      <c r="B4019" s="214"/>
    </row>
    <row r="4020" spans="1:2">
      <c r="A4020" s="218"/>
      <c r="B4020" s="214"/>
    </row>
    <row r="4021" spans="1:2">
      <c r="A4021" s="218"/>
      <c r="B4021" s="214"/>
    </row>
    <row r="4022" spans="1:2">
      <c r="A4022" s="218"/>
      <c r="B4022" s="214"/>
    </row>
    <row r="4023" spans="1:2">
      <c r="A4023" s="218"/>
      <c r="B4023" s="214"/>
    </row>
    <row r="4024" spans="1:2">
      <c r="A4024" s="218"/>
      <c r="B4024" s="214"/>
    </row>
    <row r="4025" spans="1:2">
      <c r="A4025" s="218"/>
      <c r="B4025" s="214"/>
    </row>
    <row r="4026" spans="1:2">
      <c r="A4026" s="218"/>
      <c r="B4026" s="214"/>
    </row>
    <row r="4027" spans="1:2">
      <c r="A4027" s="218"/>
      <c r="B4027" s="214"/>
    </row>
    <row r="4028" spans="1:2">
      <c r="A4028" s="218"/>
      <c r="B4028" s="214"/>
    </row>
    <row r="4029" spans="1:2">
      <c r="A4029" s="218"/>
      <c r="B4029" s="214"/>
    </row>
    <row r="4030" spans="1:2">
      <c r="A4030" s="218"/>
      <c r="B4030" s="214"/>
    </row>
    <row r="4031" spans="1:2">
      <c r="A4031" s="218"/>
      <c r="B4031" s="214"/>
    </row>
    <row r="4032" spans="1:2">
      <c r="A4032" s="218"/>
      <c r="B4032" s="214"/>
    </row>
    <row r="4033" spans="1:2">
      <c r="A4033" s="218"/>
      <c r="B4033" s="214"/>
    </row>
    <row r="4034" spans="1:2">
      <c r="A4034" s="218"/>
      <c r="B4034" s="214"/>
    </row>
    <row r="4035" spans="1:2">
      <c r="A4035" s="218"/>
      <c r="B4035" s="214"/>
    </row>
    <row r="4036" spans="1:2">
      <c r="A4036" s="218"/>
      <c r="B4036" s="214"/>
    </row>
    <row r="4037" spans="1:2">
      <c r="A4037" s="218"/>
      <c r="B4037" s="214"/>
    </row>
    <row r="4038" spans="1:2">
      <c r="A4038" s="218"/>
      <c r="B4038" s="214"/>
    </row>
    <row r="4039" spans="1:2">
      <c r="A4039" s="218"/>
      <c r="B4039" s="214"/>
    </row>
    <row r="4040" spans="1:2">
      <c r="A4040" s="218"/>
      <c r="B4040" s="214"/>
    </row>
    <row r="4041" spans="1:2">
      <c r="A4041" s="218"/>
      <c r="B4041" s="214"/>
    </row>
    <row r="4042" spans="1:2">
      <c r="A4042" s="218"/>
      <c r="B4042" s="214"/>
    </row>
    <row r="4043" spans="1:2">
      <c r="A4043" s="218"/>
      <c r="B4043" s="214"/>
    </row>
    <row r="4044" spans="1:2">
      <c r="A4044" s="218"/>
      <c r="B4044" s="214"/>
    </row>
    <row r="4045" spans="1:2">
      <c r="A4045" s="218"/>
      <c r="B4045" s="214"/>
    </row>
    <row r="4046" spans="1:2">
      <c r="A4046" s="218"/>
      <c r="B4046" s="214"/>
    </row>
    <row r="4047" spans="1:2">
      <c r="A4047" s="218"/>
      <c r="B4047" s="214"/>
    </row>
    <row r="4048" spans="1:2">
      <c r="A4048" s="218"/>
      <c r="B4048" s="214"/>
    </row>
    <row r="4049" spans="1:2">
      <c r="A4049" s="218"/>
      <c r="B4049" s="214"/>
    </row>
    <row r="4050" spans="1:2">
      <c r="A4050" s="218"/>
      <c r="B4050" s="214"/>
    </row>
    <row r="4051" spans="1:2">
      <c r="A4051" s="218"/>
      <c r="B4051" s="214"/>
    </row>
    <row r="4052" spans="1:2">
      <c r="A4052" s="218"/>
      <c r="B4052" s="214"/>
    </row>
    <row r="4053" spans="1:2">
      <c r="A4053" s="218"/>
      <c r="B4053" s="214"/>
    </row>
    <row r="4054" spans="1:2">
      <c r="A4054" s="218"/>
      <c r="B4054" s="214"/>
    </row>
    <row r="4055" spans="1:2">
      <c r="A4055" s="218"/>
      <c r="B4055" s="214"/>
    </row>
    <row r="4056" spans="1:2">
      <c r="A4056" s="218"/>
      <c r="B4056" s="214"/>
    </row>
    <row r="4057" spans="1:2">
      <c r="A4057" s="218"/>
      <c r="B4057" s="214"/>
    </row>
    <row r="4058" spans="1:2">
      <c r="A4058" s="218"/>
      <c r="B4058" s="214"/>
    </row>
    <row r="4059" spans="1:2">
      <c r="A4059" s="218"/>
      <c r="B4059" s="214"/>
    </row>
    <row r="4060" spans="1:2">
      <c r="A4060" s="218"/>
      <c r="B4060" s="214"/>
    </row>
    <row r="4061" spans="1:2">
      <c r="A4061" s="218"/>
      <c r="B4061" s="214"/>
    </row>
    <row r="4062" spans="1:2">
      <c r="A4062" s="218"/>
      <c r="B4062" s="214"/>
    </row>
    <row r="4063" spans="1:2">
      <c r="A4063" s="218"/>
      <c r="B4063" s="214"/>
    </row>
    <row r="4064" spans="1:2">
      <c r="A4064" s="218"/>
      <c r="B4064" s="214"/>
    </row>
    <row r="4065" spans="1:2">
      <c r="A4065" s="218"/>
      <c r="B4065" s="214"/>
    </row>
    <row r="4066" spans="1:2">
      <c r="A4066" s="218"/>
      <c r="B4066" s="214"/>
    </row>
    <row r="4067" spans="1:2">
      <c r="A4067" s="218"/>
      <c r="B4067" s="214"/>
    </row>
    <row r="4068" spans="1:2">
      <c r="A4068" s="218"/>
      <c r="B4068" s="214"/>
    </row>
    <row r="4069" spans="1:2">
      <c r="A4069" s="218"/>
      <c r="B4069" s="214"/>
    </row>
    <row r="4070" spans="1:2">
      <c r="A4070" s="218"/>
      <c r="B4070" s="214"/>
    </row>
    <row r="4071" spans="1:2">
      <c r="A4071" s="218"/>
      <c r="B4071" s="214"/>
    </row>
    <row r="4072" spans="1:2">
      <c r="A4072" s="218"/>
      <c r="B4072" s="214"/>
    </row>
    <row r="4073" spans="1:2">
      <c r="A4073" s="218"/>
      <c r="B4073" s="214"/>
    </row>
    <row r="4074" spans="1:2">
      <c r="A4074" s="218"/>
      <c r="B4074" s="214"/>
    </row>
    <row r="4075" spans="1:2">
      <c r="A4075" s="218"/>
      <c r="B4075" s="214"/>
    </row>
    <row r="4076" spans="1:2">
      <c r="A4076" s="218"/>
      <c r="B4076" s="214"/>
    </row>
    <row r="4077" spans="1:2">
      <c r="A4077" s="218"/>
      <c r="B4077" s="214"/>
    </row>
    <row r="4078" spans="1:2">
      <c r="A4078" s="218"/>
      <c r="B4078" s="214"/>
    </row>
    <row r="4079" spans="1:2">
      <c r="A4079" s="218"/>
      <c r="B4079" s="214"/>
    </row>
    <row r="4080" spans="1:2">
      <c r="A4080" s="218"/>
      <c r="B4080" s="214"/>
    </row>
    <row r="4081" spans="1:2">
      <c r="A4081" s="218"/>
      <c r="B4081" s="214"/>
    </row>
    <row r="4082" spans="1:2">
      <c r="A4082" s="218"/>
      <c r="B4082" s="214"/>
    </row>
    <row r="4083" spans="1:2">
      <c r="A4083" s="218"/>
      <c r="B4083" s="214"/>
    </row>
    <row r="4084" spans="1:2">
      <c r="A4084" s="218"/>
      <c r="B4084" s="214"/>
    </row>
    <row r="4085" spans="1:2">
      <c r="A4085" s="218"/>
      <c r="B4085" s="214"/>
    </row>
    <row r="4086" spans="1:2">
      <c r="A4086" s="218"/>
      <c r="B4086" s="214"/>
    </row>
    <row r="4087" spans="1:2">
      <c r="A4087" s="218"/>
      <c r="B4087" s="214"/>
    </row>
    <row r="4088" spans="1:2">
      <c r="A4088" s="218"/>
      <c r="B4088" s="214"/>
    </row>
    <row r="4089" spans="1:2">
      <c r="A4089" s="218"/>
      <c r="B4089" s="214"/>
    </row>
    <row r="4090" spans="1:2">
      <c r="A4090" s="218"/>
      <c r="B4090" s="214"/>
    </row>
    <row r="4091" spans="1:2">
      <c r="A4091" s="218"/>
      <c r="B4091" s="214"/>
    </row>
    <row r="4092" spans="1:2">
      <c r="A4092" s="218"/>
      <c r="B4092" s="214"/>
    </row>
    <row r="4093" spans="1:2">
      <c r="A4093" s="218"/>
      <c r="B4093" s="214"/>
    </row>
    <row r="4094" spans="1:2">
      <c r="A4094" s="218"/>
      <c r="B4094" s="214"/>
    </row>
    <row r="4095" spans="1:2">
      <c r="A4095" s="218"/>
      <c r="B4095" s="214"/>
    </row>
    <row r="4096" spans="1:2">
      <c r="A4096" s="218"/>
      <c r="B4096" s="214"/>
    </row>
    <row r="4097" spans="1:2">
      <c r="A4097" s="218"/>
      <c r="B4097" s="214"/>
    </row>
    <row r="4098" spans="1:2">
      <c r="A4098" s="218"/>
      <c r="B4098" s="214"/>
    </row>
    <row r="4099" spans="1:2">
      <c r="A4099" s="218"/>
      <c r="B4099" s="214"/>
    </row>
    <row r="4100" spans="1:2">
      <c r="A4100" s="218"/>
      <c r="B4100" s="214"/>
    </row>
    <row r="4101" spans="1:2">
      <c r="A4101" s="218"/>
      <c r="B4101" s="214"/>
    </row>
    <row r="4102" spans="1:2">
      <c r="A4102" s="218"/>
      <c r="B4102" s="214"/>
    </row>
    <row r="4103" spans="1:2">
      <c r="A4103" s="218"/>
      <c r="B4103" s="214"/>
    </row>
    <row r="4104" spans="1:2">
      <c r="A4104" s="218"/>
      <c r="B4104" s="214"/>
    </row>
    <row r="4105" spans="1:2">
      <c r="A4105" s="218"/>
      <c r="B4105" s="214"/>
    </row>
    <row r="4106" spans="1:2">
      <c r="A4106" s="218"/>
      <c r="B4106" s="214"/>
    </row>
    <row r="4107" spans="1:2">
      <c r="A4107" s="218"/>
      <c r="B4107" s="214"/>
    </row>
    <row r="4108" spans="1:2">
      <c r="A4108" s="218"/>
      <c r="B4108" s="214"/>
    </row>
    <row r="4109" spans="1:2">
      <c r="A4109" s="218"/>
      <c r="B4109" s="214"/>
    </row>
    <row r="4110" spans="1:2">
      <c r="A4110" s="218"/>
      <c r="B4110" s="214"/>
    </row>
    <row r="4111" spans="1:2">
      <c r="A4111" s="218"/>
      <c r="B4111" s="214"/>
    </row>
    <row r="4112" spans="1:2">
      <c r="A4112" s="218"/>
      <c r="B4112" s="214"/>
    </row>
    <row r="4113" spans="1:2">
      <c r="A4113" s="218"/>
      <c r="B4113" s="214"/>
    </row>
    <row r="4114" spans="1:2">
      <c r="A4114" s="218"/>
      <c r="B4114" s="214"/>
    </row>
    <row r="4115" spans="1:2">
      <c r="A4115" s="218"/>
      <c r="B4115" s="214"/>
    </row>
    <row r="4116" spans="1:2">
      <c r="A4116" s="218"/>
      <c r="B4116" s="214"/>
    </row>
    <row r="4117" spans="1:2">
      <c r="A4117" s="218"/>
      <c r="B4117" s="214"/>
    </row>
    <row r="4118" spans="1:2">
      <c r="A4118" s="218"/>
      <c r="B4118" s="214"/>
    </row>
    <row r="4119" spans="1:2">
      <c r="A4119" s="218"/>
      <c r="B4119" s="214"/>
    </row>
    <row r="4120" spans="1:2">
      <c r="A4120" s="218"/>
      <c r="B4120" s="214"/>
    </row>
    <row r="4121" spans="1:2">
      <c r="A4121" s="218"/>
      <c r="B4121" s="214"/>
    </row>
    <row r="4122" spans="1:2">
      <c r="A4122" s="218"/>
      <c r="B4122" s="214"/>
    </row>
    <row r="4123" spans="1:2">
      <c r="A4123" s="218"/>
      <c r="B4123" s="214"/>
    </row>
    <row r="4124" spans="1:2">
      <c r="A4124" s="218"/>
      <c r="B4124" s="214"/>
    </row>
    <row r="4125" spans="1:2">
      <c r="A4125" s="218"/>
      <c r="B4125" s="214"/>
    </row>
    <row r="4126" spans="1:2">
      <c r="A4126" s="218"/>
      <c r="B4126" s="214"/>
    </row>
    <row r="4127" spans="1:2">
      <c r="A4127" s="218"/>
      <c r="B4127" s="214"/>
    </row>
    <row r="4128" spans="1:2">
      <c r="A4128" s="218"/>
      <c r="B4128" s="214"/>
    </row>
    <row r="4129" spans="1:2">
      <c r="A4129" s="218"/>
      <c r="B4129" s="214"/>
    </row>
    <row r="4130" spans="1:2">
      <c r="A4130" s="218"/>
      <c r="B4130" s="214"/>
    </row>
    <row r="4131" spans="1:2">
      <c r="A4131" s="218"/>
      <c r="B4131" s="214"/>
    </row>
    <row r="4132" spans="1:2">
      <c r="A4132" s="218"/>
      <c r="B4132" s="214"/>
    </row>
    <row r="4133" spans="1:2">
      <c r="A4133" s="218"/>
      <c r="B4133" s="214"/>
    </row>
    <row r="4134" spans="1:2">
      <c r="A4134" s="218"/>
      <c r="B4134" s="214"/>
    </row>
    <row r="4135" spans="1:2">
      <c r="A4135" s="218"/>
      <c r="B4135" s="214"/>
    </row>
    <row r="4136" spans="1:2">
      <c r="A4136" s="218"/>
      <c r="B4136" s="214"/>
    </row>
    <row r="4137" spans="1:2">
      <c r="A4137" s="218"/>
      <c r="B4137" s="214"/>
    </row>
    <row r="4138" spans="1:2">
      <c r="A4138" s="218"/>
      <c r="B4138" s="214"/>
    </row>
    <row r="4139" spans="1:2">
      <c r="A4139" s="218"/>
      <c r="B4139" s="214"/>
    </row>
    <row r="4140" spans="1:2">
      <c r="A4140" s="218"/>
      <c r="B4140" s="214"/>
    </row>
    <row r="4141" spans="1:2">
      <c r="A4141" s="218"/>
      <c r="B4141" s="214"/>
    </row>
    <row r="4142" spans="1:2">
      <c r="A4142" s="218"/>
      <c r="B4142" s="214"/>
    </row>
    <row r="4143" spans="1:2">
      <c r="A4143" s="218"/>
      <c r="B4143" s="214"/>
    </row>
    <row r="4144" spans="1:2">
      <c r="A4144" s="218"/>
      <c r="B4144" s="214"/>
    </row>
    <row r="4145" spans="1:2">
      <c r="A4145" s="218"/>
      <c r="B4145" s="214"/>
    </row>
    <row r="4146" spans="1:2">
      <c r="A4146" s="218"/>
      <c r="B4146" s="214"/>
    </row>
    <row r="4147" spans="1:2">
      <c r="A4147" s="218"/>
      <c r="B4147" s="214"/>
    </row>
    <row r="4148" spans="1:2">
      <c r="A4148" s="218"/>
      <c r="B4148" s="214"/>
    </row>
    <row r="4149" spans="1:2">
      <c r="A4149" s="218"/>
      <c r="B4149" s="214"/>
    </row>
    <row r="4150" spans="1:2">
      <c r="A4150" s="218"/>
      <c r="B4150" s="214"/>
    </row>
    <row r="4151" spans="1:2">
      <c r="A4151" s="218"/>
      <c r="B4151" s="214"/>
    </row>
    <row r="4152" spans="1:2">
      <c r="A4152" s="218"/>
      <c r="B4152" s="214"/>
    </row>
    <row r="4153" spans="1:2">
      <c r="A4153" s="218"/>
      <c r="B4153" s="214"/>
    </row>
    <row r="4154" spans="1:2">
      <c r="A4154" s="218"/>
      <c r="B4154" s="214"/>
    </row>
    <row r="4155" spans="1:2">
      <c r="A4155" s="218"/>
      <c r="B4155" s="214"/>
    </row>
    <row r="4156" spans="1:2">
      <c r="A4156" s="218"/>
      <c r="B4156" s="214"/>
    </row>
    <row r="4157" spans="1:2">
      <c r="A4157" s="218"/>
      <c r="B4157" s="214"/>
    </row>
    <row r="4158" spans="1:2">
      <c r="A4158" s="218"/>
      <c r="B4158" s="214"/>
    </row>
    <row r="4159" spans="1:2">
      <c r="A4159" s="218"/>
      <c r="B4159" s="214"/>
    </row>
    <row r="4160" spans="1:2">
      <c r="A4160" s="218"/>
      <c r="B4160" s="214"/>
    </row>
    <row r="4161" spans="1:2">
      <c r="A4161" s="218"/>
      <c r="B4161" s="214"/>
    </row>
    <row r="4162" spans="1:2">
      <c r="A4162" s="218"/>
      <c r="B4162" s="214"/>
    </row>
    <row r="4163" spans="1:2">
      <c r="A4163" s="218"/>
      <c r="B4163" s="214"/>
    </row>
    <row r="4164" spans="1:2">
      <c r="A4164" s="218"/>
      <c r="B4164" s="214"/>
    </row>
    <row r="4165" spans="1:2">
      <c r="A4165" s="218"/>
      <c r="B4165" s="214"/>
    </row>
    <row r="4166" spans="1:2">
      <c r="A4166" s="218"/>
      <c r="B4166" s="214"/>
    </row>
    <row r="4167" spans="1:2">
      <c r="A4167" s="218"/>
      <c r="B4167" s="214"/>
    </row>
    <row r="4168" spans="1:2">
      <c r="A4168" s="218"/>
      <c r="B4168" s="214"/>
    </row>
    <row r="4169" spans="1:2">
      <c r="A4169" s="218"/>
      <c r="B4169" s="214"/>
    </row>
    <row r="4170" spans="1:2">
      <c r="A4170" s="218"/>
      <c r="B4170" s="214"/>
    </row>
    <row r="4171" spans="1:2">
      <c r="A4171" s="218"/>
      <c r="B4171" s="214"/>
    </row>
    <row r="4172" spans="1:2">
      <c r="A4172" s="218"/>
      <c r="B4172" s="214"/>
    </row>
    <row r="4173" spans="1:2">
      <c r="A4173" s="218"/>
      <c r="B4173" s="214"/>
    </row>
    <row r="4174" spans="1:2">
      <c r="A4174" s="218"/>
      <c r="B4174" s="214"/>
    </row>
    <row r="4175" spans="1:2">
      <c r="A4175" s="218"/>
      <c r="B4175" s="214"/>
    </row>
    <row r="4176" spans="1:2">
      <c r="A4176" s="218"/>
      <c r="B4176" s="214"/>
    </row>
    <row r="4177" spans="1:2">
      <c r="A4177" s="218"/>
      <c r="B4177" s="214"/>
    </row>
    <row r="4178" spans="1:2">
      <c r="A4178" s="218"/>
      <c r="B4178" s="214"/>
    </row>
    <row r="4179" spans="1:2">
      <c r="A4179" s="218"/>
      <c r="B4179" s="214"/>
    </row>
    <row r="4180" spans="1:2">
      <c r="A4180" s="218"/>
      <c r="B4180" s="214"/>
    </row>
    <row r="4181" spans="1:2">
      <c r="A4181" s="218"/>
      <c r="B4181" s="214"/>
    </row>
    <row r="4182" spans="1:2">
      <c r="A4182" s="218"/>
      <c r="B4182" s="214"/>
    </row>
    <row r="4183" spans="1:2">
      <c r="A4183" s="218"/>
      <c r="B4183" s="214"/>
    </row>
    <row r="4184" spans="1:2">
      <c r="A4184" s="218"/>
      <c r="B4184" s="214"/>
    </row>
    <row r="4185" spans="1:2">
      <c r="A4185" s="218"/>
      <c r="B4185" s="214"/>
    </row>
    <row r="4186" spans="1:2">
      <c r="A4186" s="218"/>
      <c r="B4186" s="214"/>
    </row>
    <row r="4187" spans="1:2">
      <c r="A4187" s="218"/>
      <c r="B4187" s="214"/>
    </row>
    <row r="4188" spans="1:2">
      <c r="A4188" s="218"/>
      <c r="B4188" s="214"/>
    </row>
    <row r="4189" spans="1:2">
      <c r="A4189" s="218"/>
      <c r="B4189" s="214"/>
    </row>
    <row r="4190" spans="1:2">
      <c r="A4190" s="218"/>
      <c r="B4190" s="214"/>
    </row>
    <row r="4191" spans="1:2">
      <c r="A4191" s="218"/>
      <c r="B4191" s="214"/>
    </row>
    <row r="4192" spans="1:2">
      <c r="A4192" s="218"/>
      <c r="B4192" s="214"/>
    </row>
    <row r="4193" spans="1:2">
      <c r="A4193" s="218"/>
      <c r="B4193" s="214"/>
    </row>
    <row r="4194" spans="1:2">
      <c r="A4194" s="218"/>
      <c r="B4194" s="214"/>
    </row>
    <row r="4195" spans="1:2">
      <c r="A4195" s="218"/>
      <c r="B4195" s="214"/>
    </row>
    <row r="4196" spans="1:2">
      <c r="A4196" s="218"/>
      <c r="B4196" s="214"/>
    </row>
    <row r="4197" spans="1:2">
      <c r="A4197" s="218"/>
      <c r="B4197" s="214"/>
    </row>
    <row r="4198" spans="1:2">
      <c r="A4198" s="218"/>
      <c r="B4198" s="214"/>
    </row>
    <row r="4199" spans="1:2">
      <c r="A4199" s="218"/>
      <c r="B4199" s="214"/>
    </row>
    <row r="4200" spans="1:2">
      <c r="A4200" s="218"/>
      <c r="B4200" s="214"/>
    </row>
    <row r="4201" spans="1:2">
      <c r="A4201" s="218"/>
      <c r="B4201" s="214"/>
    </row>
  </sheetData>
  <mergeCells count="6">
    <mergeCell ref="J37:L37"/>
    <mergeCell ref="A1:P1"/>
    <mergeCell ref="A2:P2"/>
    <mergeCell ref="A3:P3"/>
    <mergeCell ref="B5:G5"/>
    <mergeCell ref="I5:M5"/>
  </mergeCells>
  <pageMargins left="0.70866141732283472" right="0.70866141732283472" top="0.74803149606299213" bottom="0.74803149606299213" header="0.31496062992125984" footer="0.31496062992125984"/>
  <pageSetup paperSize="9" scale="71" orientation="landscape" r:id="rId1"/>
  <headerFooter>
    <oddFooter>&amp;R&amp;P</oddFooter>
  </headerFooter>
</worksheet>
</file>

<file path=xl/worksheets/sheet25.xml><?xml version="1.0" encoding="utf-8"?>
<worksheet xmlns="http://schemas.openxmlformats.org/spreadsheetml/2006/main" xmlns:r="http://schemas.openxmlformats.org/officeDocument/2006/relationships">
  <sheetPr>
    <pageSetUpPr fitToPage="1"/>
  </sheetPr>
  <dimension ref="A1:P4201"/>
  <sheetViews>
    <sheetView tabSelected="1" view="pageBreakPreview" zoomScale="60" workbookViewId="0">
      <selection activeCell="B43" sqref="B43"/>
    </sheetView>
  </sheetViews>
  <sheetFormatPr defaultRowHeight="12.75"/>
  <cols>
    <col min="1" max="1" width="19.28515625" style="264" customWidth="1"/>
    <col min="2" max="2" width="16.7109375" style="265" customWidth="1"/>
    <col min="3" max="3" width="15.85546875" style="265" bestFit="1" customWidth="1"/>
    <col min="4" max="4" width="10.140625" style="265" bestFit="1" customWidth="1"/>
    <col min="5" max="5" width="15.5703125" style="265" bestFit="1" customWidth="1"/>
    <col min="6" max="6" width="16.140625" style="265" bestFit="1" customWidth="1"/>
    <col min="7" max="7" width="1" style="265" customWidth="1"/>
    <col min="8" max="8" width="13.85546875" style="265" bestFit="1" customWidth="1"/>
    <col min="9" max="9" width="14.140625" style="265" bestFit="1" customWidth="1"/>
    <col min="10" max="10" width="8.7109375" style="265" bestFit="1" customWidth="1"/>
    <col min="11" max="11" width="13.7109375" style="265" bestFit="1" customWidth="1"/>
    <col min="12" max="12" width="0.85546875" style="265" customWidth="1"/>
    <col min="13" max="13" width="19" style="265" bestFit="1" customWidth="1"/>
    <col min="14" max="14" width="14.140625" style="264" bestFit="1" customWidth="1"/>
    <col min="15" max="15" width="11.7109375" style="276" bestFit="1" customWidth="1"/>
    <col min="16" max="16" width="11.85546875" style="276" bestFit="1" customWidth="1"/>
    <col min="17" max="16384" width="9.140625" style="264"/>
  </cols>
  <sheetData>
    <row r="1" spans="1:15">
      <c r="A1" s="1919" t="s">
        <v>3331</v>
      </c>
      <c r="B1" s="1919"/>
      <c r="C1" s="1919"/>
      <c r="D1" s="1919"/>
      <c r="E1" s="1919"/>
      <c r="F1" s="1919"/>
      <c r="G1" s="1919"/>
      <c r="H1" s="1919"/>
      <c r="I1" s="1919"/>
      <c r="J1" s="1919"/>
      <c r="K1" s="1919"/>
      <c r="L1" s="1919"/>
      <c r="M1" s="1919"/>
      <c r="N1" s="1919"/>
    </row>
    <row r="2" spans="1:15">
      <c r="A2" s="1919" t="s">
        <v>3306</v>
      </c>
      <c r="B2" s="1919"/>
      <c r="C2" s="1919"/>
      <c r="D2" s="1919"/>
      <c r="E2" s="1919"/>
      <c r="F2" s="1919"/>
      <c r="G2" s="1919"/>
      <c r="H2" s="1919"/>
      <c r="I2" s="1919"/>
      <c r="J2" s="1919"/>
      <c r="K2" s="1919"/>
      <c r="L2" s="1919"/>
      <c r="M2" s="1919"/>
      <c r="N2" s="1919"/>
    </row>
    <row r="3" spans="1:15">
      <c r="A3" s="1919" t="s">
        <v>3525</v>
      </c>
      <c r="B3" s="1919"/>
      <c r="C3" s="1919"/>
      <c r="D3" s="1919"/>
      <c r="E3" s="1919"/>
      <c r="F3" s="1919"/>
      <c r="G3" s="1919"/>
      <c r="H3" s="1919"/>
      <c r="I3" s="1919"/>
      <c r="J3" s="1919"/>
      <c r="K3" s="1919"/>
      <c r="L3" s="1919"/>
      <c r="M3" s="1919"/>
      <c r="N3" s="1919"/>
    </row>
    <row r="4" spans="1:15">
      <c r="A4" s="278"/>
      <c r="B4" s="279"/>
      <c r="C4" s="279"/>
      <c r="D4" s="279"/>
      <c r="E4" s="279"/>
      <c r="F4" s="279"/>
      <c r="G4" s="279"/>
      <c r="H4" s="279"/>
      <c r="I4" s="279"/>
      <c r="J4" s="279"/>
      <c r="K4" s="279"/>
      <c r="L4" s="279"/>
      <c r="M4" s="279"/>
      <c r="N4" s="280"/>
    </row>
    <row r="5" spans="1:15" ht="14.25" customHeight="1">
      <c r="A5" s="186"/>
      <c r="B5" s="1920" t="s">
        <v>755</v>
      </c>
      <c r="C5" s="1921"/>
      <c r="D5" s="1921"/>
      <c r="E5" s="1921"/>
      <c r="F5" s="1922"/>
      <c r="G5" s="187"/>
      <c r="H5" s="1920" t="s">
        <v>756</v>
      </c>
      <c r="I5" s="1921"/>
      <c r="J5" s="1921"/>
      <c r="K5" s="1922"/>
      <c r="L5" s="187"/>
      <c r="M5" s="188"/>
      <c r="N5" s="189"/>
      <c r="O5" s="190"/>
    </row>
    <row r="6" spans="1:15" ht="38.25">
      <c r="A6" s="202"/>
      <c r="B6" s="199" t="s">
        <v>2147</v>
      </c>
      <c r="C6" s="199" t="s">
        <v>2148</v>
      </c>
      <c r="D6" s="199" t="s">
        <v>1014</v>
      </c>
      <c r="E6" s="199" t="s">
        <v>506</v>
      </c>
      <c r="F6" s="199" t="s">
        <v>3762</v>
      </c>
      <c r="G6" s="180"/>
      <c r="H6" s="199" t="s">
        <v>3761</v>
      </c>
      <c r="I6" s="199" t="s">
        <v>1015</v>
      </c>
      <c r="J6" s="177" t="s">
        <v>1016</v>
      </c>
      <c r="K6" s="199" t="s">
        <v>3762</v>
      </c>
      <c r="L6" s="180"/>
      <c r="M6" s="199" t="s">
        <v>2146</v>
      </c>
      <c r="N6" s="199" t="s">
        <v>3763</v>
      </c>
      <c r="O6" s="191"/>
    </row>
    <row r="7" spans="1:15">
      <c r="A7" s="203"/>
      <c r="B7" s="183" t="s">
        <v>2422</v>
      </c>
      <c r="C7" s="183" t="s">
        <v>2422</v>
      </c>
      <c r="D7" s="183" t="s">
        <v>2422</v>
      </c>
      <c r="E7" s="183" t="s">
        <v>2422</v>
      </c>
      <c r="F7" s="183" t="s">
        <v>2422</v>
      </c>
      <c r="G7" s="183"/>
      <c r="H7" s="183" t="s">
        <v>2422</v>
      </c>
      <c r="I7" s="183" t="s">
        <v>2422</v>
      </c>
      <c r="J7" s="180" t="s">
        <v>2422</v>
      </c>
      <c r="K7" s="183" t="s">
        <v>2422</v>
      </c>
      <c r="L7" s="183"/>
      <c r="M7" s="183" t="s">
        <v>2422</v>
      </c>
      <c r="N7" s="204" t="s">
        <v>2422</v>
      </c>
      <c r="O7" s="192"/>
    </row>
    <row r="8" spans="1:15">
      <c r="A8" s="202" t="s">
        <v>761</v>
      </c>
      <c r="B8" s="200">
        <f>SUM(B9:B19)</f>
        <v>0</v>
      </c>
      <c r="C8" s="200">
        <f>SUM(C9:C19)</f>
        <v>0</v>
      </c>
      <c r="D8" s="200">
        <f>SUM(D9:D19)</f>
        <v>0</v>
      </c>
      <c r="E8" s="200">
        <f>SUM(E9:E19)</f>
        <v>0</v>
      </c>
      <c r="F8" s="200">
        <f>SUM(F9:F19)</f>
        <v>0</v>
      </c>
      <c r="G8" s="200"/>
      <c r="H8" s="200">
        <f>SUM(H9:H19)</f>
        <v>0</v>
      </c>
      <c r="I8" s="200">
        <f>SUM(I9:I19)</f>
        <v>0</v>
      </c>
      <c r="J8" s="200">
        <f>SUM(J9:J19)</f>
        <v>0</v>
      </c>
      <c r="K8" s="200">
        <f>SUM(K9:K19)</f>
        <v>0</v>
      </c>
      <c r="L8" s="200"/>
      <c r="M8" s="200">
        <f>SUM(M9:M19)</f>
        <v>0</v>
      </c>
      <c r="N8" s="201">
        <f>SUM(N9:N19)</f>
        <v>0</v>
      </c>
      <c r="O8" s="193"/>
    </row>
    <row r="9" spans="1:15" ht="25.5">
      <c r="A9" s="270" t="s">
        <v>762</v>
      </c>
      <c r="B9" s="274">
        <v>0</v>
      </c>
      <c r="C9" s="274">
        <v>0</v>
      </c>
      <c r="D9" s="274">
        <v>0</v>
      </c>
      <c r="E9" s="274">
        <v>0</v>
      </c>
      <c r="F9" s="274">
        <f>+B9+C9+D9-E9</f>
        <v>0</v>
      </c>
      <c r="G9" s="272"/>
      <c r="H9" s="274">
        <v>0</v>
      </c>
      <c r="I9" s="274">
        <v>0</v>
      </c>
      <c r="J9" s="281">
        <v>0</v>
      </c>
      <c r="K9" s="274">
        <f>+H9+I9-J9</f>
        <v>0</v>
      </c>
      <c r="L9" s="272"/>
      <c r="M9" s="274">
        <f>+F9-K9</f>
        <v>0</v>
      </c>
      <c r="N9" s="274">
        <v>0</v>
      </c>
      <c r="O9" s="194"/>
    </row>
    <row r="10" spans="1:15" ht="25.5">
      <c r="A10" s="270" t="s">
        <v>763</v>
      </c>
      <c r="B10" s="250">
        <v>0</v>
      </c>
      <c r="C10" s="250">
        <v>0</v>
      </c>
      <c r="D10" s="250">
        <v>0</v>
      </c>
      <c r="E10" s="250">
        <v>0</v>
      </c>
      <c r="F10" s="250">
        <f t="shared" ref="F10:F19" si="0">+B10+C10+D10-E10</f>
        <v>0</v>
      </c>
      <c r="G10" s="272"/>
      <c r="H10" s="250">
        <v>0</v>
      </c>
      <c r="I10" s="250">
        <v>0</v>
      </c>
      <c r="J10" s="282">
        <v>0</v>
      </c>
      <c r="K10" s="250">
        <f t="shared" ref="K10:K19" si="1">+H10+I10-J10</f>
        <v>0</v>
      </c>
      <c r="L10" s="272"/>
      <c r="M10" s="250">
        <f t="shared" ref="M10:M19" si="2">+F10-K10</f>
        <v>0</v>
      </c>
      <c r="N10" s="250">
        <v>0</v>
      </c>
      <c r="O10" s="194"/>
    </row>
    <row r="11" spans="1:15" ht="38.25">
      <c r="A11" s="270" t="s">
        <v>764</v>
      </c>
      <c r="B11" s="250">
        <v>0</v>
      </c>
      <c r="C11" s="250">
        <v>0</v>
      </c>
      <c r="D11" s="250">
        <v>0</v>
      </c>
      <c r="E11" s="250">
        <v>0</v>
      </c>
      <c r="F11" s="250">
        <f t="shared" si="0"/>
        <v>0</v>
      </c>
      <c r="G11" s="272"/>
      <c r="H11" s="250">
        <v>0</v>
      </c>
      <c r="I11" s="250">
        <v>0</v>
      </c>
      <c r="J11" s="282">
        <v>0</v>
      </c>
      <c r="K11" s="250">
        <f t="shared" si="1"/>
        <v>0</v>
      </c>
      <c r="L11" s="272"/>
      <c r="M11" s="250">
        <f t="shared" si="2"/>
        <v>0</v>
      </c>
      <c r="N11" s="250">
        <v>0</v>
      </c>
      <c r="O11" s="194"/>
    </row>
    <row r="12" spans="1:15" ht="25.5">
      <c r="A12" s="270" t="s">
        <v>765</v>
      </c>
      <c r="B12" s="250">
        <v>0</v>
      </c>
      <c r="C12" s="250">
        <v>0</v>
      </c>
      <c r="D12" s="250">
        <v>0</v>
      </c>
      <c r="E12" s="250">
        <v>0</v>
      </c>
      <c r="F12" s="250">
        <f t="shared" si="0"/>
        <v>0</v>
      </c>
      <c r="G12" s="272"/>
      <c r="H12" s="250">
        <v>0</v>
      </c>
      <c r="I12" s="250">
        <v>0</v>
      </c>
      <c r="J12" s="282">
        <v>0</v>
      </c>
      <c r="K12" s="250">
        <f t="shared" si="1"/>
        <v>0</v>
      </c>
      <c r="L12" s="275"/>
      <c r="M12" s="250">
        <f t="shared" si="2"/>
        <v>0</v>
      </c>
      <c r="N12" s="250">
        <v>0</v>
      </c>
      <c r="O12" s="194"/>
    </row>
    <row r="13" spans="1:15" ht="38.25">
      <c r="A13" s="270" t="s">
        <v>766</v>
      </c>
      <c r="B13" s="250">
        <v>0</v>
      </c>
      <c r="C13" s="250">
        <v>0</v>
      </c>
      <c r="D13" s="250">
        <v>0</v>
      </c>
      <c r="E13" s="250">
        <v>0</v>
      </c>
      <c r="F13" s="250">
        <f t="shared" si="0"/>
        <v>0</v>
      </c>
      <c r="G13" s="272"/>
      <c r="H13" s="250">
        <v>0</v>
      </c>
      <c r="I13" s="250">
        <v>0</v>
      </c>
      <c r="J13" s="282">
        <v>0</v>
      </c>
      <c r="K13" s="250">
        <f t="shared" si="1"/>
        <v>0</v>
      </c>
      <c r="L13" s="272"/>
      <c r="M13" s="250">
        <f t="shared" si="2"/>
        <v>0</v>
      </c>
      <c r="N13" s="250">
        <v>0</v>
      </c>
      <c r="O13" s="194"/>
    </row>
    <row r="14" spans="1:15">
      <c r="A14" s="270" t="s">
        <v>767</v>
      </c>
      <c r="B14" s="250">
        <v>0</v>
      </c>
      <c r="C14" s="250">
        <v>0</v>
      </c>
      <c r="D14" s="250">
        <v>0</v>
      </c>
      <c r="E14" s="250">
        <v>0</v>
      </c>
      <c r="F14" s="250">
        <f t="shared" si="0"/>
        <v>0</v>
      </c>
      <c r="G14" s="272"/>
      <c r="H14" s="250">
        <v>0</v>
      </c>
      <c r="I14" s="250">
        <v>0</v>
      </c>
      <c r="J14" s="282">
        <v>0</v>
      </c>
      <c r="K14" s="250">
        <f t="shared" si="1"/>
        <v>0</v>
      </c>
      <c r="L14" s="272"/>
      <c r="M14" s="250">
        <f t="shared" si="2"/>
        <v>0</v>
      </c>
      <c r="N14" s="250">
        <v>0</v>
      </c>
      <c r="O14" s="194"/>
    </row>
    <row r="15" spans="1:15">
      <c r="A15" s="270" t="s">
        <v>768</v>
      </c>
      <c r="B15" s="250">
        <v>0</v>
      </c>
      <c r="C15" s="250">
        <v>0</v>
      </c>
      <c r="D15" s="250">
        <v>0</v>
      </c>
      <c r="E15" s="250">
        <v>0</v>
      </c>
      <c r="F15" s="250">
        <f t="shared" si="0"/>
        <v>0</v>
      </c>
      <c r="G15" s="272"/>
      <c r="H15" s="250">
        <v>0</v>
      </c>
      <c r="I15" s="250">
        <v>0</v>
      </c>
      <c r="J15" s="282">
        <v>0</v>
      </c>
      <c r="K15" s="250">
        <f t="shared" si="1"/>
        <v>0</v>
      </c>
      <c r="L15" s="272"/>
      <c r="M15" s="250">
        <f t="shared" si="2"/>
        <v>0</v>
      </c>
      <c r="N15" s="250">
        <v>0</v>
      </c>
      <c r="O15" s="194"/>
    </row>
    <row r="16" spans="1:15">
      <c r="A16" s="270" t="s">
        <v>769</v>
      </c>
      <c r="B16" s="250">
        <v>0</v>
      </c>
      <c r="C16" s="250">
        <v>0</v>
      </c>
      <c r="D16" s="250">
        <v>0</v>
      </c>
      <c r="E16" s="250">
        <v>0</v>
      </c>
      <c r="F16" s="250">
        <f t="shared" si="0"/>
        <v>0</v>
      </c>
      <c r="G16" s="272"/>
      <c r="H16" s="250">
        <v>0</v>
      </c>
      <c r="I16" s="250">
        <v>0</v>
      </c>
      <c r="J16" s="282">
        <v>0</v>
      </c>
      <c r="K16" s="250">
        <f t="shared" si="1"/>
        <v>0</v>
      </c>
      <c r="L16" s="272"/>
      <c r="M16" s="250">
        <f t="shared" si="2"/>
        <v>0</v>
      </c>
      <c r="N16" s="250">
        <v>0</v>
      </c>
      <c r="O16" s="194"/>
    </row>
    <row r="17" spans="1:16">
      <c r="A17" s="270" t="s">
        <v>1023</v>
      </c>
      <c r="B17" s="250">
        <v>0</v>
      </c>
      <c r="C17" s="250">
        <v>0</v>
      </c>
      <c r="D17" s="250"/>
      <c r="E17" s="250"/>
      <c r="F17" s="250">
        <f t="shared" si="0"/>
        <v>0</v>
      </c>
      <c r="G17" s="272"/>
      <c r="H17" s="250">
        <v>0</v>
      </c>
      <c r="I17" s="250">
        <v>0</v>
      </c>
      <c r="J17" s="282"/>
      <c r="K17" s="250">
        <f t="shared" si="1"/>
        <v>0</v>
      </c>
      <c r="L17" s="272"/>
      <c r="M17" s="250">
        <f>+F17-K17</f>
        <v>0</v>
      </c>
      <c r="N17" s="250">
        <v>0</v>
      </c>
      <c r="O17" s="194"/>
    </row>
    <row r="18" spans="1:16">
      <c r="A18" s="270" t="s">
        <v>1024</v>
      </c>
      <c r="B18" s="250">
        <v>0</v>
      </c>
      <c r="C18" s="250">
        <v>0</v>
      </c>
      <c r="D18" s="250"/>
      <c r="E18" s="250"/>
      <c r="F18" s="250">
        <f t="shared" si="0"/>
        <v>0</v>
      </c>
      <c r="G18" s="272"/>
      <c r="H18" s="250">
        <v>0</v>
      </c>
      <c r="I18" s="250">
        <v>0</v>
      </c>
      <c r="J18" s="282"/>
      <c r="K18" s="250">
        <f t="shared" si="1"/>
        <v>0</v>
      </c>
      <c r="L18" s="272"/>
      <c r="M18" s="250">
        <f>+F18-K18</f>
        <v>0</v>
      </c>
      <c r="N18" s="250">
        <v>0</v>
      </c>
      <c r="O18" s="194"/>
    </row>
    <row r="19" spans="1:16" ht="25.5">
      <c r="A19" s="270" t="s">
        <v>770</v>
      </c>
      <c r="B19" s="254">
        <v>0</v>
      </c>
      <c r="C19" s="254">
        <v>0</v>
      </c>
      <c r="D19" s="254">
        <v>0</v>
      </c>
      <c r="E19" s="254">
        <v>0</v>
      </c>
      <c r="F19" s="254">
        <f t="shared" si="0"/>
        <v>0</v>
      </c>
      <c r="G19" s="272"/>
      <c r="H19" s="254"/>
      <c r="I19" s="254">
        <v>0</v>
      </c>
      <c r="J19" s="283">
        <v>0</v>
      </c>
      <c r="K19" s="254">
        <f t="shared" si="1"/>
        <v>0</v>
      </c>
      <c r="L19" s="272"/>
      <c r="M19" s="254">
        <f t="shared" si="2"/>
        <v>0</v>
      </c>
      <c r="N19" s="254">
        <v>0</v>
      </c>
      <c r="O19" s="194"/>
    </row>
    <row r="20" spans="1:16" s="196" customFormat="1" ht="12.75" customHeight="1">
      <c r="A20" s="270"/>
      <c r="B20" s="272"/>
      <c r="C20" s="272"/>
      <c r="D20" s="272"/>
      <c r="E20" s="272"/>
      <c r="F20" s="272"/>
      <c r="G20" s="272"/>
      <c r="H20" s="272"/>
      <c r="I20" s="272"/>
      <c r="J20" s="284"/>
      <c r="K20" s="272"/>
      <c r="L20" s="272"/>
      <c r="M20" s="272"/>
      <c r="N20" s="273"/>
      <c r="O20" s="194"/>
      <c r="P20" s="195"/>
    </row>
    <row r="21" spans="1:16" ht="25.5">
      <c r="A21" s="202" t="s">
        <v>771</v>
      </c>
      <c r="B21" s="200">
        <f>SUM(B22:B24)</f>
        <v>49530850</v>
      </c>
      <c r="C21" s="200">
        <f>SUM(C22:C24)</f>
        <v>218000</v>
      </c>
      <c r="D21" s="200">
        <f>SUM(D22:D24)</f>
        <v>0</v>
      </c>
      <c r="E21" s="200">
        <f>SUM(E22:E24)</f>
        <v>14042850</v>
      </c>
      <c r="F21" s="200">
        <f>SUM(F22:F24)</f>
        <v>35706000</v>
      </c>
      <c r="G21" s="200"/>
      <c r="H21" s="200">
        <f>SUM(H22:H24)</f>
        <v>0</v>
      </c>
      <c r="I21" s="200">
        <f>SUM(I22:I24)</f>
        <v>0</v>
      </c>
      <c r="J21" s="200">
        <f>SUM(J22:J24)</f>
        <v>0</v>
      </c>
      <c r="K21" s="200">
        <f>SUM(K22:K24)</f>
        <v>0</v>
      </c>
      <c r="L21" s="200"/>
      <c r="M21" s="200">
        <f>SUM(M22:M24)</f>
        <v>35706000</v>
      </c>
      <c r="N21" s="201">
        <f>SUM(N22:N24)</f>
        <v>0</v>
      </c>
      <c r="O21" s="193"/>
    </row>
    <row r="22" spans="1:16">
      <c r="A22" s="270" t="s">
        <v>1027</v>
      </c>
      <c r="B22" s="274">
        <v>0</v>
      </c>
      <c r="C22" s="274">
        <v>0</v>
      </c>
      <c r="D22" s="274">
        <v>0</v>
      </c>
      <c r="E22" s="274">
        <v>0</v>
      </c>
      <c r="F22" s="274">
        <v>0</v>
      </c>
      <c r="G22" s="272"/>
      <c r="H22" s="274">
        <v>0</v>
      </c>
      <c r="I22" s="274">
        <v>0</v>
      </c>
      <c r="J22" s="281">
        <v>0</v>
      </c>
      <c r="K22" s="274">
        <v>0</v>
      </c>
      <c r="L22" s="272"/>
      <c r="M22" s="274">
        <f>+F22-K22</f>
        <v>0</v>
      </c>
      <c r="N22" s="274">
        <v>0</v>
      </c>
      <c r="O22" s="194"/>
    </row>
    <row r="23" spans="1:16">
      <c r="A23" s="270" t="s">
        <v>1049</v>
      </c>
      <c r="B23" s="250">
        <v>0</v>
      </c>
      <c r="C23" s="250">
        <v>0</v>
      </c>
      <c r="D23" s="250">
        <v>0</v>
      </c>
      <c r="E23" s="250">
        <v>0</v>
      </c>
      <c r="F23" s="250">
        <v>0</v>
      </c>
      <c r="G23" s="272"/>
      <c r="H23" s="250">
        <v>0</v>
      </c>
      <c r="I23" s="250">
        <v>0</v>
      </c>
      <c r="J23" s="282">
        <v>0</v>
      </c>
      <c r="K23" s="250">
        <v>0</v>
      </c>
      <c r="L23" s="272"/>
      <c r="M23" s="250">
        <f>+F23-K23</f>
        <v>0</v>
      </c>
      <c r="N23" s="250">
        <v>0</v>
      </c>
      <c r="O23" s="194"/>
    </row>
    <row r="24" spans="1:16">
      <c r="A24" s="270" t="s">
        <v>2349</v>
      </c>
      <c r="B24" s="254">
        <v>49530850</v>
      </c>
      <c r="C24" s="254">
        <v>218000</v>
      </c>
      <c r="D24" s="254">
        <v>0</v>
      </c>
      <c r="E24" s="254">
        <v>14042850</v>
      </c>
      <c r="F24" s="254">
        <f>+B24+C24+D24-E24</f>
        <v>35706000</v>
      </c>
      <c r="G24" s="272"/>
      <c r="H24" s="254">
        <v>0</v>
      </c>
      <c r="I24" s="254">
        <v>0</v>
      </c>
      <c r="J24" s="283">
        <v>0</v>
      </c>
      <c r="K24" s="254">
        <f>+H24+I24-J24</f>
        <v>0</v>
      </c>
      <c r="L24" s="272"/>
      <c r="M24" s="254">
        <f>+F24-K24</f>
        <v>35706000</v>
      </c>
      <c r="N24" s="254">
        <v>0</v>
      </c>
      <c r="O24" s="194"/>
    </row>
    <row r="25" spans="1:16">
      <c r="A25" s="270"/>
      <c r="B25" s="272" t="s">
        <v>45</v>
      </c>
      <c r="C25" s="272" t="s">
        <v>45</v>
      </c>
      <c r="D25" s="272"/>
      <c r="E25" s="272"/>
      <c r="F25" s="272" t="s">
        <v>45</v>
      </c>
      <c r="G25" s="272"/>
      <c r="H25" s="272"/>
      <c r="I25" s="272" t="s">
        <v>45</v>
      </c>
      <c r="J25" s="284"/>
      <c r="K25" s="272"/>
      <c r="L25" s="272"/>
      <c r="M25" s="272"/>
      <c r="N25" s="273"/>
      <c r="O25" s="197"/>
    </row>
    <row r="26" spans="1:16">
      <c r="A26" s="202" t="s">
        <v>2141</v>
      </c>
      <c r="B26" s="200">
        <f>SUM(B27:B34)</f>
        <v>0</v>
      </c>
      <c r="C26" s="200">
        <f>SUM(C27:C34)</f>
        <v>0</v>
      </c>
      <c r="D26" s="200">
        <f>SUM(D27:D34)</f>
        <v>0</v>
      </c>
      <c r="E26" s="200">
        <f>SUM(E27:E34)</f>
        <v>0</v>
      </c>
      <c r="F26" s="200">
        <f>SUM(F27:F34)</f>
        <v>0</v>
      </c>
      <c r="G26" s="200"/>
      <c r="H26" s="200">
        <f>SUM(H27:H34)</f>
        <v>0</v>
      </c>
      <c r="I26" s="200">
        <f>SUM(I27:I34)</f>
        <v>0</v>
      </c>
      <c r="J26" s="200">
        <f>SUM(J27:J34)</f>
        <v>0</v>
      </c>
      <c r="K26" s="200">
        <f>SUM(K27:K34)</f>
        <v>0</v>
      </c>
      <c r="L26" s="200"/>
      <c r="M26" s="200">
        <f>SUM(M27:M34)</f>
        <v>0</v>
      </c>
      <c r="N26" s="201">
        <f>SUM(N27:N34)</f>
        <v>0</v>
      </c>
      <c r="O26" s="193"/>
    </row>
    <row r="27" spans="1:16">
      <c r="A27" s="270" t="s">
        <v>2406</v>
      </c>
      <c r="B27" s="274">
        <v>0</v>
      </c>
      <c r="C27" s="274">
        <v>0</v>
      </c>
      <c r="D27" s="274">
        <v>0</v>
      </c>
      <c r="E27" s="274">
        <v>0</v>
      </c>
      <c r="F27" s="274">
        <f t="shared" ref="F27:F34" si="3">+B27+C27+D27-E27</f>
        <v>0</v>
      </c>
      <c r="G27" s="272"/>
      <c r="H27" s="274">
        <v>0</v>
      </c>
      <c r="I27" s="274">
        <v>0</v>
      </c>
      <c r="J27" s="281">
        <v>0</v>
      </c>
      <c r="K27" s="274">
        <f t="shared" ref="K27:K34" si="4">+H27+I27-J27</f>
        <v>0</v>
      </c>
      <c r="L27" s="272"/>
      <c r="M27" s="274">
        <f t="shared" ref="M27:M34" si="5">+F27-K27</f>
        <v>0</v>
      </c>
      <c r="N27" s="274">
        <v>0</v>
      </c>
      <c r="O27" s="194"/>
    </row>
    <row r="28" spans="1:16">
      <c r="A28" s="270" t="s">
        <v>2142</v>
      </c>
      <c r="B28" s="250">
        <v>0</v>
      </c>
      <c r="C28" s="250">
        <v>0</v>
      </c>
      <c r="D28" s="250">
        <v>0</v>
      </c>
      <c r="E28" s="250">
        <v>0</v>
      </c>
      <c r="F28" s="250">
        <v>0</v>
      </c>
      <c r="G28" s="272"/>
      <c r="H28" s="250">
        <v>0</v>
      </c>
      <c r="I28" s="250">
        <v>0</v>
      </c>
      <c r="J28" s="282">
        <v>0</v>
      </c>
      <c r="K28" s="250">
        <f>+H28+I28-J28</f>
        <v>0</v>
      </c>
      <c r="L28" s="272"/>
      <c r="M28" s="250">
        <f t="shared" si="5"/>
        <v>0</v>
      </c>
      <c r="N28" s="250">
        <v>0</v>
      </c>
      <c r="O28" s="194"/>
    </row>
    <row r="29" spans="1:16">
      <c r="A29" s="270" t="s">
        <v>2143</v>
      </c>
      <c r="B29" s="250">
        <v>0</v>
      </c>
      <c r="C29" s="250">
        <v>0</v>
      </c>
      <c r="D29" s="250">
        <v>0</v>
      </c>
      <c r="E29" s="250">
        <v>0</v>
      </c>
      <c r="F29" s="250">
        <f t="shared" si="3"/>
        <v>0</v>
      </c>
      <c r="G29" s="272"/>
      <c r="H29" s="250">
        <v>0</v>
      </c>
      <c r="I29" s="250">
        <v>0</v>
      </c>
      <c r="J29" s="282">
        <v>0</v>
      </c>
      <c r="K29" s="250">
        <f t="shared" si="4"/>
        <v>0</v>
      </c>
      <c r="L29" s="272"/>
      <c r="M29" s="250">
        <f t="shared" si="5"/>
        <v>0</v>
      </c>
      <c r="N29" s="250">
        <v>0</v>
      </c>
      <c r="O29" s="194"/>
    </row>
    <row r="30" spans="1:16">
      <c r="A30" s="270" t="s">
        <v>1025</v>
      </c>
      <c r="B30" s="250">
        <v>0</v>
      </c>
      <c r="C30" s="250">
        <v>0</v>
      </c>
      <c r="D30" s="250">
        <v>0</v>
      </c>
      <c r="E30" s="250">
        <v>0</v>
      </c>
      <c r="F30" s="250">
        <f t="shared" si="3"/>
        <v>0</v>
      </c>
      <c r="G30" s="272"/>
      <c r="H30" s="250">
        <v>0</v>
      </c>
      <c r="I30" s="250">
        <v>0</v>
      </c>
      <c r="J30" s="282">
        <v>0</v>
      </c>
      <c r="K30" s="250">
        <f t="shared" si="4"/>
        <v>0</v>
      </c>
      <c r="L30" s="272"/>
      <c r="M30" s="250">
        <f t="shared" si="5"/>
        <v>0</v>
      </c>
      <c r="N30" s="250">
        <v>0</v>
      </c>
      <c r="O30" s="194"/>
    </row>
    <row r="31" spans="1:16" ht="25.5">
      <c r="A31" s="270" t="s">
        <v>1026</v>
      </c>
      <c r="B31" s="250">
        <v>0</v>
      </c>
      <c r="C31" s="250">
        <v>0</v>
      </c>
      <c r="D31" s="250">
        <v>0</v>
      </c>
      <c r="E31" s="250">
        <v>0</v>
      </c>
      <c r="F31" s="250">
        <f t="shared" si="3"/>
        <v>0</v>
      </c>
      <c r="G31" s="272"/>
      <c r="H31" s="250">
        <v>0</v>
      </c>
      <c r="I31" s="250">
        <v>0</v>
      </c>
      <c r="J31" s="282">
        <v>0</v>
      </c>
      <c r="K31" s="250">
        <f t="shared" si="4"/>
        <v>0</v>
      </c>
      <c r="L31" s="272"/>
      <c r="M31" s="250">
        <f>+F31-K31</f>
        <v>0</v>
      </c>
      <c r="N31" s="250">
        <v>0</v>
      </c>
      <c r="O31" s="194"/>
    </row>
    <row r="32" spans="1:16">
      <c r="A32" s="270" t="s">
        <v>1051</v>
      </c>
      <c r="B32" s="250">
        <v>0</v>
      </c>
      <c r="C32" s="250">
        <v>0</v>
      </c>
      <c r="D32" s="250">
        <v>0</v>
      </c>
      <c r="E32" s="250">
        <v>0</v>
      </c>
      <c r="F32" s="250">
        <f t="shared" si="3"/>
        <v>0</v>
      </c>
      <c r="G32" s="272"/>
      <c r="H32" s="250">
        <v>0</v>
      </c>
      <c r="I32" s="250">
        <v>0</v>
      </c>
      <c r="J32" s="282">
        <v>0</v>
      </c>
      <c r="K32" s="250">
        <f t="shared" si="4"/>
        <v>0</v>
      </c>
      <c r="L32" s="272"/>
      <c r="M32" s="250">
        <f t="shared" si="5"/>
        <v>0</v>
      </c>
      <c r="N32" s="250">
        <v>0</v>
      </c>
      <c r="O32" s="194"/>
    </row>
    <row r="33" spans="1:15" ht="25.5">
      <c r="A33" s="270" t="s">
        <v>1028</v>
      </c>
      <c r="B33" s="250">
        <v>0</v>
      </c>
      <c r="C33" s="250">
        <v>0</v>
      </c>
      <c r="D33" s="250">
        <v>0</v>
      </c>
      <c r="E33" s="250">
        <v>0</v>
      </c>
      <c r="F33" s="250">
        <f t="shared" si="3"/>
        <v>0</v>
      </c>
      <c r="G33" s="272"/>
      <c r="H33" s="250">
        <v>0</v>
      </c>
      <c r="I33" s="250">
        <v>0</v>
      </c>
      <c r="J33" s="282">
        <v>0</v>
      </c>
      <c r="K33" s="250">
        <f t="shared" si="4"/>
        <v>0</v>
      </c>
      <c r="L33" s="272"/>
      <c r="M33" s="250">
        <f t="shared" si="5"/>
        <v>0</v>
      </c>
      <c r="N33" s="250">
        <v>0</v>
      </c>
      <c r="O33" s="194"/>
    </row>
    <row r="34" spans="1:15">
      <c r="A34" s="270" t="s">
        <v>1029</v>
      </c>
      <c r="B34" s="254">
        <v>0</v>
      </c>
      <c r="C34" s="254">
        <v>0</v>
      </c>
      <c r="D34" s="254">
        <v>0</v>
      </c>
      <c r="E34" s="254">
        <v>0</v>
      </c>
      <c r="F34" s="254">
        <f t="shared" si="3"/>
        <v>0</v>
      </c>
      <c r="G34" s="272"/>
      <c r="H34" s="254">
        <v>0</v>
      </c>
      <c r="I34" s="254">
        <v>0</v>
      </c>
      <c r="J34" s="283">
        <v>0</v>
      </c>
      <c r="K34" s="254">
        <f t="shared" si="4"/>
        <v>0</v>
      </c>
      <c r="L34" s="272"/>
      <c r="M34" s="254">
        <f t="shared" si="5"/>
        <v>0</v>
      </c>
      <c r="N34" s="254">
        <v>0</v>
      </c>
      <c r="O34" s="194"/>
    </row>
    <row r="35" spans="1:15">
      <c r="A35" s="270"/>
      <c r="B35" s="272"/>
      <c r="C35" s="272"/>
      <c r="D35" s="272"/>
      <c r="E35" s="272"/>
      <c r="F35" s="272"/>
      <c r="G35" s="272"/>
      <c r="H35" s="272"/>
      <c r="I35" s="272"/>
      <c r="J35" s="284"/>
      <c r="K35" s="272"/>
      <c r="L35" s="272"/>
      <c r="M35" s="272"/>
      <c r="N35" s="273"/>
      <c r="O35" s="197"/>
    </row>
    <row r="36" spans="1:15">
      <c r="A36" s="202" t="s">
        <v>2145</v>
      </c>
      <c r="B36" s="200">
        <f>B26+B21+B8</f>
        <v>49530850</v>
      </c>
      <c r="C36" s="200">
        <f>C26+C21+C8</f>
        <v>218000</v>
      </c>
      <c r="D36" s="200">
        <f>D26+D21+D8</f>
        <v>0</v>
      </c>
      <c r="E36" s="200">
        <f>E26+E21+E8</f>
        <v>14042850</v>
      </c>
      <c r="F36" s="200">
        <f>F26+F21+F8</f>
        <v>35706000</v>
      </c>
      <c r="G36" s="200"/>
      <c r="H36" s="200">
        <f>H26+H21+H8</f>
        <v>0</v>
      </c>
      <c r="I36" s="200">
        <f>I26+I21+I8</f>
        <v>0</v>
      </c>
      <c r="J36" s="200">
        <f>J26+J21+J8</f>
        <v>0</v>
      </c>
      <c r="K36" s="200">
        <f>K26+K21+K8</f>
        <v>0</v>
      </c>
      <c r="L36" s="200"/>
      <c r="M36" s="200">
        <f>M26+M21+M8</f>
        <v>35706000</v>
      </c>
      <c r="N36" s="201">
        <f>N26+N21+N8</f>
        <v>0</v>
      </c>
      <c r="O36" s="193"/>
    </row>
    <row r="37" spans="1:15">
      <c r="A37" s="208"/>
      <c r="B37" s="607"/>
      <c r="C37" s="607"/>
      <c r="D37" s="607"/>
      <c r="E37" s="607"/>
      <c r="F37" s="607"/>
      <c r="G37" s="607"/>
      <c r="H37" s="607"/>
      <c r="I37" s="1918"/>
      <c r="J37" s="1918"/>
      <c r="K37" s="607"/>
      <c r="L37" s="607"/>
      <c r="M37" s="607"/>
      <c r="N37" s="205"/>
      <c r="O37" s="198"/>
    </row>
    <row r="38" spans="1:15">
      <c r="A38" s="218"/>
      <c r="B38" s="275"/>
      <c r="C38" s="272"/>
      <c r="D38" s="272"/>
      <c r="E38" s="272"/>
      <c r="F38" s="272"/>
      <c r="G38" s="272"/>
      <c r="H38" s="272"/>
      <c r="I38" s="272"/>
      <c r="J38" s="272"/>
      <c r="K38" s="272"/>
      <c r="L38" s="272"/>
      <c r="M38" s="272"/>
      <c r="N38" s="285"/>
    </row>
    <row r="39" spans="1:15">
      <c r="A39" s="218"/>
      <c r="B39" s="214"/>
    </row>
    <row r="40" spans="1:15">
      <c r="A40" s="218"/>
      <c r="B40" s="214"/>
    </row>
    <row r="41" spans="1:15">
      <c r="A41" s="218"/>
      <c r="B41" s="214"/>
    </row>
    <row r="42" spans="1:15">
      <c r="A42" s="218"/>
      <c r="B42" s="214"/>
    </row>
    <row r="43" spans="1:15">
      <c r="A43" s="218"/>
      <c r="B43" s="214"/>
      <c r="I43" s="276"/>
    </row>
    <row r="44" spans="1:15">
      <c r="A44" s="218"/>
      <c r="B44" s="214"/>
      <c r="I44" s="276"/>
    </row>
    <row r="45" spans="1:15">
      <c r="A45" s="218"/>
      <c r="B45" s="214"/>
      <c r="I45" s="276"/>
    </row>
    <row r="46" spans="1:15">
      <c r="A46" s="218"/>
      <c r="B46" s="214"/>
    </row>
    <row r="47" spans="1:15">
      <c r="A47" s="218"/>
      <c r="B47" s="214"/>
      <c r="I47" s="276"/>
    </row>
    <row r="48" spans="1:15">
      <c r="A48" s="218"/>
      <c r="B48" s="214"/>
      <c r="I48" s="276"/>
    </row>
    <row r="49" spans="1:9">
      <c r="A49" s="218"/>
      <c r="B49" s="214"/>
      <c r="I49" s="276"/>
    </row>
    <row r="50" spans="1:9">
      <c r="A50" s="218"/>
      <c r="B50" s="214"/>
    </row>
    <row r="51" spans="1:9">
      <c r="A51" s="218"/>
      <c r="B51" s="214"/>
    </row>
    <row r="52" spans="1:9">
      <c r="A52" s="218"/>
      <c r="B52" s="214"/>
    </row>
    <row r="53" spans="1:9">
      <c r="A53" s="218"/>
      <c r="B53" s="214"/>
    </row>
    <row r="54" spans="1:9">
      <c r="A54" s="218"/>
      <c r="B54" s="214"/>
    </row>
    <row r="55" spans="1:9">
      <c r="A55" s="218"/>
      <c r="B55" s="214"/>
    </row>
    <row r="56" spans="1:9">
      <c r="A56" s="218"/>
      <c r="B56" s="214"/>
    </row>
    <row r="57" spans="1:9">
      <c r="A57" s="218"/>
      <c r="B57" s="214"/>
    </row>
    <row r="58" spans="1:9">
      <c r="A58" s="218"/>
      <c r="B58" s="214"/>
    </row>
    <row r="59" spans="1:9">
      <c r="A59" s="218"/>
      <c r="B59" s="214"/>
      <c r="H59" s="214"/>
      <c r="I59" s="214"/>
    </row>
    <row r="60" spans="1:9">
      <c r="A60" s="218"/>
      <c r="B60" s="214"/>
      <c r="H60" s="214"/>
      <c r="I60" s="214"/>
    </row>
    <row r="61" spans="1:9">
      <c r="A61" s="218"/>
      <c r="B61" s="214"/>
      <c r="H61" s="214"/>
      <c r="I61" s="214"/>
    </row>
    <row r="62" spans="1:9">
      <c r="A62" s="218"/>
      <c r="B62" s="214"/>
      <c r="H62" s="214"/>
      <c r="I62" s="214"/>
    </row>
    <row r="63" spans="1:9">
      <c r="A63" s="218"/>
      <c r="B63" s="214"/>
      <c r="H63" s="214"/>
      <c r="I63" s="214"/>
    </row>
    <row r="64" spans="1:9">
      <c r="A64" s="218"/>
      <c r="B64" s="214"/>
      <c r="H64" s="214"/>
      <c r="I64" s="214"/>
    </row>
    <row r="65" spans="1:9">
      <c r="A65" s="218"/>
      <c r="B65" s="214"/>
      <c r="H65" s="214"/>
      <c r="I65" s="214"/>
    </row>
    <row r="66" spans="1:9">
      <c r="A66" s="218"/>
      <c r="B66" s="214"/>
    </row>
    <row r="67" spans="1:9">
      <c r="A67" s="218"/>
      <c r="B67" s="214"/>
    </row>
    <row r="68" spans="1:9">
      <c r="A68" s="218"/>
      <c r="B68" s="214"/>
    </row>
    <row r="69" spans="1:9">
      <c r="A69" s="218"/>
      <c r="B69" s="214"/>
    </row>
    <row r="70" spans="1:9">
      <c r="A70" s="218"/>
      <c r="B70" s="214"/>
    </row>
    <row r="71" spans="1:9">
      <c r="A71" s="218"/>
      <c r="B71" s="214"/>
    </row>
    <row r="72" spans="1:9">
      <c r="A72" s="218"/>
      <c r="B72" s="214"/>
    </row>
    <row r="73" spans="1:9">
      <c r="A73" s="218"/>
      <c r="B73" s="214"/>
    </row>
    <row r="74" spans="1:9">
      <c r="A74" s="218"/>
      <c r="B74" s="214"/>
    </row>
    <row r="75" spans="1:9">
      <c r="A75" s="218"/>
      <c r="B75" s="214"/>
    </row>
    <row r="76" spans="1:9">
      <c r="A76" s="218"/>
      <c r="B76" s="214"/>
    </row>
    <row r="77" spans="1:9">
      <c r="A77" s="218"/>
      <c r="B77" s="214"/>
    </row>
    <row r="78" spans="1:9">
      <c r="A78" s="218"/>
      <c r="B78" s="214"/>
    </row>
    <row r="79" spans="1:9">
      <c r="A79" s="218"/>
      <c r="B79" s="214"/>
    </row>
    <row r="80" spans="1:9">
      <c r="A80" s="218"/>
      <c r="B80" s="214"/>
    </row>
    <row r="81" spans="1:2">
      <c r="A81" s="218"/>
      <c r="B81" s="214"/>
    </row>
    <row r="82" spans="1:2">
      <c r="A82" s="218"/>
      <c r="B82" s="214"/>
    </row>
    <row r="83" spans="1:2">
      <c r="A83" s="218"/>
      <c r="B83" s="214"/>
    </row>
    <row r="84" spans="1:2">
      <c r="A84" s="218"/>
      <c r="B84" s="214"/>
    </row>
    <row r="85" spans="1:2">
      <c r="A85" s="218"/>
      <c r="B85" s="214"/>
    </row>
    <row r="86" spans="1:2">
      <c r="A86" s="218"/>
      <c r="B86" s="214"/>
    </row>
    <row r="87" spans="1:2">
      <c r="A87" s="218"/>
      <c r="B87" s="214"/>
    </row>
    <row r="88" spans="1:2">
      <c r="A88" s="218"/>
      <c r="B88" s="214"/>
    </row>
    <row r="89" spans="1:2">
      <c r="A89" s="218"/>
      <c r="B89" s="214"/>
    </row>
    <row r="90" spans="1:2">
      <c r="A90" s="218"/>
      <c r="B90" s="214"/>
    </row>
    <row r="91" spans="1:2">
      <c r="A91" s="218"/>
      <c r="B91" s="214"/>
    </row>
    <row r="92" spans="1:2">
      <c r="A92" s="218"/>
      <c r="B92" s="214"/>
    </row>
    <row r="93" spans="1:2">
      <c r="A93" s="218"/>
      <c r="B93" s="214"/>
    </row>
    <row r="94" spans="1:2">
      <c r="A94" s="218"/>
      <c r="B94" s="214"/>
    </row>
    <row r="95" spans="1:2">
      <c r="A95" s="218"/>
      <c r="B95" s="214"/>
    </row>
    <row r="96" spans="1:2">
      <c r="A96" s="218"/>
      <c r="B96" s="214"/>
    </row>
    <row r="97" spans="1:2">
      <c r="A97" s="218"/>
      <c r="B97" s="214"/>
    </row>
    <row r="98" spans="1:2">
      <c r="A98" s="218"/>
      <c r="B98" s="214"/>
    </row>
    <row r="99" spans="1:2">
      <c r="A99" s="218"/>
      <c r="B99" s="214"/>
    </row>
    <row r="100" spans="1:2">
      <c r="A100" s="218"/>
      <c r="B100" s="214"/>
    </row>
    <row r="101" spans="1:2">
      <c r="A101" s="218"/>
      <c r="B101" s="214"/>
    </row>
    <row r="102" spans="1:2">
      <c r="A102" s="218"/>
      <c r="B102" s="214"/>
    </row>
    <row r="103" spans="1:2">
      <c r="A103" s="218"/>
      <c r="B103" s="214"/>
    </row>
    <row r="104" spans="1:2">
      <c r="A104" s="218"/>
      <c r="B104" s="214"/>
    </row>
    <row r="105" spans="1:2">
      <c r="A105" s="218"/>
      <c r="B105" s="214"/>
    </row>
    <row r="106" spans="1:2">
      <c r="A106" s="218"/>
      <c r="B106" s="214"/>
    </row>
    <row r="107" spans="1:2">
      <c r="A107" s="218"/>
      <c r="B107" s="214"/>
    </row>
    <row r="108" spans="1:2">
      <c r="A108" s="218"/>
      <c r="B108" s="214"/>
    </row>
    <row r="109" spans="1:2">
      <c r="A109" s="218"/>
      <c r="B109" s="214"/>
    </row>
    <row r="110" spans="1:2">
      <c r="A110" s="218"/>
      <c r="B110" s="214"/>
    </row>
    <row r="111" spans="1:2">
      <c r="A111" s="218"/>
      <c r="B111" s="214"/>
    </row>
    <row r="112" spans="1:2">
      <c r="A112" s="218"/>
      <c r="B112" s="214"/>
    </row>
    <row r="113" spans="1:2">
      <c r="A113" s="218"/>
      <c r="B113" s="214"/>
    </row>
    <row r="114" spans="1:2">
      <c r="A114" s="218"/>
      <c r="B114" s="214"/>
    </row>
    <row r="115" spans="1:2">
      <c r="A115" s="218"/>
      <c r="B115" s="214"/>
    </row>
    <row r="116" spans="1:2">
      <c r="A116" s="218"/>
      <c r="B116" s="214"/>
    </row>
    <row r="117" spans="1:2">
      <c r="A117" s="218"/>
      <c r="B117" s="214"/>
    </row>
    <row r="118" spans="1:2">
      <c r="A118" s="218"/>
      <c r="B118" s="214"/>
    </row>
    <row r="119" spans="1:2">
      <c r="A119" s="218"/>
      <c r="B119" s="214"/>
    </row>
    <row r="120" spans="1:2">
      <c r="A120" s="218"/>
      <c r="B120" s="214"/>
    </row>
    <row r="121" spans="1:2">
      <c r="A121" s="218"/>
      <c r="B121" s="214"/>
    </row>
    <row r="122" spans="1:2">
      <c r="A122" s="218"/>
      <c r="B122" s="214"/>
    </row>
    <row r="123" spans="1:2">
      <c r="A123" s="218"/>
      <c r="B123" s="214"/>
    </row>
    <row r="124" spans="1:2">
      <c r="A124" s="218"/>
      <c r="B124" s="214"/>
    </row>
    <row r="125" spans="1:2">
      <c r="A125" s="218"/>
      <c r="B125" s="214"/>
    </row>
    <row r="126" spans="1:2">
      <c r="A126" s="218"/>
      <c r="B126" s="214"/>
    </row>
    <row r="127" spans="1:2">
      <c r="A127" s="218"/>
      <c r="B127" s="214"/>
    </row>
    <row r="128" spans="1:2">
      <c r="A128" s="218"/>
      <c r="B128" s="214"/>
    </row>
    <row r="129" spans="1:2">
      <c r="A129" s="218"/>
      <c r="B129" s="214"/>
    </row>
    <row r="130" spans="1:2">
      <c r="A130" s="218"/>
      <c r="B130" s="214"/>
    </row>
    <row r="131" spans="1:2">
      <c r="A131" s="218"/>
      <c r="B131" s="214"/>
    </row>
    <row r="132" spans="1:2">
      <c r="A132" s="218"/>
      <c r="B132" s="214"/>
    </row>
    <row r="133" spans="1:2">
      <c r="A133" s="218"/>
      <c r="B133" s="214"/>
    </row>
    <row r="134" spans="1:2">
      <c r="A134" s="218"/>
      <c r="B134" s="214"/>
    </row>
    <row r="135" spans="1:2">
      <c r="A135" s="218"/>
      <c r="B135" s="214"/>
    </row>
    <row r="136" spans="1:2">
      <c r="A136" s="218"/>
      <c r="B136" s="214"/>
    </row>
    <row r="137" spans="1:2">
      <c r="A137" s="218"/>
      <c r="B137" s="214"/>
    </row>
    <row r="138" spans="1:2">
      <c r="A138" s="218"/>
      <c r="B138" s="214"/>
    </row>
    <row r="139" spans="1:2">
      <c r="A139" s="218"/>
      <c r="B139" s="214"/>
    </row>
    <row r="140" spans="1:2">
      <c r="A140" s="218"/>
      <c r="B140" s="214"/>
    </row>
    <row r="141" spans="1:2">
      <c r="A141" s="218"/>
      <c r="B141" s="214"/>
    </row>
    <row r="142" spans="1:2">
      <c r="A142" s="218"/>
      <c r="B142" s="214"/>
    </row>
    <row r="143" spans="1:2">
      <c r="A143" s="218"/>
      <c r="B143" s="214"/>
    </row>
    <row r="144" spans="1:2">
      <c r="A144" s="218"/>
      <c r="B144" s="214"/>
    </row>
    <row r="145" spans="1:2">
      <c r="A145" s="218"/>
      <c r="B145" s="214"/>
    </row>
    <row r="146" spans="1:2">
      <c r="A146" s="218"/>
      <c r="B146" s="214"/>
    </row>
    <row r="147" spans="1:2">
      <c r="A147" s="218"/>
      <c r="B147" s="214"/>
    </row>
    <row r="148" spans="1:2">
      <c r="A148" s="218"/>
      <c r="B148" s="214"/>
    </row>
    <row r="149" spans="1:2">
      <c r="A149" s="218"/>
      <c r="B149" s="214"/>
    </row>
    <row r="150" spans="1:2">
      <c r="A150" s="218"/>
      <c r="B150" s="214"/>
    </row>
    <row r="151" spans="1:2">
      <c r="A151" s="218"/>
      <c r="B151" s="214"/>
    </row>
    <row r="152" spans="1:2">
      <c r="A152" s="218"/>
      <c r="B152" s="214"/>
    </row>
    <row r="153" spans="1:2">
      <c r="A153" s="218"/>
      <c r="B153" s="214"/>
    </row>
    <row r="154" spans="1:2">
      <c r="A154" s="218"/>
      <c r="B154" s="214"/>
    </row>
    <row r="155" spans="1:2">
      <c r="A155" s="218"/>
      <c r="B155" s="214"/>
    </row>
    <row r="156" spans="1:2">
      <c r="A156" s="218"/>
      <c r="B156" s="214"/>
    </row>
    <row r="157" spans="1:2">
      <c r="A157" s="218"/>
      <c r="B157" s="214"/>
    </row>
    <row r="158" spans="1:2">
      <c r="A158" s="218"/>
      <c r="B158" s="214"/>
    </row>
    <row r="159" spans="1:2">
      <c r="A159" s="218"/>
      <c r="B159" s="214"/>
    </row>
    <row r="160" spans="1:2">
      <c r="A160" s="218"/>
      <c r="B160" s="214"/>
    </row>
    <row r="161" spans="1:2">
      <c r="A161" s="218"/>
      <c r="B161" s="214"/>
    </row>
    <row r="162" spans="1:2">
      <c r="A162" s="218"/>
      <c r="B162" s="214"/>
    </row>
    <row r="163" spans="1:2">
      <c r="A163" s="218"/>
      <c r="B163" s="214"/>
    </row>
    <row r="164" spans="1:2">
      <c r="A164" s="218"/>
      <c r="B164" s="214"/>
    </row>
    <row r="165" spans="1:2">
      <c r="A165" s="218"/>
      <c r="B165" s="214"/>
    </row>
    <row r="166" spans="1:2">
      <c r="A166" s="218"/>
      <c r="B166" s="214"/>
    </row>
    <row r="167" spans="1:2">
      <c r="A167" s="218"/>
      <c r="B167" s="214"/>
    </row>
    <row r="168" spans="1:2">
      <c r="A168" s="218"/>
      <c r="B168" s="214"/>
    </row>
    <row r="169" spans="1:2">
      <c r="A169" s="218"/>
      <c r="B169" s="214"/>
    </row>
    <row r="170" spans="1:2">
      <c r="A170" s="218"/>
      <c r="B170" s="214"/>
    </row>
    <row r="171" spans="1:2">
      <c r="A171" s="218"/>
      <c r="B171" s="214"/>
    </row>
    <row r="172" spans="1:2">
      <c r="A172" s="218"/>
      <c r="B172" s="214"/>
    </row>
    <row r="173" spans="1:2">
      <c r="A173" s="218"/>
      <c r="B173" s="214"/>
    </row>
    <row r="174" spans="1:2">
      <c r="A174" s="218"/>
      <c r="B174" s="214"/>
    </row>
    <row r="175" spans="1:2">
      <c r="A175" s="218"/>
      <c r="B175" s="214"/>
    </row>
    <row r="176" spans="1:2">
      <c r="A176" s="218"/>
      <c r="B176" s="214"/>
    </row>
    <row r="177" spans="1:2">
      <c r="A177" s="218"/>
      <c r="B177" s="214"/>
    </row>
    <row r="178" spans="1:2">
      <c r="A178" s="218"/>
      <c r="B178" s="214"/>
    </row>
    <row r="179" spans="1:2">
      <c r="A179" s="218"/>
      <c r="B179" s="214"/>
    </row>
    <row r="180" spans="1:2">
      <c r="A180" s="218"/>
      <c r="B180" s="214"/>
    </row>
    <row r="181" spans="1:2">
      <c r="A181" s="218"/>
      <c r="B181" s="214"/>
    </row>
    <row r="182" spans="1:2">
      <c r="A182" s="218"/>
      <c r="B182" s="214"/>
    </row>
    <row r="183" spans="1:2">
      <c r="A183" s="218"/>
      <c r="B183" s="214"/>
    </row>
    <row r="184" spans="1:2">
      <c r="A184" s="218"/>
      <c r="B184" s="214"/>
    </row>
    <row r="185" spans="1:2">
      <c r="A185" s="218"/>
      <c r="B185" s="214"/>
    </row>
    <row r="186" spans="1:2">
      <c r="A186" s="218"/>
      <c r="B186" s="214"/>
    </row>
    <row r="187" spans="1:2">
      <c r="A187" s="218"/>
      <c r="B187" s="214"/>
    </row>
    <row r="188" spans="1:2">
      <c r="A188" s="218"/>
      <c r="B188" s="214"/>
    </row>
    <row r="189" spans="1:2">
      <c r="A189" s="218"/>
      <c r="B189" s="214"/>
    </row>
    <row r="190" spans="1:2">
      <c r="A190" s="218"/>
      <c r="B190" s="214"/>
    </row>
    <row r="191" spans="1:2">
      <c r="A191" s="218"/>
      <c r="B191" s="214"/>
    </row>
    <row r="192" spans="1:2">
      <c r="A192" s="218"/>
      <c r="B192" s="214"/>
    </row>
    <row r="193" spans="1:2">
      <c r="A193" s="218"/>
      <c r="B193" s="214"/>
    </row>
    <row r="194" spans="1:2">
      <c r="A194" s="218"/>
      <c r="B194" s="214"/>
    </row>
    <row r="195" spans="1:2">
      <c r="A195" s="218"/>
      <c r="B195" s="214"/>
    </row>
    <row r="196" spans="1:2">
      <c r="A196" s="218"/>
      <c r="B196" s="214"/>
    </row>
    <row r="197" spans="1:2">
      <c r="A197" s="218"/>
      <c r="B197" s="214"/>
    </row>
    <row r="198" spans="1:2">
      <c r="A198" s="218"/>
      <c r="B198" s="214"/>
    </row>
    <row r="199" spans="1:2">
      <c r="A199" s="218"/>
      <c r="B199" s="214"/>
    </row>
    <row r="200" spans="1:2">
      <c r="A200" s="218"/>
      <c r="B200" s="214"/>
    </row>
    <row r="201" spans="1:2">
      <c r="A201" s="218"/>
      <c r="B201" s="214"/>
    </row>
    <row r="202" spans="1:2">
      <c r="A202" s="218"/>
      <c r="B202" s="214"/>
    </row>
    <row r="203" spans="1:2">
      <c r="A203" s="218"/>
      <c r="B203" s="214"/>
    </row>
    <row r="204" spans="1:2">
      <c r="A204" s="218"/>
      <c r="B204" s="214"/>
    </row>
    <row r="205" spans="1:2">
      <c r="A205" s="218"/>
      <c r="B205" s="214"/>
    </row>
    <row r="206" spans="1:2">
      <c r="A206" s="218"/>
      <c r="B206" s="214"/>
    </row>
    <row r="207" spans="1:2">
      <c r="A207" s="218"/>
      <c r="B207" s="214"/>
    </row>
    <row r="208" spans="1:2">
      <c r="A208" s="218"/>
      <c r="B208" s="214"/>
    </row>
    <row r="209" spans="1:2">
      <c r="A209" s="218"/>
      <c r="B209" s="214"/>
    </row>
    <row r="210" spans="1:2">
      <c r="A210" s="218"/>
      <c r="B210" s="214"/>
    </row>
    <row r="211" spans="1:2">
      <c r="A211" s="218"/>
      <c r="B211" s="214"/>
    </row>
    <row r="212" spans="1:2">
      <c r="A212" s="218"/>
      <c r="B212" s="214"/>
    </row>
    <row r="213" spans="1:2">
      <c r="A213" s="218"/>
      <c r="B213" s="214"/>
    </row>
    <row r="214" spans="1:2">
      <c r="A214" s="218"/>
      <c r="B214" s="214"/>
    </row>
    <row r="215" spans="1:2">
      <c r="A215" s="218"/>
      <c r="B215" s="214"/>
    </row>
    <row r="216" spans="1:2">
      <c r="A216" s="218"/>
      <c r="B216" s="214"/>
    </row>
    <row r="217" spans="1:2">
      <c r="A217" s="218"/>
      <c r="B217" s="214"/>
    </row>
    <row r="218" spans="1:2">
      <c r="A218" s="218"/>
      <c r="B218" s="214"/>
    </row>
    <row r="219" spans="1:2">
      <c r="A219" s="218"/>
      <c r="B219" s="214"/>
    </row>
    <row r="220" spans="1:2">
      <c r="A220" s="218"/>
      <c r="B220" s="214"/>
    </row>
    <row r="221" spans="1:2">
      <c r="A221" s="218"/>
      <c r="B221" s="214"/>
    </row>
    <row r="222" spans="1:2">
      <c r="A222" s="218"/>
      <c r="B222" s="214"/>
    </row>
    <row r="223" spans="1:2">
      <c r="A223" s="218"/>
      <c r="B223" s="214"/>
    </row>
    <row r="224" spans="1:2">
      <c r="A224" s="218"/>
      <c r="B224" s="214"/>
    </row>
    <row r="225" spans="1:2">
      <c r="A225" s="218"/>
      <c r="B225" s="214"/>
    </row>
    <row r="226" spans="1:2">
      <c r="A226" s="218"/>
      <c r="B226" s="214"/>
    </row>
    <row r="227" spans="1:2">
      <c r="A227" s="218"/>
      <c r="B227" s="214"/>
    </row>
    <row r="228" spans="1:2">
      <c r="A228" s="218"/>
      <c r="B228" s="214"/>
    </row>
    <row r="229" spans="1:2">
      <c r="A229" s="218"/>
      <c r="B229" s="214"/>
    </row>
    <row r="230" spans="1:2">
      <c r="A230" s="218"/>
      <c r="B230" s="214"/>
    </row>
    <row r="231" spans="1:2">
      <c r="A231" s="218"/>
      <c r="B231" s="214"/>
    </row>
    <row r="232" spans="1:2">
      <c r="A232" s="218"/>
      <c r="B232" s="214"/>
    </row>
    <row r="233" spans="1:2">
      <c r="A233" s="218"/>
      <c r="B233" s="214"/>
    </row>
    <row r="234" spans="1:2">
      <c r="A234" s="218"/>
      <c r="B234" s="214"/>
    </row>
    <row r="235" spans="1:2">
      <c r="A235" s="218"/>
      <c r="B235" s="214"/>
    </row>
    <row r="236" spans="1:2">
      <c r="A236" s="218"/>
      <c r="B236" s="214"/>
    </row>
    <row r="237" spans="1:2">
      <c r="A237" s="218"/>
      <c r="B237" s="214"/>
    </row>
    <row r="238" spans="1:2">
      <c r="A238" s="218"/>
      <c r="B238" s="214"/>
    </row>
    <row r="239" spans="1:2">
      <c r="A239" s="218"/>
      <c r="B239" s="214"/>
    </row>
    <row r="240" spans="1:2">
      <c r="A240" s="218"/>
      <c r="B240" s="214"/>
    </row>
    <row r="241" spans="1:2">
      <c r="A241" s="218"/>
      <c r="B241" s="214"/>
    </row>
    <row r="242" spans="1:2">
      <c r="A242" s="218"/>
      <c r="B242" s="214"/>
    </row>
    <row r="243" spans="1:2">
      <c r="A243" s="218"/>
      <c r="B243" s="214"/>
    </row>
    <row r="244" spans="1:2">
      <c r="A244" s="218"/>
      <c r="B244" s="214"/>
    </row>
    <row r="245" spans="1:2">
      <c r="A245" s="218"/>
      <c r="B245" s="214"/>
    </row>
    <row r="246" spans="1:2">
      <c r="A246" s="218"/>
      <c r="B246" s="214"/>
    </row>
    <row r="247" spans="1:2">
      <c r="A247" s="218"/>
      <c r="B247" s="214"/>
    </row>
    <row r="248" spans="1:2">
      <c r="A248" s="218"/>
      <c r="B248" s="214"/>
    </row>
    <row r="249" spans="1:2">
      <c r="A249" s="218"/>
      <c r="B249" s="214"/>
    </row>
    <row r="250" spans="1:2">
      <c r="A250" s="218"/>
      <c r="B250" s="214"/>
    </row>
    <row r="251" spans="1:2">
      <c r="A251" s="218"/>
      <c r="B251" s="214"/>
    </row>
    <row r="252" spans="1:2">
      <c r="A252" s="218"/>
      <c r="B252" s="214"/>
    </row>
    <row r="253" spans="1:2">
      <c r="A253" s="218"/>
      <c r="B253" s="214"/>
    </row>
    <row r="254" spans="1:2">
      <c r="A254" s="218"/>
      <c r="B254" s="214"/>
    </row>
    <row r="255" spans="1:2">
      <c r="A255" s="218"/>
      <c r="B255" s="214"/>
    </row>
    <row r="256" spans="1:2">
      <c r="A256" s="218"/>
      <c r="B256" s="214"/>
    </row>
    <row r="257" spans="1:2">
      <c r="A257" s="218"/>
      <c r="B257" s="214"/>
    </row>
    <row r="258" spans="1:2">
      <c r="A258" s="218"/>
      <c r="B258" s="214"/>
    </row>
    <row r="259" spans="1:2">
      <c r="A259" s="218"/>
      <c r="B259" s="214"/>
    </row>
    <row r="260" spans="1:2">
      <c r="A260" s="218"/>
      <c r="B260" s="214"/>
    </row>
    <row r="261" spans="1:2">
      <c r="A261" s="218"/>
      <c r="B261" s="214"/>
    </row>
    <row r="262" spans="1:2">
      <c r="A262" s="218"/>
      <c r="B262" s="214"/>
    </row>
    <row r="263" spans="1:2">
      <c r="A263" s="218"/>
      <c r="B263" s="214"/>
    </row>
    <row r="264" spans="1:2">
      <c r="A264" s="218"/>
      <c r="B264" s="214"/>
    </row>
    <row r="265" spans="1:2">
      <c r="A265" s="218"/>
      <c r="B265" s="214"/>
    </row>
    <row r="266" spans="1:2">
      <c r="A266" s="218"/>
      <c r="B266" s="214"/>
    </row>
    <row r="267" spans="1:2">
      <c r="A267" s="218"/>
      <c r="B267" s="214"/>
    </row>
    <row r="268" spans="1:2">
      <c r="A268" s="218"/>
      <c r="B268" s="214"/>
    </row>
    <row r="269" spans="1:2">
      <c r="A269" s="218"/>
      <c r="B269" s="214"/>
    </row>
    <row r="270" spans="1:2">
      <c r="A270" s="218"/>
      <c r="B270" s="214"/>
    </row>
    <row r="271" spans="1:2">
      <c r="A271" s="218"/>
      <c r="B271" s="214"/>
    </row>
    <row r="272" spans="1:2">
      <c r="A272" s="218"/>
      <c r="B272" s="214"/>
    </row>
    <row r="273" spans="1:2">
      <c r="A273" s="218"/>
      <c r="B273" s="214"/>
    </row>
    <row r="274" spans="1:2">
      <c r="A274" s="218"/>
      <c r="B274" s="214"/>
    </row>
    <row r="275" spans="1:2">
      <c r="A275" s="218"/>
      <c r="B275" s="214"/>
    </row>
    <row r="276" spans="1:2">
      <c r="A276" s="218"/>
      <c r="B276" s="214"/>
    </row>
    <row r="277" spans="1:2">
      <c r="A277" s="218"/>
      <c r="B277" s="214"/>
    </row>
    <row r="278" spans="1:2">
      <c r="A278" s="218"/>
      <c r="B278" s="214"/>
    </row>
    <row r="279" spans="1:2">
      <c r="A279" s="218"/>
      <c r="B279" s="214"/>
    </row>
    <row r="280" spans="1:2">
      <c r="A280" s="218"/>
      <c r="B280" s="214"/>
    </row>
    <row r="281" spans="1:2">
      <c r="A281" s="218"/>
      <c r="B281" s="214"/>
    </row>
    <row r="282" spans="1:2">
      <c r="A282" s="218"/>
      <c r="B282" s="214"/>
    </row>
    <row r="283" spans="1:2">
      <c r="A283" s="218"/>
      <c r="B283" s="214"/>
    </row>
    <row r="284" spans="1:2">
      <c r="A284" s="218"/>
      <c r="B284" s="214"/>
    </row>
    <row r="285" spans="1:2">
      <c r="A285" s="218"/>
      <c r="B285" s="214"/>
    </row>
    <row r="286" spans="1:2">
      <c r="A286" s="218"/>
      <c r="B286" s="214"/>
    </row>
    <row r="287" spans="1:2">
      <c r="A287" s="218"/>
      <c r="B287" s="214"/>
    </row>
    <row r="288" spans="1:2">
      <c r="A288" s="218"/>
      <c r="B288" s="214"/>
    </row>
    <row r="289" spans="1:2">
      <c r="A289" s="218"/>
      <c r="B289" s="214"/>
    </row>
    <row r="290" spans="1:2">
      <c r="A290" s="218"/>
      <c r="B290" s="214"/>
    </row>
    <row r="291" spans="1:2">
      <c r="A291" s="218"/>
      <c r="B291" s="214"/>
    </row>
    <row r="292" spans="1:2">
      <c r="A292" s="218"/>
      <c r="B292" s="214"/>
    </row>
    <row r="293" spans="1:2">
      <c r="A293" s="218"/>
      <c r="B293" s="214"/>
    </row>
    <row r="294" spans="1:2">
      <c r="A294" s="218"/>
      <c r="B294" s="214"/>
    </row>
    <row r="295" spans="1:2">
      <c r="A295" s="218"/>
      <c r="B295" s="214"/>
    </row>
    <row r="296" spans="1:2">
      <c r="A296" s="218"/>
      <c r="B296" s="214"/>
    </row>
    <row r="297" spans="1:2">
      <c r="A297" s="218"/>
      <c r="B297" s="214"/>
    </row>
    <row r="298" spans="1:2">
      <c r="A298" s="218"/>
      <c r="B298" s="214"/>
    </row>
    <row r="299" spans="1:2">
      <c r="A299" s="218"/>
      <c r="B299" s="214"/>
    </row>
    <row r="300" spans="1:2">
      <c r="A300" s="218"/>
      <c r="B300" s="214"/>
    </row>
    <row r="301" spans="1:2">
      <c r="A301" s="218"/>
      <c r="B301" s="214"/>
    </row>
    <row r="302" spans="1:2">
      <c r="A302" s="218"/>
      <c r="B302" s="214"/>
    </row>
    <row r="303" spans="1:2">
      <c r="A303" s="218"/>
      <c r="B303" s="214"/>
    </row>
    <row r="304" spans="1:2">
      <c r="A304" s="218"/>
      <c r="B304" s="214"/>
    </row>
    <row r="305" spans="1:2">
      <c r="A305" s="218"/>
      <c r="B305" s="214"/>
    </row>
    <row r="306" spans="1:2">
      <c r="A306" s="218"/>
      <c r="B306" s="214"/>
    </row>
    <row r="307" spans="1:2">
      <c r="A307" s="218"/>
      <c r="B307" s="214"/>
    </row>
    <row r="308" spans="1:2">
      <c r="A308" s="218"/>
      <c r="B308" s="214"/>
    </row>
    <row r="309" spans="1:2">
      <c r="A309" s="218"/>
      <c r="B309" s="214"/>
    </row>
    <row r="310" spans="1:2">
      <c r="A310" s="218"/>
      <c r="B310" s="214"/>
    </row>
    <row r="311" spans="1:2">
      <c r="A311" s="218"/>
      <c r="B311" s="214"/>
    </row>
    <row r="312" spans="1:2">
      <c r="A312" s="218"/>
      <c r="B312" s="214"/>
    </row>
    <row r="313" spans="1:2">
      <c r="A313" s="218"/>
      <c r="B313" s="214"/>
    </row>
    <row r="314" spans="1:2">
      <c r="A314" s="218"/>
      <c r="B314" s="214"/>
    </row>
    <row r="315" spans="1:2">
      <c r="A315" s="218"/>
      <c r="B315" s="214"/>
    </row>
    <row r="316" spans="1:2">
      <c r="A316" s="218"/>
      <c r="B316" s="214"/>
    </row>
    <row r="317" spans="1:2">
      <c r="A317" s="218"/>
      <c r="B317" s="214"/>
    </row>
    <row r="318" spans="1:2">
      <c r="A318" s="218"/>
      <c r="B318" s="214"/>
    </row>
    <row r="319" spans="1:2">
      <c r="A319" s="218"/>
      <c r="B319" s="214"/>
    </row>
    <row r="320" spans="1:2">
      <c r="A320" s="218"/>
      <c r="B320" s="214"/>
    </row>
    <row r="321" spans="1:2">
      <c r="A321" s="218"/>
      <c r="B321" s="214"/>
    </row>
    <row r="322" spans="1:2">
      <c r="A322" s="218"/>
      <c r="B322" s="214"/>
    </row>
    <row r="323" spans="1:2">
      <c r="A323" s="218"/>
      <c r="B323" s="214"/>
    </row>
    <row r="324" spans="1:2">
      <c r="A324" s="218"/>
      <c r="B324" s="214"/>
    </row>
    <row r="325" spans="1:2">
      <c r="A325" s="218"/>
      <c r="B325" s="214"/>
    </row>
    <row r="326" spans="1:2">
      <c r="A326" s="218"/>
      <c r="B326" s="214"/>
    </row>
    <row r="327" spans="1:2">
      <c r="A327" s="218"/>
      <c r="B327" s="214"/>
    </row>
    <row r="328" spans="1:2">
      <c r="A328" s="218"/>
      <c r="B328" s="214"/>
    </row>
    <row r="329" spans="1:2">
      <c r="A329" s="218"/>
      <c r="B329" s="214"/>
    </row>
    <row r="330" spans="1:2">
      <c r="A330" s="218"/>
      <c r="B330" s="214"/>
    </row>
    <row r="331" spans="1:2">
      <c r="A331" s="218"/>
      <c r="B331" s="214"/>
    </row>
    <row r="332" spans="1:2">
      <c r="A332" s="218"/>
      <c r="B332" s="214"/>
    </row>
    <row r="333" spans="1:2">
      <c r="A333" s="218"/>
      <c r="B333" s="214"/>
    </row>
    <row r="334" spans="1:2">
      <c r="A334" s="218"/>
      <c r="B334" s="214"/>
    </row>
    <row r="335" spans="1:2">
      <c r="A335" s="218"/>
      <c r="B335" s="214"/>
    </row>
    <row r="336" spans="1:2">
      <c r="A336" s="218"/>
      <c r="B336" s="214"/>
    </row>
    <row r="337" spans="1:2">
      <c r="A337" s="218"/>
      <c r="B337" s="214"/>
    </row>
    <row r="338" spans="1:2">
      <c r="A338" s="218"/>
      <c r="B338" s="214"/>
    </row>
    <row r="339" spans="1:2">
      <c r="A339" s="218"/>
      <c r="B339" s="214"/>
    </row>
    <row r="340" spans="1:2">
      <c r="A340" s="218"/>
      <c r="B340" s="214"/>
    </row>
    <row r="341" spans="1:2">
      <c r="A341" s="218"/>
      <c r="B341" s="214"/>
    </row>
    <row r="342" spans="1:2">
      <c r="A342" s="218"/>
      <c r="B342" s="214"/>
    </row>
    <row r="343" spans="1:2">
      <c r="A343" s="218"/>
      <c r="B343" s="214"/>
    </row>
    <row r="344" spans="1:2">
      <c r="A344" s="218"/>
      <c r="B344" s="214"/>
    </row>
    <row r="345" spans="1:2">
      <c r="A345" s="218"/>
      <c r="B345" s="214"/>
    </row>
    <row r="346" spans="1:2">
      <c r="A346" s="218"/>
      <c r="B346" s="214"/>
    </row>
    <row r="347" spans="1:2">
      <c r="A347" s="218"/>
      <c r="B347" s="214"/>
    </row>
    <row r="348" spans="1:2">
      <c r="A348" s="218"/>
      <c r="B348" s="214"/>
    </row>
    <row r="349" spans="1:2">
      <c r="A349" s="218"/>
      <c r="B349" s="214"/>
    </row>
    <row r="350" spans="1:2">
      <c r="A350" s="218"/>
      <c r="B350" s="214"/>
    </row>
    <row r="351" spans="1:2">
      <c r="A351" s="218"/>
      <c r="B351" s="214"/>
    </row>
    <row r="352" spans="1:2">
      <c r="A352" s="218"/>
      <c r="B352" s="214"/>
    </row>
    <row r="353" spans="1:2">
      <c r="A353" s="218"/>
      <c r="B353" s="214"/>
    </row>
    <row r="354" spans="1:2">
      <c r="A354" s="218"/>
      <c r="B354" s="214"/>
    </row>
    <row r="355" spans="1:2">
      <c r="A355" s="218"/>
      <c r="B355" s="214"/>
    </row>
    <row r="356" spans="1:2">
      <c r="A356" s="218"/>
      <c r="B356" s="214"/>
    </row>
    <row r="357" spans="1:2">
      <c r="A357" s="218"/>
      <c r="B357" s="214"/>
    </row>
    <row r="358" spans="1:2">
      <c r="A358" s="218"/>
      <c r="B358" s="214"/>
    </row>
    <row r="359" spans="1:2">
      <c r="A359" s="218"/>
      <c r="B359" s="214"/>
    </row>
    <row r="360" spans="1:2">
      <c r="A360" s="218"/>
      <c r="B360" s="214"/>
    </row>
    <row r="361" spans="1:2">
      <c r="A361" s="218"/>
      <c r="B361" s="214"/>
    </row>
    <row r="362" spans="1:2">
      <c r="A362" s="218"/>
      <c r="B362" s="214"/>
    </row>
    <row r="363" spans="1:2">
      <c r="A363" s="218"/>
      <c r="B363" s="214"/>
    </row>
    <row r="364" spans="1:2">
      <c r="A364" s="218"/>
      <c r="B364" s="214"/>
    </row>
    <row r="365" spans="1:2">
      <c r="A365" s="218"/>
      <c r="B365" s="214"/>
    </row>
    <row r="366" spans="1:2">
      <c r="A366" s="218"/>
      <c r="B366" s="214"/>
    </row>
    <row r="367" spans="1:2">
      <c r="A367" s="218"/>
      <c r="B367" s="214"/>
    </row>
    <row r="368" spans="1:2">
      <c r="A368" s="218"/>
      <c r="B368" s="214"/>
    </row>
    <row r="369" spans="1:2">
      <c r="A369" s="218"/>
      <c r="B369" s="214"/>
    </row>
    <row r="370" spans="1:2">
      <c r="A370" s="218"/>
      <c r="B370" s="214"/>
    </row>
    <row r="371" spans="1:2">
      <c r="A371" s="218"/>
      <c r="B371" s="214"/>
    </row>
    <row r="372" spans="1:2">
      <c r="A372" s="218"/>
      <c r="B372" s="214"/>
    </row>
    <row r="373" spans="1:2">
      <c r="A373" s="218"/>
      <c r="B373" s="214"/>
    </row>
    <row r="374" spans="1:2">
      <c r="A374" s="218"/>
      <c r="B374" s="214"/>
    </row>
    <row r="375" spans="1:2">
      <c r="A375" s="218"/>
      <c r="B375" s="214"/>
    </row>
    <row r="376" spans="1:2">
      <c r="A376" s="218"/>
      <c r="B376" s="214"/>
    </row>
    <row r="377" spans="1:2">
      <c r="A377" s="218"/>
      <c r="B377" s="214"/>
    </row>
    <row r="378" spans="1:2">
      <c r="A378" s="218"/>
      <c r="B378" s="214"/>
    </row>
    <row r="379" spans="1:2">
      <c r="A379" s="218"/>
      <c r="B379" s="214"/>
    </row>
    <row r="380" spans="1:2">
      <c r="A380" s="218"/>
      <c r="B380" s="214"/>
    </row>
    <row r="381" spans="1:2">
      <c r="A381" s="218"/>
      <c r="B381" s="214"/>
    </row>
    <row r="382" spans="1:2">
      <c r="A382" s="218"/>
      <c r="B382" s="214"/>
    </row>
    <row r="383" spans="1:2">
      <c r="A383" s="218"/>
      <c r="B383" s="214"/>
    </row>
    <row r="384" spans="1:2">
      <c r="A384" s="218"/>
      <c r="B384" s="214"/>
    </row>
    <row r="385" spans="1:2">
      <c r="A385" s="218"/>
      <c r="B385" s="214"/>
    </row>
    <row r="386" spans="1:2">
      <c r="A386" s="218"/>
      <c r="B386" s="214"/>
    </row>
    <row r="387" spans="1:2">
      <c r="A387" s="218"/>
      <c r="B387" s="214"/>
    </row>
    <row r="388" spans="1:2">
      <c r="A388" s="218"/>
      <c r="B388" s="214"/>
    </row>
    <row r="389" spans="1:2">
      <c r="A389" s="218"/>
      <c r="B389" s="214"/>
    </row>
    <row r="390" spans="1:2">
      <c r="A390" s="218"/>
      <c r="B390" s="214"/>
    </row>
    <row r="391" spans="1:2">
      <c r="A391" s="218"/>
      <c r="B391" s="214"/>
    </row>
    <row r="392" spans="1:2">
      <c r="A392" s="218"/>
      <c r="B392" s="214"/>
    </row>
    <row r="393" spans="1:2">
      <c r="A393" s="218"/>
      <c r="B393" s="214"/>
    </row>
    <row r="394" spans="1:2">
      <c r="A394" s="218"/>
      <c r="B394" s="214"/>
    </row>
    <row r="395" spans="1:2">
      <c r="A395" s="218"/>
      <c r="B395" s="214"/>
    </row>
    <row r="396" spans="1:2">
      <c r="A396" s="218"/>
      <c r="B396" s="214"/>
    </row>
    <row r="397" spans="1:2">
      <c r="A397" s="218"/>
      <c r="B397" s="214"/>
    </row>
    <row r="398" spans="1:2">
      <c r="A398" s="218"/>
      <c r="B398" s="214"/>
    </row>
    <row r="399" spans="1:2">
      <c r="A399" s="218"/>
      <c r="B399" s="214"/>
    </row>
    <row r="400" spans="1:2">
      <c r="A400" s="218"/>
      <c r="B400" s="214"/>
    </row>
    <row r="401" spans="1:2">
      <c r="A401" s="218"/>
      <c r="B401" s="214"/>
    </row>
    <row r="402" spans="1:2">
      <c r="A402" s="218"/>
      <c r="B402" s="214"/>
    </row>
    <row r="403" spans="1:2">
      <c r="A403" s="218"/>
      <c r="B403" s="214"/>
    </row>
    <row r="404" spans="1:2">
      <c r="A404" s="218"/>
      <c r="B404" s="214"/>
    </row>
    <row r="405" spans="1:2">
      <c r="A405" s="218"/>
      <c r="B405" s="214"/>
    </row>
    <row r="406" spans="1:2">
      <c r="A406" s="218"/>
      <c r="B406" s="214"/>
    </row>
    <row r="407" spans="1:2">
      <c r="A407" s="218"/>
      <c r="B407" s="214"/>
    </row>
    <row r="408" spans="1:2">
      <c r="A408" s="218"/>
      <c r="B408" s="214"/>
    </row>
    <row r="409" spans="1:2">
      <c r="A409" s="218"/>
      <c r="B409" s="214"/>
    </row>
    <row r="410" spans="1:2">
      <c r="A410" s="218"/>
      <c r="B410" s="214"/>
    </row>
    <row r="411" spans="1:2">
      <c r="A411" s="218"/>
      <c r="B411" s="214"/>
    </row>
    <row r="412" spans="1:2">
      <c r="A412" s="218"/>
      <c r="B412" s="214"/>
    </row>
    <row r="413" spans="1:2">
      <c r="A413" s="218"/>
      <c r="B413" s="214"/>
    </row>
    <row r="414" spans="1:2">
      <c r="A414" s="218"/>
      <c r="B414" s="214"/>
    </row>
    <row r="415" spans="1:2">
      <c r="A415" s="218"/>
      <c r="B415" s="214"/>
    </row>
    <row r="416" spans="1:2">
      <c r="A416" s="218"/>
      <c r="B416" s="214"/>
    </row>
    <row r="417" spans="1:2">
      <c r="A417" s="218"/>
      <c r="B417" s="214"/>
    </row>
    <row r="418" spans="1:2">
      <c r="A418" s="218"/>
      <c r="B418" s="214"/>
    </row>
    <row r="419" spans="1:2">
      <c r="A419" s="218"/>
      <c r="B419" s="214"/>
    </row>
    <row r="420" spans="1:2">
      <c r="A420" s="218"/>
      <c r="B420" s="214"/>
    </row>
    <row r="421" spans="1:2">
      <c r="A421" s="218"/>
      <c r="B421" s="214"/>
    </row>
    <row r="422" spans="1:2">
      <c r="A422" s="218"/>
      <c r="B422" s="214"/>
    </row>
    <row r="423" spans="1:2">
      <c r="A423" s="218"/>
      <c r="B423" s="214"/>
    </row>
    <row r="424" spans="1:2">
      <c r="A424" s="218"/>
      <c r="B424" s="214"/>
    </row>
    <row r="425" spans="1:2">
      <c r="A425" s="218"/>
      <c r="B425" s="214"/>
    </row>
    <row r="426" spans="1:2">
      <c r="A426" s="218"/>
      <c r="B426" s="214"/>
    </row>
    <row r="427" spans="1:2">
      <c r="A427" s="218"/>
      <c r="B427" s="214"/>
    </row>
    <row r="428" spans="1:2">
      <c r="A428" s="218"/>
      <c r="B428" s="214"/>
    </row>
    <row r="429" spans="1:2">
      <c r="A429" s="218"/>
      <c r="B429" s="214"/>
    </row>
    <row r="430" spans="1:2">
      <c r="A430" s="218"/>
      <c r="B430" s="214"/>
    </row>
    <row r="431" spans="1:2">
      <c r="A431" s="218"/>
      <c r="B431" s="214"/>
    </row>
    <row r="432" spans="1:2">
      <c r="A432" s="218"/>
      <c r="B432" s="214"/>
    </row>
    <row r="433" spans="1:2">
      <c r="A433" s="218"/>
      <c r="B433" s="214"/>
    </row>
    <row r="434" spans="1:2">
      <c r="A434" s="218"/>
      <c r="B434" s="214"/>
    </row>
    <row r="435" spans="1:2">
      <c r="A435" s="218"/>
      <c r="B435" s="214"/>
    </row>
    <row r="436" spans="1:2">
      <c r="A436" s="218"/>
      <c r="B436" s="214"/>
    </row>
    <row r="437" spans="1:2">
      <c r="A437" s="218"/>
      <c r="B437" s="214"/>
    </row>
    <row r="438" spans="1:2">
      <c r="A438" s="218"/>
      <c r="B438" s="214"/>
    </row>
    <row r="439" spans="1:2">
      <c r="A439" s="218"/>
      <c r="B439" s="214"/>
    </row>
    <row r="440" spans="1:2">
      <c r="A440" s="218"/>
      <c r="B440" s="214"/>
    </row>
    <row r="441" spans="1:2">
      <c r="A441" s="218"/>
      <c r="B441" s="214"/>
    </row>
    <row r="442" spans="1:2">
      <c r="A442" s="218"/>
      <c r="B442" s="214"/>
    </row>
    <row r="443" spans="1:2">
      <c r="A443" s="218"/>
      <c r="B443" s="214"/>
    </row>
    <row r="444" spans="1:2">
      <c r="A444" s="218"/>
      <c r="B444" s="214"/>
    </row>
    <row r="445" spans="1:2">
      <c r="A445" s="218"/>
      <c r="B445" s="214"/>
    </row>
    <row r="446" spans="1:2">
      <c r="A446" s="218"/>
      <c r="B446" s="214"/>
    </row>
    <row r="447" spans="1:2">
      <c r="A447" s="218"/>
      <c r="B447" s="214"/>
    </row>
    <row r="448" spans="1:2">
      <c r="A448" s="218"/>
      <c r="B448" s="214"/>
    </row>
    <row r="449" spans="1:2">
      <c r="A449" s="218"/>
      <c r="B449" s="214"/>
    </row>
    <row r="450" spans="1:2">
      <c r="A450" s="218"/>
      <c r="B450" s="214"/>
    </row>
    <row r="451" spans="1:2">
      <c r="A451" s="218"/>
      <c r="B451" s="214"/>
    </row>
    <row r="452" spans="1:2">
      <c r="A452" s="218"/>
      <c r="B452" s="214"/>
    </row>
    <row r="453" spans="1:2">
      <c r="A453" s="218"/>
      <c r="B453" s="214"/>
    </row>
    <row r="454" spans="1:2">
      <c r="A454" s="218"/>
      <c r="B454" s="214"/>
    </row>
    <row r="455" spans="1:2">
      <c r="A455" s="218"/>
      <c r="B455" s="214"/>
    </row>
    <row r="456" spans="1:2">
      <c r="A456" s="218"/>
      <c r="B456" s="214"/>
    </row>
    <row r="457" spans="1:2">
      <c r="A457" s="218"/>
      <c r="B457" s="214"/>
    </row>
    <row r="458" spans="1:2">
      <c r="A458" s="218"/>
      <c r="B458" s="214"/>
    </row>
    <row r="459" spans="1:2">
      <c r="A459" s="218"/>
      <c r="B459" s="214"/>
    </row>
    <row r="460" spans="1:2">
      <c r="A460" s="218"/>
      <c r="B460" s="214"/>
    </row>
    <row r="461" spans="1:2">
      <c r="A461" s="218"/>
      <c r="B461" s="214"/>
    </row>
    <row r="462" spans="1:2">
      <c r="A462" s="218"/>
      <c r="B462" s="214"/>
    </row>
    <row r="463" spans="1:2">
      <c r="A463" s="218"/>
      <c r="B463" s="214"/>
    </row>
    <row r="464" spans="1:2">
      <c r="A464" s="218"/>
      <c r="B464" s="214"/>
    </row>
    <row r="465" spans="1:2">
      <c r="A465" s="218"/>
      <c r="B465" s="214"/>
    </row>
    <row r="466" spans="1:2">
      <c r="A466" s="218"/>
      <c r="B466" s="214"/>
    </row>
    <row r="467" spans="1:2">
      <c r="A467" s="218"/>
      <c r="B467" s="214"/>
    </row>
    <row r="468" spans="1:2">
      <c r="A468" s="218"/>
      <c r="B468" s="214"/>
    </row>
    <row r="469" spans="1:2">
      <c r="A469" s="218"/>
      <c r="B469" s="214"/>
    </row>
    <row r="470" spans="1:2">
      <c r="A470" s="218"/>
      <c r="B470" s="214"/>
    </row>
    <row r="471" spans="1:2">
      <c r="A471" s="218"/>
      <c r="B471" s="214"/>
    </row>
    <row r="472" spans="1:2">
      <c r="A472" s="218"/>
      <c r="B472" s="214"/>
    </row>
    <row r="473" spans="1:2">
      <c r="A473" s="218"/>
      <c r="B473" s="214"/>
    </row>
    <row r="474" spans="1:2">
      <c r="A474" s="218"/>
      <c r="B474" s="214"/>
    </row>
    <row r="475" spans="1:2">
      <c r="A475" s="218"/>
      <c r="B475" s="214"/>
    </row>
    <row r="476" spans="1:2">
      <c r="A476" s="218"/>
      <c r="B476" s="214"/>
    </row>
    <row r="477" spans="1:2">
      <c r="A477" s="218"/>
      <c r="B477" s="214"/>
    </row>
    <row r="478" spans="1:2">
      <c r="A478" s="218"/>
      <c r="B478" s="214"/>
    </row>
    <row r="479" spans="1:2">
      <c r="A479" s="218"/>
      <c r="B479" s="214"/>
    </row>
    <row r="480" spans="1:2">
      <c r="A480" s="218"/>
      <c r="B480" s="214"/>
    </row>
    <row r="481" spans="1:2">
      <c r="A481" s="218"/>
      <c r="B481" s="214"/>
    </row>
    <row r="482" spans="1:2">
      <c r="A482" s="218"/>
      <c r="B482" s="214"/>
    </row>
    <row r="483" spans="1:2">
      <c r="A483" s="218"/>
      <c r="B483" s="214"/>
    </row>
    <row r="484" spans="1:2">
      <c r="A484" s="218"/>
      <c r="B484" s="214"/>
    </row>
    <row r="485" spans="1:2">
      <c r="A485" s="218"/>
      <c r="B485" s="214"/>
    </row>
    <row r="486" spans="1:2">
      <c r="A486" s="218"/>
      <c r="B486" s="214"/>
    </row>
    <row r="487" spans="1:2">
      <c r="A487" s="218"/>
      <c r="B487" s="214"/>
    </row>
    <row r="488" spans="1:2">
      <c r="A488" s="218"/>
      <c r="B488" s="214"/>
    </row>
    <row r="489" spans="1:2">
      <c r="A489" s="218"/>
      <c r="B489" s="214"/>
    </row>
    <row r="490" spans="1:2">
      <c r="A490" s="218"/>
      <c r="B490" s="214"/>
    </row>
    <row r="491" spans="1:2">
      <c r="A491" s="218"/>
      <c r="B491" s="214"/>
    </row>
    <row r="492" spans="1:2">
      <c r="A492" s="218"/>
      <c r="B492" s="214"/>
    </row>
    <row r="493" spans="1:2">
      <c r="A493" s="218"/>
      <c r="B493" s="214"/>
    </row>
    <row r="494" spans="1:2">
      <c r="A494" s="218"/>
      <c r="B494" s="214"/>
    </row>
    <row r="495" spans="1:2">
      <c r="A495" s="218"/>
      <c r="B495" s="214"/>
    </row>
    <row r="496" spans="1:2">
      <c r="A496" s="218"/>
      <c r="B496" s="214"/>
    </row>
    <row r="497" spans="1:2">
      <c r="A497" s="218"/>
      <c r="B497" s="214"/>
    </row>
    <row r="498" spans="1:2">
      <c r="A498" s="218"/>
      <c r="B498" s="214"/>
    </row>
    <row r="499" spans="1:2">
      <c r="A499" s="218"/>
      <c r="B499" s="214"/>
    </row>
    <row r="500" spans="1:2">
      <c r="A500" s="218"/>
      <c r="B500" s="214"/>
    </row>
    <row r="501" spans="1:2">
      <c r="A501" s="218"/>
      <c r="B501" s="214"/>
    </row>
    <row r="502" spans="1:2">
      <c r="A502" s="218"/>
      <c r="B502" s="214"/>
    </row>
    <row r="503" spans="1:2">
      <c r="A503" s="218"/>
      <c r="B503" s="214"/>
    </row>
    <row r="504" spans="1:2">
      <c r="A504" s="218"/>
      <c r="B504" s="214"/>
    </row>
    <row r="505" spans="1:2">
      <c r="A505" s="218"/>
      <c r="B505" s="214"/>
    </row>
    <row r="506" spans="1:2">
      <c r="A506" s="218"/>
      <c r="B506" s="214"/>
    </row>
    <row r="507" spans="1:2">
      <c r="A507" s="218"/>
      <c r="B507" s="214"/>
    </row>
    <row r="508" spans="1:2">
      <c r="A508" s="218"/>
      <c r="B508" s="214"/>
    </row>
    <row r="509" spans="1:2">
      <c r="A509" s="218"/>
      <c r="B509" s="214"/>
    </row>
    <row r="510" spans="1:2">
      <c r="A510" s="218"/>
      <c r="B510" s="214"/>
    </row>
    <row r="511" spans="1:2">
      <c r="A511" s="218"/>
      <c r="B511" s="214"/>
    </row>
    <row r="512" spans="1:2">
      <c r="A512" s="218"/>
      <c r="B512" s="214"/>
    </row>
    <row r="513" spans="1:2">
      <c r="A513" s="218"/>
      <c r="B513" s="214"/>
    </row>
    <row r="514" spans="1:2">
      <c r="A514" s="218"/>
      <c r="B514" s="214"/>
    </row>
    <row r="515" spans="1:2">
      <c r="A515" s="218"/>
      <c r="B515" s="214"/>
    </row>
    <row r="516" spans="1:2">
      <c r="A516" s="218"/>
      <c r="B516" s="214"/>
    </row>
    <row r="517" spans="1:2">
      <c r="A517" s="218"/>
      <c r="B517" s="214"/>
    </row>
    <row r="518" spans="1:2">
      <c r="A518" s="218"/>
      <c r="B518" s="214"/>
    </row>
    <row r="519" spans="1:2">
      <c r="A519" s="218"/>
      <c r="B519" s="214"/>
    </row>
    <row r="520" spans="1:2">
      <c r="A520" s="218"/>
      <c r="B520" s="214"/>
    </row>
    <row r="521" spans="1:2">
      <c r="A521" s="218"/>
      <c r="B521" s="214"/>
    </row>
    <row r="522" spans="1:2">
      <c r="A522" s="218"/>
      <c r="B522" s="214"/>
    </row>
    <row r="523" spans="1:2">
      <c r="A523" s="218"/>
      <c r="B523" s="214"/>
    </row>
    <row r="524" spans="1:2">
      <c r="A524" s="218"/>
      <c r="B524" s="214"/>
    </row>
    <row r="525" spans="1:2">
      <c r="A525" s="218"/>
      <c r="B525" s="214"/>
    </row>
    <row r="526" spans="1:2">
      <c r="A526" s="218"/>
      <c r="B526" s="214"/>
    </row>
    <row r="527" spans="1:2">
      <c r="A527" s="218"/>
      <c r="B527" s="214"/>
    </row>
    <row r="528" spans="1:2">
      <c r="A528" s="218"/>
      <c r="B528" s="214"/>
    </row>
    <row r="529" spans="1:2">
      <c r="A529" s="218"/>
      <c r="B529" s="214"/>
    </row>
    <row r="530" spans="1:2">
      <c r="A530" s="218"/>
      <c r="B530" s="214"/>
    </row>
    <row r="531" spans="1:2">
      <c r="A531" s="218"/>
      <c r="B531" s="214"/>
    </row>
    <row r="532" spans="1:2">
      <c r="A532" s="218"/>
      <c r="B532" s="214"/>
    </row>
    <row r="533" spans="1:2">
      <c r="A533" s="218"/>
      <c r="B533" s="214"/>
    </row>
    <row r="534" spans="1:2">
      <c r="A534" s="218"/>
      <c r="B534" s="214"/>
    </row>
    <row r="535" spans="1:2">
      <c r="A535" s="218"/>
      <c r="B535" s="214"/>
    </row>
    <row r="536" spans="1:2">
      <c r="A536" s="218"/>
      <c r="B536" s="214"/>
    </row>
    <row r="537" spans="1:2">
      <c r="A537" s="218"/>
      <c r="B537" s="214"/>
    </row>
    <row r="538" spans="1:2">
      <c r="A538" s="218"/>
      <c r="B538" s="214"/>
    </row>
    <row r="539" spans="1:2">
      <c r="A539" s="218"/>
      <c r="B539" s="214"/>
    </row>
    <row r="540" spans="1:2">
      <c r="A540" s="218"/>
      <c r="B540" s="214"/>
    </row>
    <row r="541" spans="1:2">
      <c r="A541" s="218"/>
      <c r="B541" s="214"/>
    </row>
    <row r="542" spans="1:2">
      <c r="A542" s="218"/>
      <c r="B542" s="214"/>
    </row>
    <row r="543" spans="1:2">
      <c r="A543" s="218"/>
      <c r="B543" s="214"/>
    </row>
    <row r="544" spans="1:2">
      <c r="A544" s="218"/>
      <c r="B544" s="214"/>
    </row>
    <row r="545" spans="1:2">
      <c r="A545" s="218"/>
      <c r="B545" s="214"/>
    </row>
    <row r="546" spans="1:2">
      <c r="A546" s="218"/>
      <c r="B546" s="214"/>
    </row>
    <row r="547" spans="1:2">
      <c r="A547" s="218"/>
      <c r="B547" s="214"/>
    </row>
    <row r="548" spans="1:2">
      <c r="A548" s="218"/>
      <c r="B548" s="214"/>
    </row>
    <row r="549" spans="1:2">
      <c r="A549" s="218"/>
      <c r="B549" s="214"/>
    </row>
    <row r="550" spans="1:2">
      <c r="A550" s="218"/>
      <c r="B550" s="214"/>
    </row>
    <row r="551" spans="1:2">
      <c r="A551" s="218"/>
      <c r="B551" s="214"/>
    </row>
    <row r="552" spans="1:2">
      <c r="A552" s="218"/>
      <c r="B552" s="214"/>
    </row>
    <row r="553" spans="1:2">
      <c r="A553" s="218"/>
      <c r="B553" s="214"/>
    </row>
    <row r="554" spans="1:2">
      <c r="A554" s="218"/>
      <c r="B554" s="214"/>
    </row>
    <row r="555" spans="1:2">
      <c r="A555" s="218"/>
      <c r="B555" s="214"/>
    </row>
    <row r="556" spans="1:2">
      <c r="A556" s="218"/>
      <c r="B556" s="214"/>
    </row>
    <row r="557" spans="1:2">
      <c r="A557" s="218"/>
      <c r="B557" s="214"/>
    </row>
    <row r="558" spans="1:2">
      <c r="A558" s="218"/>
      <c r="B558" s="214"/>
    </row>
    <row r="559" spans="1:2">
      <c r="A559" s="218"/>
      <c r="B559" s="214"/>
    </row>
    <row r="560" spans="1:2">
      <c r="A560" s="218"/>
      <c r="B560" s="214"/>
    </row>
    <row r="561" spans="1:2">
      <c r="A561" s="218"/>
      <c r="B561" s="214"/>
    </row>
    <row r="562" spans="1:2">
      <c r="A562" s="218"/>
      <c r="B562" s="214"/>
    </row>
    <row r="563" spans="1:2">
      <c r="A563" s="218"/>
      <c r="B563" s="214"/>
    </row>
    <row r="564" spans="1:2">
      <c r="A564" s="218"/>
      <c r="B564" s="214"/>
    </row>
    <row r="565" spans="1:2">
      <c r="A565" s="218"/>
      <c r="B565" s="214"/>
    </row>
    <row r="566" spans="1:2">
      <c r="A566" s="218"/>
      <c r="B566" s="214"/>
    </row>
    <row r="567" spans="1:2">
      <c r="A567" s="218"/>
      <c r="B567" s="214"/>
    </row>
    <row r="568" spans="1:2">
      <c r="A568" s="218"/>
      <c r="B568" s="214"/>
    </row>
    <row r="569" spans="1:2">
      <c r="A569" s="218"/>
      <c r="B569" s="214"/>
    </row>
    <row r="570" spans="1:2">
      <c r="A570" s="218"/>
      <c r="B570" s="214"/>
    </row>
    <row r="571" spans="1:2">
      <c r="A571" s="218"/>
      <c r="B571" s="214"/>
    </row>
    <row r="572" spans="1:2">
      <c r="A572" s="218"/>
      <c r="B572" s="214"/>
    </row>
    <row r="573" spans="1:2">
      <c r="A573" s="218"/>
      <c r="B573" s="214"/>
    </row>
    <row r="574" spans="1:2">
      <c r="A574" s="218"/>
      <c r="B574" s="214"/>
    </row>
    <row r="575" spans="1:2">
      <c r="A575" s="218"/>
      <c r="B575" s="214"/>
    </row>
    <row r="576" spans="1:2">
      <c r="A576" s="218"/>
      <c r="B576" s="214"/>
    </row>
    <row r="577" spans="1:2">
      <c r="A577" s="218"/>
      <c r="B577" s="214"/>
    </row>
    <row r="578" spans="1:2">
      <c r="A578" s="218"/>
      <c r="B578" s="214"/>
    </row>
    <row r="579" spans="1:2">
      <c r="A579" s="218"/>
      <c r="B579" s="214"/>
    </row>
    <row r="580" spans="1:2">
      <c r="A580" s="218"/>
      <c r="B580" s="214"/>
    </row>
    <row r="581" spans="1:2">
      <c r="A581" s="218"/>
      <c r="B581" s="214"/>
    </row>
    <row r="582" spans="1:2">
      <c r="A582" s="218"/>
      <c r="B582" s="214"/>
    </row>
    <row r="583" spans="1:2">
      <c r="A583" s="218"/>
      <c r="B583" s="214"/>
    </row>
    <row r="584" spans="1:2">
      <c r="A584" s="218"/>
      <c r="B584" s="214"/>
    </row>
    <row r="585" spans="1:2">
      <c r="A585" s="218"/>
      <c r="B585" s="214"/>
    </row>
    <row r="586" spans="1:2">
      <c r="A586" s="218"/>
      <c r="B586" s="214"/>
    </row>
    <row r="587" spans="1:2">
      <c r="A587" s="218"/>
      <c r="B587" s="214"/>
    </row>
    <row r="588" spans="1:2">
      <c r="A588" s="218"/>
      <c r="B588" s="214"/>
    </row>
    <row r="589" spans="1:2">
      <c r="A589" s="218"/>
      <c r="B589" s="214"/>
    </row>
    <row r="590" spans="1:2">
      <c r="A590" s="218"/>
      <c r="B590" s="214"/>
    </row>
    <row r="591" spans="1:2">
      <c r="A591" s="218"/>
      <c r="B591" s="214"/>
    </row>
    <row r="592" spans="1:2">
      <c r="A592" s="218"/>
      <c r="B592" s="214"/>
    </row>
    <row r="593" spans="1:2">
      <c r="A593" s="218"/>
      <c r="B593" s="214"/>
    </row>
    <row r="594" spans="1:2">
      <c r="A594" s="218"/>
      <c r="B594" s="214"/>
    </row>
    <row r="595" spans="1:2">
      <c r="A595" s="218"/>
      <c r="B595" s="214"/>
    </row>
    <row r="596" spans="1:2">
      <c r="A596" s="218"/>
      <c r="B596" s="214"/>
    </row>
    <row r="597" spans="1:2">
      <c r="A597" s="218"/>
      <c r="B597" s="214"/>
    </row>
    <row r="598" spans="1:2">
      <c r="A598" s="218"/>
      <c r="B598" s="214"/>
    </row>
    <row r="599" spans="1:2">
      <c r="A599" s="218"/>
      <c r="B599" s="214"/>
    </row>
    <row r="600" spans="1:2">
      <c r="A600" s="218"/>
      <c r="B600" s="214"/>
    </row>
    <row r="601" spans="1:2">
      <c r="A601" s="218"/>
      <c r="B601" s="214"/>
    </row>
    <row r="602" spans="1:2">
      <c r="A602" s="218"/>
      <c r="B602" s="214"/>
    </row>
    <row r="603" spans="1:2">
      <c r="A603" s="218"/>
      <c r="B603" s="214"/>
    </row>
    <row r="604" spans="1:2">
      <c r="A604" s="218"/>
      <c r="B604" s="214"/>
    </row>
    <row r="605" spans="1:2">
      <c r="A605" s="218"/>
      <c r="B605" s="214"/>
    </row>
    <row r="606" spans="1:2">
      <c r="A606" s="218"/>
      <c r="B606" s="214"/>
    </row>
    <row r="607" spans="1:2">
      <c r="A607" s="218"/>
      <c r="B607" s="214"/>
    </row>
    <row r="608" spans="1:2">
      <c r="A608" s="218"/>
      <c r="B608" s="214"/>
    </row>
    <row r="609" spans="1:2">
      <c r="A609" s="218"/>
      <c r="B609" s="214"/>
    </row>
    <row r="610" spans="1:2">
      <c r="A610" s="218"/>
      <c r="B610" s="214"/>
    </row>
    <row r="611" spans="1:2">
      <c r="A611" s="218"/>
      <c r="B611" s="214"/>
    </row>
    <row r="612" spans="1:2">
      <c r="A612" s="218"/>
      <c r="B612" s="214"/>
    </row>
    <row r="613" spans="1:2">
      <c r="A613" s="218"/>
      <c r="B613" s="214"/>
    </row>
    <row r="614" spans="1:2">
      <c r="A614" s="218"/>
      <c r="B614" s="214"/>
    </row>
    <row r="615" spans="1:2">
      <c r="A615" s="218"/>
      <c r="B615" s="214"/>
    </row>
    <row r="616" spans="1:2">
      <c r="A616" s="218"/>
      <c r="B616" s="214"/>
    </row>
    <row r="617" spans="1:2">
      <c r="A617" s="218"/>
      <c r="B617" s="214"/>
    </row>
    <row r="618" spans="1:2">
      <c r="A618" s="218"/>
      <c r="B618" s="214"/>
    </row>
    <row r="619" spans="1:2">
      <c r="A619" s="218"/>
      <c r="B619" s="214"/>
    </row>
    <row r="620" spans="1:2">
      <c r="A620" s="218"/>
      <c r="B620" s="214"/>
    </row>
    <row r="621" spans="1:2">
      <c r="A621" s="218"/>
      <c r="B621" s="214"/>
    </row>
    <row r="622" spans="1:2">
      <c r="A622" s="218"/>
      <c r="B622" s="214"/>
    </row>
    <row r="623" spans="1:2">
      <c r="A623" s="218"/>
      <c r="B623" s="214"/>
    </row>
    <row r="624" spans="1:2">
      <c r="A624" s="218"/>
      <c r="B624" s="214"/>
    </row>
    <row r="625" spans="1:2">
      <c r="A625" s="218"/>
      <c r="B625" s="214"/>
    </row>
    <row r="626" spans="1:2">
      <c r="A626" s="218"/>
      <c r="B626" s="214"/>
    </row>
    <row r="627" spans="1:2">
      <c r="A627" s="218"/>
      <c r="B627" s="214"/>
    </row>
    <row r="628" spans="1:2">
      <c r="A628" s="218"/>
      <c r="B628" s="214"/>
    </row>
    <row r="629" spans="1:2">
      <c r="A629" s="218"/>
      <c r="B629" s="214"/>
    </row>
    <row r="630" spans="1:2">
      <c r="A630" s="218"/>
      <c r="B630" s="214"/>
    </row>
    <row r="631" spans="1:2">
      <c r="A631" s="218"/>
      <c r="B631" s="214"/>
    </row>
    <row r="632" spans="1:2">
      <c r="A632" s="218"/>
      <c r="B632" s="214"/>
    </row>
    <row r="633" spans="1:2">
      <c r="A633" s="218"/>
      <c r="B633" s="214"/>
    </row>
    <row r="634" spans="1:2">
      <c r="A634" s="218"/>
      <c r="B634" s="214"/>
    </row>
    <row r="635" spans="1:2">
      <c r="A635" s="218"/>
      <c r="B635" s="214"/>
    </row>
    <row r="636" spans="1:2">
      <c r="A636" s="218"/>
      <c r="B636" s="214"/>
    </row>
    <row r="637" spans="1:2">
      <c r="A637" s="218"/>
      <c r="B637" s="214"/>
    </row>
    <row r="638" spans="1:2">
      <c r="A638" s="218"/>
      <c r="B638" s="214"/>
    </row>
    <row r="639" spans="1:2">
      <c r="A639" s="218"/>
      <c r="B639" s="214"/>
    </row>
    <row r="640" spans="1:2">
      <c r="A640" s="218"/>
      <c r="B640" s="214"/>
    </row>
    <row r="641" spans="1:2">
      <c r="A641" s="218"/>
      <c r="B641" s="214"/>
    </row>
    <row r="642" spans="1:2">
      <c r="A642" s="218"/>
      <c r="B642" s="214"/>
    </row>
    <row r="643" spans="1:2">
      <c r="A643" s="218"/>
      <c r="B643" s="214"/>
    </row>
    <row r="644" spans="1:2">
      <c r="A644" s="218"/>
      <c r="B644" s="214"/>
    </row>
    <row r="645" spans="1:2">
      <c r="A645" s="218"/>
      <c r="B645" s="214"/>
    </row>
    <row r="646" spans="1:2">
      <c r="A646" s="218"/>
      <c r="B646" s="214"/>
    </row>
    <row r="647" spans="1:2">
      <c r="A647" s="218"/>
      <c r="B647" s="214"/>
    </row>
    <row r="648" spans="1:2">
      <c r="A648" s="218"/>
      <c r="B648" s="214"/>
    </row>
    <row r="649" spans="1:2">
      <c r="A649" s="218"/>
      <c r="B649" s="214"/>
    </row>
    <row r="650" spans="1:2">
      <c r="A650" s="218"/>
      <c r="B650" s="214"/>
    </row>
    <row r="651" spans="1:2">
      <c r="A651" s="218"/>
      <c r="B651" s="214"/>
    </row>
    <row r="652" spans="1:2">
      <c r="A652" s="218"/>
      <c r="B652" s="214"/>
    </row>
    <row r="653" spans="1:2">
      <c r="A653" s="218"/>
      <c r="B653" s="214"/>
    </row>
    <row r="654" spans="1:2">
      <c r="A654" s="218"/>
      <c r="B654" s="214"/>
    </row>
    <row r="655" spans="1:2">
      <c r="A655" s="218"/>
      <c r="B655" s="214"/>
    </row>
    <row r="656" spans="1:2">
      <c r="A656" s="218"/>
      <c r="B656" s="214"/>
    </row>
    <row r="657" spans="1:2">
      <c r="A657" s="218"/>
      <c r="B657" s="214"/>
    </row>
    <row r="658" spans="1:2">
      <c r="A658" s="218"/>
      <c r="B658" s="214"/>
    </row>
    <row r="659" spans="1:2">
      <c r="A659" s="218"/>
      <c r="B659" s="214"/>
    </row>
    <row r="660" spans="1:2">
      <c r="A660" s="218"/>
      <c r="B660" s="214"/>
    </row>
    <row r="661" spans="1:2">
      <c r="A661" s="218"/>
      <c r="B661" s="214"/>
    </row>
    <row r="662" spans="1:2">
      <c r="A662" s="218"/>
      <c r="B662" s="214"/>
    </row>
    <row r="663" spans="1:2">
      <c r="A663" s="218"/>
      <c r="B663" s="214"/>
    </row>
    <row r="664" spans="1:2">
      <c r="A664" s="218"/>
      <c r="B664" s="214"/>
    </row>
    <row r="665" spans="1:2">
      <c r="A665" s="218"/>
      <c r="B665" s="214"/>
    </row>
    <row r="666" spans="1:2">
      <c r="A666" s="218"/>
      <c r="B666" s="214"/>
    </row>
    <row r="667" spans="1:2">
      <c r="A667" s="218"/>
      <c r="B667" s="214"/>
    </row>
    <row r="668" spans="1:2">
      <c r="A668" s="218"/>
      <c r="B668" s="214"/>
    </row>
    <row r="669" spans="1:2">
      <c r="A669" s="218"/>
      <c r="B669" s="214"/>
    </row>
    <row r="670" spans="1:2">
      <c r="A670" s="218"/>
      <c r="B670" s="214"/>
    </row>
    <row r="671" spans="1:2">
      <c r="A671" s="218"/>
      <c r="B671" s="214"/>
    </row>
    <row r="672" spans="1:2">
      <c r="A672" s="218"/>
      <c r="B672" s="214"/>
    </row>
    <row r="673" spans="1:2">
      <c r="A673" s="218"/>
      <c r="B673" s="214"/>
    </row>
    <row r="674" spans="1:2">
      <c r="A674" s="218"/>
      <c r="B674" s="214"/>
    </row>
    <row r="675" spans="1:2">
      <c r="A675" s="218"/>
      <c r="B675" s="214"/>
    </row>
    <row r="676" spans="1:2">
      <c r="A676" s="218"/>
      <c r="B676" s="214"/>
    </row>
    <row r="677" spans="1:2">
      <c r="A677" s="218"/>
      <c r="B677" s="214"/>
    </row>
    <row r="678" spans="1:2">
      <c r="A678" s="218"/>
      <c r="B678" s="214"/>
    </row>
    <row r="679" spans="1:2">
      <c r="A679" s="218"/>
      <c r="B679" s="214"/>
    </row>
    <row r="680" spans="1:2">
      <c r="A680" s="218"/>
      <c r="B680" s="214"/>
    </row>
    <row r="681" spans="1:2">
      <c r="A681" s="218"/>
      <c r="B681" s="214"/>
    </row>
    <row r="682" spans="1:2">
      <c r="A682" s="218"/>
      <c r="B682" s="214"/>
    </row>
    <row r="683" spans="1:2">
      <c r="A683" s="218"/>
      <c r="B683" s="214"/>
    </row>
    <row r="684" spans="1:2">
      <c r="A684" s="218"/>
      <c r="B684" s="214"/>
    </row>
    <row r="685" spans="1:2">
      <c r="A685" s="218"/>
      <c r="B685" s="214"/>
    </row>
    <row r="686" spans="1:2">
      <c r="A686" s="218"/>
      <c r="B686" s="214"/>
    </row>
    <row r="687" spans="1:2">
      <c r="A687" s="218"/>
      <c r="B687" s="214"/>
    </row>
    <row r="688" spans="1:2">
      <c r="A688" s="218"/>
      <c r="B688" s="214"/>
    </row>
    <row r="689" spans="1:2">
      <c r="A689" s="218"/>
      <c r="B689" s="214"/>
    </row>
    <row r="690" spans="1:2">
      <c r="A690" s="218"/>
      <c r="B690" s="214"/>
    </row>
    <row r="691" spans="1:2">
      <c r="A691" s="218"/>
      <c r="B691" s="214"/>
    </row>
    <row r="692" spans="1:2">
      <c r="A692" s="218"/>
      <c r="B692" s="214"/>
    </row>
    <row r="693" spans="1:2">
      <c r="A693" s="218"/>
      <c r="B693" s="214"/>
    </row>
    <row r="694" spans="1:2">
      <c r="A694" s="218"/>
      <c r="B694" s="214"/>
    </row>
    <row r="695" spans="1:2">
      <c r="A695" s="218"/>
      <c r="B695" s="214"/>
    </row>
    <row r="696" spans="1:2">
      <c r="A696" s="218"/>
      <c r="B696" s="214"/>
    </row>
    <row r="697" spans="1:2">
      <c r="A697" s="218"/>
      <c r="B697" s="214"/>
    </row>
    <row r="698" spans="1:2">
      <c r="A698" s="218"/>
      <c r="B698" s="214"/>
    </row>
    <row r="699" spans="1:2">
      <c r="A699" s="218"/>
      <c r="B699" s="214"/>
    </row>
    <row r="700" spans="1:2">
      <c r="A700" s="218"/>
      <c r="B700" s="214"/>
    </row>
    <row r="701" spans="1:2">
      <c r="A701" s="218"/>
      <c r="B701" s="214"/>
    </row>
    <row r="702" spans="1:2">
      <c r="A702" s="218"/>
      <c r="B702" s="214"/>
    </row>
    <row r="703" spans="1:2">
      <c r="A703" s="218"/>
      <c r="B703" s="214"/>
    </row>
    <row r="704" spans="1:2">
      <c r="A704" s="218"/>
      <c r="B704" s="214"/>
    </row>
    <row r="705" spans="1:2">
      <c r="A705" s="218"/>
      <c r="B705" s="214"/>
    </row>
    <row r="706" spans="1:2">
      <c r="A706" s="218"/>
      <c r="B706" s="214"/>
    </row>
    <row r="707" spans="1:2">
      <c r="A707" s="218"/>
      <c r="B707" s="214"/>
    </row>
    <row r="708" spans="1:2">
      <c r="A708" s="218"/>
      <c r="B708" s="214"/>
    </row>
    <row r="709" spans="1:2">
      <c r="A709" s="218"/>
      <c r="B709" s="214"/>
    </row>
    <row r="710" spans="1:2">
      <c r="A710" s="218"/>
      <c r="B710" s="214"/>
    </row>
    <row r="711" spans="1:2">
      <c r="A711" s="218"/>
      <c r="B711" s="214"/>
    </row>
    <row r="712" spans="1:2">
      <c r="A712" s="218"/>
      <c r="B712" s="214"/>
    </row>
    <row r="713" spans="1:2">
      <c r="A713" s="218"/>
      <c r="B713" s="214"/>
    </row>
    <row r="714" spans="1:2">
      <c r="A714" s="218"/>
      <c r="B714" s="214"/>
    </row>
    <row r="715" spans="1:2">
      <c r="A715" s="218"/>
      <c r="B715" s="214"/>
    </row>
    <row r="716" spans="1:2">
      <c r="A716" s="218"/>
      <c r="B716" s="214"/>
    </row>
    <row r="717" spans="1:2">
      <c r="A717" s="218"/>
      <c r="B717" s="214"/>
    </row>
    <row r="718" spans="1:2">
      <c r="A718" s="218"/>
      <c r="B718" s="214"/>
    </row>
    <row r="719" spans="1:2">
      <c r="A719" s="218"/>
      <c r="B719" s="214"/>
    </row>
    <row r="720" spans="1:2">
      <c r="A720" s="218"/>
      <c r="B720" s="214"/>
    </row>
    <row r="721" spans="1:2">
      <c r="A721" s="218"/>
      <c r="B721" s="214"/>
    </row>
    <row r="722" spans="1:2">
      <c r="A722" s="218"/>
      <c r="B722" s="214"/>
    </row>
    <row r="723" spans="1:2">
      <c r="A723" s="218"/>
      <c r="B723" s="214"/>
    </row>
    <row r="724" spans="1:2">
      <c r="A724" s="218"/>
      <c r="B724" s="214"/>
    </row>
    <row r="725" spans="1:2">
      <c r="A725" s="218"/>
      <c r="B725" s="214"/>
    </row>
    <row r="726" spans="1:2">
      <c r="A726" s="218"/>
      <c r="B726" s="214"/>
    </row>
    <row r="727" spans="1:2">
      <c r="A727" s="218"/>
      <c r="B727" s="214"/>
    </row>
    <row r="728" spans="1:2">
      <c r="A728" s="218"/>
      <c r="B728" s="214"/>
    </row>
    <row r="729" spans="1:2">
      <c r="A729" s="218"/>
      <c r="B729" s="214"/>
    </row>
    <row r="730" spans="1:2">
      <c r="A730" s="218"/>
      <c r="B730" s="214"/>
    </row>
    <row r="731" spans="1:2">
      <c r="A731" s="218"/>
      <c r="B731" s="214"/>
    </row>
    <row r="732" spans="1:2">
      <c r="A732" s="218"/>
      <c r="B732" s="214"/>
    </row>
    <row r="733" spans="1:2">
      <c r="A733" s="218"/>
      <c r="B733" s="214"/>
    </row>
    <row r="734" spans="1:2">
      <c r="A734" s="218"/>
      <c r="B734" s="214"/>
    </row>
    <row r="735" spans="1:2">
      <c r="A735" s="218"/>
      <c r="B735" s="214"/>
    </row>
    <row r="736" spans="1:2">
      <c r="A736" s="218"/>
      <c r="B736" s="214"/>
    </row>
    <row r="737" spans="1:2">
      <c r="A737" s="218"/>
      <c r="B737" s="214"/>
    </row>
    <row r="738" spans="1:2">
      <c r="A738" s="218"/>
      <c r="B738" s="214"/>
    </row>
    <row r="739" spans="1:2">
      <c r="A739" s="218"/>
      <c r="B739" s="214"/>
    </row>
    <row r="740" spans="1:2">
      <c r="A740" s="218"/>
      <c r="B740" s="214"/>
    </row>
    <row r="741" spans="1:2">
      <c r="A741" s="218"/>
      <c r="B741" s="214"/>
    </row>
    <row r="742" spans="1:2">
      <c r="A742" s="218"/>
      <c r="B742" s="214"/>
    </row>
    <row r="743" spans="1:2">
      <c r="A743" s="218"/>
      <c r="B743" s="214"/>
    </row>
    <row r="744" spans="1:2">
      <c r="A744" s="218"/>
      <c r="B744" s="214"/>
    </row>
    <row r="745" spans="1:2">
      <c r="A745" s="218"/>
      <c r="B745" s="214"/>
    </row>
    <row r="746" spans="1:2">
      <c r="A746" s="218"/>
      <c r="B746" s="214"/>
    </row>
    <row r="747" spans="1:2">
      <c r="A747" s="218"/>
      <c r="B747" s="214"/>
    </row>
    <row r="748" spans="1:2">
      <c r="A748" s="218"/>
      <c r="B748" s="214"/>
    </row>
    <row r="749" spans="1:2">
      <c r="A749" s="218"/>
      <c r="B749" s="214"/>
    </row>
    <row r="750" spans="1:2">
      <c r="A750" s="218"/>
      <c r="B750" s="214"/>
    </row>
    <row r="751" spans="1:2">
      <c r="A751" s="218"/>
      <c r="B751" s="214"/>
    </row>
    <row r="752" spans="1:2">
      <c r="A752" s="218"/>
      <c r="B752" s="214"/>
    </row>
    <row r="753" spans="1:2">
      <c r="A753" s="218"/>
      <c r="B753" s="214"/>
    </row>
    <row r="754" spans="1:2">
      <c r="A754" s="218"/>
      <c r="B754" s="214"/>
    </row>
    <row r="755" spans="1:2">
      <c r="A755" s="218"/>
      <c r="B755" s="214"/>
    </row>
    <row r="756" spans="1:2">
      <c r="A756" s="218"/>
      <c r="B756" s="214"/>
    </row>
    <row r="757" spans="1:2">
      <c r="A757" s="218"/>
      <c r="B757" s="214"/>
    </row>
    <row r="758" spans="1:2">
      <c r="A758" s="218"/>
      <c r="B758" s="214"/>
    </row>
    <row r="759" spans="1:2">
      <c r="A759" s="218"/>
      <c r="B759" s="214"/>
    </row>
    <row r="760" spans="1:2">
      <c r="A760" s="218"/>
      <c r="B760" s="214"/>
    </row>
    <row r="761" spans="1:2">
      <c r="A761" s="218"/>
      <c r="B761" s="214"/>
    </row>
    <row r="762" spans="1:2">
      <c r="A762" s="218"/>
      <c r="B762" s="214"/>
    </row>
    <row r="763" spans="1:2">
      <c r="A763" s="218"/>
      <c r="B763" s="214"/>
    </row>
    <row r="764" spans="1:2">
      <c r="A764" s="218"/>
      <c r="B764" s="214"/>
    </row>
    <row r="765" spans="1:2">
      <c r="A765" s="218"/>
      <c r="B765" s="214"/>
    </row>
    <row r="766" spans="1:2">
      <c r="A766" s="218"/>
      <c r="B766" s="214"/>
    </row>
    <row r="767" spans="1:2">
      <c r="A767" s="218"/>
      <c r="B767" s="214"/>
    </row>
    <row r="768" spans="1:2">
      <c r="A768" s="218"/>
      <c r="B768" s="214"/>
    </row>
    <row r="769" spans="1:2">
      <c r="A769" s="218"/>
      <c r="B769" s="214"/>
    </row>
    <row r="770" spans="1:2">
      <c r="A770" s="218"/>
      <c r="B770" s="214"/>
    </row>
    <row r="771" spans="1:2">
      <c r="A771" s="218"/>
      <c r="B771" s="214"/>
    </row>
    <row r="772" spans="1:2">
      <c r="A772" s="218"/>
      <c r="B772" s="214"/>
    </row>
    <row r="773" spans="1:2">
      <c r="A773" s="218"/>
      <c r="B773" s="214"/>
    </row>
    <row r="774" spans="1:2">
      <c r="A774" s="218"/>
      <c r="B774" s="214"/>
    </row>
    <row r="775" spans="1:2">
      <c r="A775" s="218"/>
      <c r="B775" s="214"/>
    </row>
    <row r="776" spans="1:2">
      <c r="A776" s="218"/>
      <c r="B776" s="214"/>
    </row>
    <row r="777" spans="1:2">
      <c r="A777" s="218"/>
      <c r="B777" s="214"/>
    </row>
    <row r="778" spans="1:2">
      <c r="A778" s="218"/>
      <c r="B778" s="214"/>
    </row>
    <row r="779" spans="1:2">
      <c r="A779" s="218"/>
      <c r="B779" s="214"/>
    </row>
    <row r="780" spans="1:2">
      <c r="A780" s="218"/>
      <c r="B780" s="214"/>
    </row>
    <row r="781" spans="1:2">
      <c r="A781" s="218"/>
      <c r="B781" s="214"/>
    </row>
    <row r="782" spans="1:2">
      <c r="A782" s="218"/>
      <c r="B782" s="214"/>
    </row>
    <row r="783" spans="1:2">
      <c r="A783" s="218"/>
      <c r="B783" s="214"/>
    </row>
    <row r="784" spans="1:2">
      <c r="A784" s="218"/>
      <c r="B784" s="214"/>
    </row>
    <row r="785" spans="1:2">
      <c r="A785" s="218"/>
      <c r="B785" s="214"/>
    </row>
    <row r="786" spans="1:2">
      <c r="A786" s="218"/>
      <c r="B786" s="214"/>
    </row>
    <row r="787" spans="1:2">
      <c r="A787" s="218"/>
      <c r="B787" s="214"/>
    </row>
    <row r="788" spans="1:2">
      <c r="A788" s="218"/>
      <c r="B788" s="214"/>
    </row>
    <row r="789" spans="1:2">
      <c r="A789" s="218"/>
      <c r="B789" s="214"/>
    </row>
    <row r="790" spans="1:2">
      <c r="A790" s="218"/>
      <c r="B790" s="214"/>
    </row>
    <row r="791" spans="1:2">
      <c r="A791" s="218"/>
      <c r="B791" s="214"/>
    </row>
    <row r="792" spans="1:2">
      <c r="A792" s="218"/>
      <c r="B792" s="214"/>
    </row>
    <row r="793" spans="1:2">
      <c r="A793" s="218"/>
      <c r="B793" s="214"/>
    </row>
    <row r="794" spans="1:2">
      <c r="A794" s="218"/>
      <c r="B794" s="214"/>
    </row>
    <row r="795" spans="1:2">
      <c r="A795" s="218"/>
      <c r="B795" s="214"/>
    </row>
    <row r="796" spans="1:2">
      <c r="A796" s="218"/>
      <c r="B796" s="214"/>
    </row>
    <row r="797" spans="1:2">
      <c r="A797" s="218"/>
      <c r="B797" s="214"/>
    </row>
    <row r="798" spans="1:2">
      <c r="A798" s="218"/>
      <c r="B798" s="214"/>
    </row>
    <row r="799" spans="1:2">
      <c r="A799" s="218"/>
      <c r="B799" s="214"/>
    </row>
    <row r="800" spans="1:2">
      <c r="A800" s="218"/>
      <c r="B800" s="214"/>
    </row>
    <row r="801" spans="1:2">
      <c r="A801" s="218"/>
      <c r="B801" s="214"/>
    </row>
    <row r="802" spans="1:2">
      <c r="A802" s="218"/>
      <c r="B802" s="214"/>
    </row>
    <row r="803" spans="1:2">
      <c r="A803" s="218"/>
      <c r="B803" s="214"/>
    </row>
    <row r="804" spans="1:2">
      <c r="A804" s="218"/>
      <c r="B804" s="214"/>
    </row>
    <row r="805" spans="1:2">
      <c r="A805" s="218"/>
      <c r="B805" s="214"/>
    </row>
    <row r="806" spans="1:2">
      <c r="A806" s="218"/>
      <c r="B806" s="214"/>
    </row>
    <row r="807" spans="1:2">
      <c r="A807" s="218"/>
      <c r="B807" s="214"/>
    </row>
    <row r="808" spans="1:2">
      <c r="A808" s="218"/>
      <c r="B808" s="214"/>
    </row>
    <row r="809" spans="1:2">
      <c r="A809" s="218"/>
      <c r="B809" s="214"/>
    </row>
    <row r="810" spans="1:2">
      <c r="A810" s="218"/>
      <c r="B810" s="214"/>
    </row>
    <row r="811" spans="1:2">
      <c r="A811" s="218"/>
      <c r="B811" s="214"/>
    </row>
    <row r="812" spans="1:2">
      <c r="A812" s="218"/>
      <c r="B812" s="214"/>
    </row>
    <row r="813" spans="1:2">
      <c r="A813" s="218"/>
      <c r="B813" s="214"/>
    </row>
    <row r="814" spans="1:2">
      <c r="A814" s="218"/>
      <c r="B814" s="214"/>
    </row>
    <row r="815" spans="1:2">
      <c r="A815" s="218"/>
      <c r="B815" s="214"/>
    </row>
    <row r="816" spans="1:2">
      <c r="A816" s="218"/>
      <c r="B816" s="214"/>
    </row>
    <row r="817" spans="1:2">
      <c r="A817" s="218"/>
      <c r="B817" s="214"/>
    </row>
    <row r="818" spans="1:2">
      <c r="A818" s="218"/>
      <c r="B818" s="214"/>
    </row>
    <row r="819" spans="1:2">
      <c r="A819" s="218"/>
      <c r="B819" s="214"/>
    </row>
    <row r="820" spans="1:2">
      <c r="A820" s="218"/>
      <c r="B820" s="214"/>
    </row>
    <row r="821" spans="1:2">
      <c r="A821" s="218"/>
      <c r="B821" s="214"/>
    </row>
    <row r="822" spans="1:2">
      <c r="A822" s="218"/>
      <c r="B822" s="214"/>
    </row>
    <row r="823" spans="1:2">
      <c r="A823" s="218"/>
      <c r="B823" s="214"/>
    </row>
    <row r="824" spans="1:2">
      <c r="A824" s="218"/>
      <c r="B824" s="214"/>
    </row>
    <row r="825" spans="1:2">
      <c r="A825" s="218"/>
      <c r="B825" s="214"/>
    </row>
    <row r="826" spans="1:2">
      <c r="A826" s="218"/>
      <c r="B826" s="214"/>
    </row>
    <row r="827" spans="1:2">
      <c r="A827" s="218"/>
      <c r="B827" s="214"/>
    </row>
    <row r="828" spans="1:2">
      <c r="A828" s="218"/>
      <c r="B828" s="214"/>
    </row>
    <row r="829" spans="1:2">
      <c r="A829" s="218"/>
      <c r="B829" s="214"/>
    </row>
    <row r="830" spans="1:2">
      <c r="A830" s="218"/>
      <c r="B830" s="214"/>
    </row>
    <row r="831" spans="1:2">
      <c r="A831" s="218"/>
      <c r="B831" s="214"/>
    </row>
    <row r="832" spans="1:2">
      <c r="A832" s="218"/>
      <c r="B832" s="214"/>
    </row>
    <row r="833" spans="1:2">
      <c r="A833" s="218"/>
      <c r="B833" s="214"/>
    </row>
    <row r="834" spans="1:2">
      <c r="A834" s="218"/>
      <c r="B834" s="214"/>
    </row>
    <row r="835" spans="1:2">
      <c r="A835" s="218"/>
      <c r="B835" s="214"/>
    </row>
    <row r="836" spans="1:2">
      <c r="A836" s="218"/>
      <c r="B836" s="214"/>
    </row>
    <row r="837" spans="1:2">
      <c r="A837" s="218"/>
      <c r="B837" s="214"/>
    </row>
    <row r="838" spans="1:2">
      <c r="A838" s="218"/>
      <c r="B838" s="214"/>
    </row>
    <row r="839" spans="1:2">
      <c r="A839" s="218"/>
      <c r="B839" s="214"/>
    </row>
    <row r="840" spans="1:2">
      <c r="A840" s="218"/>
      <c r="B840" s="214"/>
    </row>
    <row r="841" spans="1:2">
      <c r="A841" s="218"/>
      <c r="B841" s="214"/>
    </row>
    <row r="842" spans="1:2">
      <c r="A842" s="218"/>
      <c r="B842" s="214"/>
    </row>
    <row r="843" spans="1:2">
      <c r="A843" s="218"/>
      <c r="B843" s="214"/>
    </row>
    <row r="844" spans="1:2">
      <c r="A844" s="218"/>
      <c r="B844" s="214"/>
    </row>
    <row r="845" spans="1:2">
      <c r="A845" s="218"/>
      <c r="B845" s="214"/>
    </row>
    <row r="846" spans="1:2">
      <c r="A846" s="218"/>
      <c r="B846" s="214"/>
    </row>
    <row r="847" spans="1:2">
      <c r="A847" s="218"/>
      <c r="B847" s="214"/>
    </row>
    <row r="848" spans="1:2">
      <c r="A848" s="218"/>
      <c r="B848" s="214"/>
    </row>
    <row r="849" spans="1:2">
      <c r="A849" s="218"/>
      <c r="B849" s="214"/>
    </row>
    <row r="850" spans="1:2">
      <c r="A850" s="218"/>
      <c r="B850" s="214"/>
    </row>
    <row r="851" spans="1:2">
      <c r="A851" s="218"/>
      <c r="B851" s="214"/>
    </row>
    <row r="852" spans="1:2">
      <c r="A852" s="218"/>
      <c r="B852" s="214"/>
    </row>
    <row r="853" spans="1:2">
      <c r="A853" s="218"/>
      <c r="B853" s="214"/>
    </row>
    <row r="854" spans="1:2">
      <c r="A854" s="218"/>
      <c r="B854" s="214"/>
    </row>
    <row r="855" spans="1:2">
      <c r="A855" s="218"/>
      <c r="B855" s="214"/>
    </row>
    <row r="856" spans="1:2">
      <c r="A856" s="218"/>
      <c r="B856" s="214"/>
    </row>
    <row r="857" spans="1:2">
      <c r="A857" s="218"/>
      <c r="B857" s="214"/>
    </row>
    <row r="858" spans="1:2">
      <c r="A858" s="218"/>
      <c r="B858" s="214"/>
    </row>
    <row r="859" spans="1:2">
      <c r="A859" s="218"/>
      <c r="B859" s="214"/>
    </row>
    <row r="860" spans="1:2">
      <c r="A860" s="218"/>
      <c r="B860" s="214"/>
    </row>
    <row r="861" spans="1:2">
      <c r="A861" s="218"/>
      <c r="B861" s="214"/>
    </row>
    <row r="862" spans="1:2">
      <c r="A862" s="218"/>
      <c r="B862" s="214"/>
    </row>
    <row r="863" spans="1:2">
      <c r="A863" s="218"/>
      <c r="B863" s="214"/>
    </row>
    <row r="864" spans="1:2">
      <c r="A864" s="218"/>
      <c r="B864" s="214"/>
    </row>
    <row r="865" spans="1:2">
      <c r="A865" s="218"/>
      <c r="B865" s="214"/>
    </row>
    <row r="866" spans="1:2">
      <c r="A866" s="218"/>
      <c r="B866" s="214"/>
    </row>
    <row r="867" spans="1:2">
      <c r="A867" s="218"/>
      <c r="B867" s="214"/>
    </row>
    <row r="868" spans="1:2">
      <c r="A868" s="218"/>
      <c r="B868" s="214"/>
    </row>
    <row r="869" spans="1:2">
      <c r="A869" s="218"/>
      <c r="B869" s="214"/>
    </row>
    <row r="870" spans="1:2">
      <c r="A870" s="218"/>
      <c r="B870" s="214"/>
    </row>
    <row r="871" spans="1:2">
      <c r="A871" s="218"/>
      <c r="B871" s="214"/>
    </row>
    <row r="872" spans="1:2">
      <c r="A872" s="218"/>
      <c r="B872" s="214"/>
    </row>
    <row r="873" spans="1:2">
      <c r="A873" s="218"/>
      <c r="B873" s="214"/>
    </row>
    <row r="874" spans="1:2">
      <c r="A874" s="218"/>
      <c r="B874" s="214"/>
    </row>
    <row r="875" spans="1:2">
      <c r="A875" s="218"/>
      <c r="B875" s="214"/>
    </row>
    <row r="876" spans="1:2">
      <c r="A876" s="218"/>
      <c r="B876" s="214"/>
    </row>
    <row r="877" spans="1:2">
      <c r="A877" s="218"/>
      <c r="B877" s="214"/>
    </row>
    <row r="878" spans="1:2">
      <c r="A878" s="218"/>
      <c r="B878" s="214"/>
    </row>
    <row r="879" spans="1:2">
      <c r="A879" s="218"/>
      <c r="B879" s="214"/>
    </row>
    <row r="880" spans="1:2">
      <c r="A880" s="218"/>
      <c r="B880" s="214"/>
    </row>
    <row r="881" spans="1:2">
      <c r="A881" s="218"/>
      <c r="B881" s="214"/>
    </row>
    <row r="882" spans="1:2">
      <c r="A882" s="218"/>
      <c r="B882" s="214"/>
    </row>
    <row r="883" spans="1:2">
      <c r="A883" s="218"/>
      <c r="B883" s="214"/>
    </row>
    <row r="884" spans="1:2">
      <c r="A884" s="218"/>
      <c r="B884" s="214"/>
    </row>
    <row r="885" spans="1:2">
      <c r="A885" s="218"/>
      <c r="B885" s="214"/>
    </row>
    <row r="886" spans="1:2">
      <c r="A886" s="218"/>
      <c r="B886" s="214"/>
    </row>
    <row r="887" spans="1:2">
      <c r="A887" s="218"/>
      <c r="B887" s="214"/>
    </row>
    <row r="888" spans="1:2">
      <c r="A888" s="218"/>
      <c r="B888" s="214"/>
    </row>
    <row r="889" spans="1:2">
      <c r="A889" s="218"/>
      <c r="B889" s="214"/>
    </row>
    <row r="890" spans="1:2">
      <c r="A890" s="218"/>
      <c r="B890" s="214"/>
    </row>
    <row r="891" spans="1:2">
      <c r="A891" s="218"/>
      <c r="B891" s="214"/>
    </row>
    <row r="892" spans="1:2">
      <c r="A892" s="218"/>
      <c r="B892" s="214"/>
    </row>
    <row r="893" spans="1:2">
      <c r="A893" s="218"/>
      <c r="B893" s="214"/>
    </row>
    <row r="894" spans="1:2">
      <c r="A894" s="218"/>
      <c r="B894" s="214"/>
    </row>
    <row r="895" spans="1:2">
      <c r="A895" s="218"/>
      <c r="B895" s="214"/>
    </row>
    <row r="896" spans="1:2">
      <c r="A896" s="218"/>
      <c r="B896" s="214"/>
    </row>
    <row r="897" spans="1:2">
      <c r="A897" s="218"/>
      <c r="B897" s="214"/>
    </row>
    <row r="898" spans="1:2">
      <c r="A898" s="218"/>
      <c r="B898" s="214"/>
    </row>
    <row r="899" spans="1:2">
      <c r="A899" s="218"/>
      <c r="B899" s="214"/>
    </row>
    <row r="900" spans="1:2">
      <c r="A900" s="218"/>
      <c r="B900" s="214"/>
    </row>
    <row r="901" spans="1:2">
      <c r="A901" s="218"/>
      <c r="B901" s="214"/>
    </row>
    <row r="902" spans="1:2">
      <c r="A902" s="218"/>
      <c r="B902" s="214"/>
    </row>
    <row r="903" spans="1:2">
      <c r="A903" s="218"/>
      <c r="B903" s="214"/>
    </row>
    <row r="904" spans="1:2">
      <c r="A904" s="218"/>
      <c r="B904" s="214"/>
    </row>
    <row r="905" spans="1:2">
      <c r="A905" s="218"/>
      <c r="B905" s="214"/>
    </row>
    <row r="906" spans="1:2">
      <c r="A906" s="218"/>
      <c r="B906" s="214"/>
    </row>
    <row r="907" spans="1:2">
      <c r="A907" s="218"/>
      <c r="B907" s="214"/>
    </row>
    <row r="908" spans="1:2">
      <c r="A908" s="218"/>
      <c r="B908" s="214"/>
    </row>
    <row r="909" spans="1:2">
      <c r="A909" s="218"/>
      <c r="B909" s="214"/>
    </row>
    <row r="910" spans="1:2">
      <c r="A910" s="218"/>
      <c r="B910" s="214"/>
    </row>
    <row r="911" spans="1:2">
      <c r="A911" s="218"/>
      <c r="B911" s="214"/>
    </row>
    <row r="912" spans="1:2">
      <c r="A912" s="218"/>
      <c r="B912" s="214"/>
    </row>
    <row r="913" spans="1:2">
      <c r="A913" s="218"/>
      <c r="B913" s="214"/>
    </row>
    <row r="914" spans="1:2">
      <c r="A914" s="218"/>
      <c r="B914" s="214"/>
    </row>
    <row r="915" spans="1:2">
      <c r="A915" s="218"/>
      <c r="B915" s="214"/>
    </row>
    <row r="916" spans="1:2">
      <c r="A916" s="218"/>
      <c r="B916" s="214"/>
    </row>
    <row r="917" spans="1:2">
      <c r="A917" s="218"/>
      <c r="B917" s="214"/>
    </row>
    <row r="918" spans="1:2">
      <c r="A918" s="218"/>
      <c r="B918" s="214"/>
    </row>
    <row r="919" spans="1:2">
      <c r="A919" s="218"/>
      <c r="B919" s="214"/>
    </row>
    <row r="920" spans="1:2">
      <c r="A920" s="218"/>
      <c r="B920" s="214"/>
    </row>
    <row r="921" spans="1:2">
      <c r="A921" s="218"/>
      <c r="B921" s="214"/>
    </row>
    <row r="922" spans="1:2">
      <c r="A922" s="218"/>
      <c r="B922" s="214"/>
    </row>
    <row r="923" spans="1:2">
      <c r="A923" s="218"/>
      <c r="B923" s="214"/>
    </row>
    <row r="924" spans="1:2">
      <c r="A924" s="218"/>
      <c r="B924" s="214"/>
    </row>
    <row r="925" spans="1:2">
      <c r="A925" s="218"/>
      <c r="B925" s="214"/>
    </row>
    <row r="926" spans="1:2">
      <c r="A926" s="218"/>
      <c r="B926" s="214"/>
    </row>
    <row r="927" spans="1:2">
      <c r="A927" s="218"/>
      <c r="B927" s="214"/>
    </row>
    <row r="928" spans="1:2">
      <c r="A928" s="218"/>
      <c r="B928" s="214"/>
    </row>
    <row r="929" spans="1:2">
      <c r="A929" s="218"/>
      <c r="B929" s="214"/>
    </row>
    <row r="930" spans="1:2">
      <c r="A930" s="218"/>
      <c r="B930" s="214"/>
    </row>
    <row r="931" spans="1:2">
      <c r="A931" s="218"/>
      <c r="B931" s="214"/>
    </row>
    <row r="932" spans="1:2">
      <c r="A932" s="218"/>
      <c r="B932" s="214"/>
    </row>
    <row r="933" spans="1:2">
      <c r="A933" s="218"/>
      <c r="B933" s="214"/>
    </row>
    <row r="934" spans="1:2">
      <c r="A934" s="218"/>
      <c r="B934" s="214"/>
    </row>
    <row r="935" spans="1:2">
      <c r="A935" s="218"/>
      <c r="B935" s="214"/>
    </row>
    <row r="936" spans="1:2">
      <c r="A936" s="218"/>
      <c r="B936" s="214"/>
    </row>
    <row r="937" spans="1:2">
      <c r="A937" s="218"/>
      <c r="B937" s="214"/>
    </row>
    <row r="938" spans="1:2">
      <c r="A938" s="218"/>
      <c r="B938" s="214"/>
    </row>
    <row r="939" spans="1:2">
      <c r="A939" s="218"/>
      <c r="B939" s="214"/>
    </row>
    <row r="940" spans="1:2">
      <c r="A940" s="218"/>
      <c r="B940" s="214"/>
    </row>
    <row r="941" spans="1:2">
      <c r="A941" s="218"/>
      <c r="B941" s="214"/>
    </row>
    <row r="942" spans="1:2">
      <c r="A942" s="218"/>
      <c r="B942" s="214"/>
    </row>
    <row r="943" spans="1:2">
      <c r="A943" s="218"/>
      <c r="B943" s="214"/>
    </row>
    <row r="944" spans="1:2">
      <c r="A944" s="218"/>
      <c r="B944" s="214"/>
    </row>
    <row r="945" spans="1:2">
      <c r="A945" s="218"/>
      <c r="B945" s="214"/>
    </row>
    <row r="946" spans="1:2">
      <c r="A946" s="218"/>
      <c r="B946" s="214"/>
    </row>
    <row r="947" spans="1:2">
      <c r="A947" s="218"/>
      <c r="B947" s="214"/>
    </row>
    <row r="948" spans="1:2">
      <c r="A948" s="218"/>
      <c r="B948" s="214"/>
    </row>
    <row r="949" spans="1:2">
      <c r="A949" s="218"/>
      <c r="B949" s="214"/>
    </row>
    <row r="950" spans="1:2">
      <c r="A950" s="218"/>
      <c r="B950" s="214"/>
    </row>
    <row r="951" spans="1:2">
      <c r="A951" s="218"/>
      <c r="B951" s="214"/>
    </row>
    <row r="952" spans="1:2">
      <c r="A952" s="218"/>
      <c r="B952" s="214"/>
    </row>
    <row r="953" spans="1:2">
      <c r="A953" s="218"/>
      <c r="B953" s="214"/>
    </row>
    <row r="954" spans="1:2">
      <c r="A954" s="218"/>
      <c r="B954" s="214"/>
    </row>
    <row r="955" spans="1:2">
      <c r="A955" s="218"/>
      <c r="B955" s="214"/>
    </row>
    <row r="956" spans="1:2">
      <c r="A956" s="218"/>
      <c r="B956" s="214"/>
    </row>
    <row r="957" spans="1:2">
      <c r="A957" s="218"/>
      <c r="B957" s="214"/>
    </row>
    <row r="958" spans="1:2">
      <c r="A958" s="218"/>
      <c r="B958" s="214"/>
    </row>
    <row r="959" spans="1:2">
      <c r="A959" s="218"/>
      <c r="B959" s="214"/>
    </row>
    <row r="960" spans="1:2">
      <c r="A960" s="218"/>
      <c r="B960" s="214"/>
    </row>
    <row r="961" spans="1:2">
      <c r="A961" s="218"/>
      <c r="B961" s="214"/>
    </row>
    <row r="962" spans="1:2">
      <c r="A962" s="218"/>
      <c r="B962" s="214"/>
    </row>
    <row r="963" spans="1:2">
      <c r="A963" s="218"/>
      <c r="B963" s="214"/>
    </row>
    <row r="964" spans="1:2">
      <c r="A964" s="218"/>
      <c r="B964" s="214"/>
    </row>
    <row r="965" spans="1:2">
      <c r="A965" s="218"/>
      <c r="B965" s="214"/>
    </row>
    <row r="966" spans="1:2">
      <c r="A966" s="218"/>
      <c r="B966" s="214"/>
    </row>
    <row r="967" spans="1:2">
      <c r="A967" s="218"/>
      <c r="B967" s="214"/>
    </row>
    <row r="968" spans="1:2">
      <c r="A968" s="218"/>
      <c r="B968" s="214"/>
    </row>
    <row r="969" spans="1:2">
      <c r="A969" s="218"/>
      <c r="B969" s="214"/>
    </row>
    <row r="970" spans="1:2">
      <c r="A970" s="218"/>
      <c r="B970" s="214"/>
    </row>
    <row r="971" spans="1:2">
      <c r="A971" s="218"/>
      <c r="B971" s="214"/>
    </row>
    <row r="972" spans="1:2">
      <c r="A972" s="218"/>
      <c r="B972" s="214"/>
    </row>
    <row r="973" spans="1:2">
      <c r="A973" s="218"/>
      <c r="B973" s="214"/>
    </row>
    <row r="974" spans="1:2">
      <c r="A974" s="218"/>
      <c r="B974" s="214"/>
    </row>
    <row r="975" spans="1:2">
      <c r="A975" s="218"/>
      <c r="B975" s="214"/>
    </row>
    <row r="976" spans="1:2">
      <c r="A976" s="218"/>
      <c r="B976" s="214"/>
    </row>
    <row r="977" spans="1:2">
      <c r="A977" s="218"/>
      <c r="B977" s="214"/>
    </row>
    <row r="978" spans="1:2">
      <c r="A978" s="218"/>
      <c r="B978" s="214"/>
    </row>
    <row r="979" spans="1:2">
      <c r="A979" s="218"/>
      <c r="B979" s="214"/>
    </row>
    <row r="980" spans="1:2">
      <c r="A980" s="218"/>
      <c r="B980" s="214"/>
    </row>
    <row r="981" spans="1:2">
      <c r="A981" s="218"/>
      <c r="B981" s="214"/>
    </row>
    <row r="982" spans="1:2">
      <c r="A982" s="218"/>
      <c r="B982" s="214"/>
    </row>
    <row r="983" spans="1:2">
      <c r="A983" s="218"/>
      <c r="B983" s="214"/>
    </row>
    <row r="984" spans="1:2">
      <c r="A984" s="218"/>
      <c r="B984" s="214"/>
    </row>
    <row r="985" spans="1:2">
      <c r="A985" s="218"/>
      <c r="B985" s="214"/>
    </row>
    <row r="986" spans="1:2">
      <c r="A986" s="218"/>
      <c r="B986" s="214"/>
    </row>
    <row r="987" spans="1:2">
      <c r="A987" s="218"/>
      <c r="B987" s="214"/>
    </row>
    <row r="988" spans="1:2">
      <c r="A988" s="218"/>
      <c r="B988" s="214"/>
    </row>
    <row r="989" spans="1:2">
      <c r="A989" s="218"/>
      <c r="B989" s="214"/>
    </row>
    <row r="990" spans="1:2">
      <c r="A990" s="218"/>
      <c r="B990" s="214"/>
    </row>
    <row r="991" spans="1:2">
      <c r="A991" s="218"/>
      <c r="B991" s="214"/>
    </row>
    <row r="992" spans="1:2">
      <c r="A992" s="218"/>
      <c r="B992" s="214"/>
    </row>
    <row r="993" spans="1:2">
      <c r="A993" s="218"/>
      <c r="B993" s="214"/>
    </row>
    <row r="994" spans="1:2">
      <c r="A994" s="218"/>
      <c r="B994" s="214"/>
    </row>
    <row r="995" spans="1:2">
      <c r="A995" s="218"/>
      <c r="B995" s="214"/>
    </row>
    <row r="996" spans="1:2">
      <c r="A996" s="218"/>
      <c r="B996" s="214"/>
    </row>
    <row r="997" spans="1:2">
      <c r="A997" s="218"/>
      <c r="B997" s="214"/>
    </row>
    <row r="998" spans="1:2">
      <c r="A998" s="218"/>
      <c r="B998" s="214"/>
    </row>
    <row r="999" spans="1:2">
      <c r="A999" s="218"/>
      <c r="B999" s="214"/>
    </row>
    <row r="1000" spans="1:2">
      <c r="A1000" s="218"/>
      <c r="B1000" s="214"/>
    </row>
    <row r="1001" spans="1:2">
      <c r="A1001" s="218"/>
      <c r="B1001" s="214"/>
    </row>
    <row r="1002" spans="1:2">
      <c r="A1002" s="218"/>
      <c r="B1002" s="214"/>
    </row>
    <row r="1003" spans="1:2">
      <c r="A1003" s="218"/>
      <c r="B1003" s="214"/>
    </row>
    <row r="1004" spans="1:2">
      <c r="A1004" s="218"/>
      <c r="B1004" s="214"/>
    </row>
    <row r="1005" spans="1:2">
      <c r="A1005" s="218"/>
      <c r="B1005" s="214"/>
    </row>
    <row r="1006" spans="1:2">
      <c r="A1006" s="218"/>
      <c r="B1006" s="214"/>
    </row>
    <row r="1007" spans="1:2">
      <c r="A1007" s="218"/>
      <c r="B1007" s="214"/>
    </row>
    <row r="1008" spans="1:2">
      <c r="A1008" s="218"/>
      <c r="B1008" s="214"/>
    </row>
    <row r="1009" spans="1:2">
      <c r="A1009" s="218"/>
      <c r="B1009" s="214"/>
    </row>
    <row r="1010" spans="1:2">
      <c r="A1010" s="218"/>
      <c r="B1010" s="214"/>
    </row>
    <row r="1011" spans="1:2">
      <c r="A1011" s="218"/>
      <c r="B1011" s="214"/>
    </row>
    <row r="1012" spans="1:2">
      <c r="A1012" s="218"/>
      <c r="B1012" s="214"/>
    </row>
    <row r="1013" spans="1:2">
      <c r="A1013" s="218"/>
      <c r="B1013" s="214"/>
    </row>
    <row r="1014" spans="1:2">
      <c r="A1014" s="218"/>
      <c r="B1014" s="214"/>
    </row>
    <row r="1015" spans="1:2">
      <c r="A1015" s="218"/>
      <c r="B1015" s="214"/>
    </row>
    <row r="1016" spans="1:2">
      <c r="A1016" s="218"/>
      <c r="B1016" s="214"/>
    </row>
    <row r="1017" spans="1:2">
      <c r="A1017" s="218"/>
      <c r="B1017" s="214"/>
    </row>
    <row r="1018" spans="1:2">
      <c r="A1018" s="218"/>
      <c r="B1018" s="214"/>
    </row>
    <row r="1019" spans="1:2">
      <c r="A1019" s="218"/>
      <c r="B1019" s="214"/>
    </row>
    <row r="1020" spans="1:2">
      <c r="A1020" s="218"/>
      <c r="B1020" s="214"/>
    </row>
    <row r="1021" spans="1:2">
      <c r="A1021" s="218"/>
      <c r="B1021" s="214"/>
    </row>
    <row r="1022" spans="1:2">
      <c r="A1022" s="218"/>
      <c r="B1022" s="214"/>
    </row>
    <row r="1023" spans="1:2">
      <c r="A1023" s="218"/>
      <c r="B1023" s="214"/>
    </row>
    <row r="1024" spans="1:2">
      <c r="A1024" s="218"/>
      <c r="B1024" s="214"/>
    </row>
    <row r="1025" spans="1:2">
      <c r="A1025" s="218"/>
      <c r="B1025" s="214"/>
    </row>
    <row r="1026" spans="1:2">
      <c r="A1026" s="218"/>
      <c r="B1026" s="214"/>
    </row>
    <row r="1027" spans="1:2">
      <c r="A1027" s="218"/>
      <c r="B1027" s="214"/>
    </row>
    <row r="1028" spans="1:2">
      <c r="A1028" s="218"/>
      <c r="B1028" s="214"/>
    </row>
    <row r="1029" spans="1:2">
      <c r="A1029" s="218"/>
      <c r="B1029" s="214"/>
    </row>
    <row r="1030" spans="1:2">
      <c r="A1030" s="218"/>
      <c r="B1030" s="214"/>
    </row>
    <row r="1031" spans="1:2">
      <c r="A1031" s="218"/>
      <c r="B1031" s="214"/>
    </row>
    <row r="1032" spans="1:2">
      <c r="A1032" s="218"/>
      <c r="B1032" s="214"/>
    </row>
    <row r="1033" spans="1:2">
      <c r="A1033" s="218"/>
      <c r="B1033" s="214"/>
    </row>
    <row r="1034" spans="1:2">
      <c r="A1034" s="218"/>
      <c r="B1034" s="214"/>
    </row>
    <row r="1035" spans="1:2">
      <c r="A1035" s="218"/>
      <c r="B1035" s="214"/>
    </row>
    <row r="1036" spans="1:2">
      <c r="A1036" s="218"/>
      <c r="B1036" s="214"/>
    </row>
    <row r="1037" spans="1:2">
      <c r="A1037" s="218"/>
      <c r="B1037" s="214"/>
    </row>
    <row r="1038" spans="1:2">
      <c r="A1038" s="218"/>
      <c r="B1038" s="214"/>
    </row>
    <row r="1039" spans="1:2">
      <c r="A1039" s="218"/>
      <c r="B1039" s="214"/>
    </row>
    <row r="1040" spans="1:2">
      <c r="A1040" s="218"/>
      <c r="B1040" s="214"/>
    </row>
    <row r="1041" spans="1:2">
      <c r="A1041" s="218"/>
      <c r="B1041" s="214"/>
    </row>
    <row r="1042" spans="1:2">
      <c r="A1042" s="218"/>
      <c r="B1042" s="214"/>
    </row>
    <row r="1043" spans="1:2">
      <c r="A1043" s="218"/>
      <c r="B1043" s="214"/>
    </row>
    <row r="1044" spans="1:2">
      <c r="A1044" s="218"/>
      <c r="B1044" s="214"/>
    </row>
    <row r="1045" spans="1:2">
      <c r="A1045" s="218"/>
      <c r="B1045" s="214"/>
    </row>
    <row r="1046" spans="1:2">
      <c r="A1046" s="218"/>
      <c r="B1046" s="214"/>
    </row>
    <row r="1047" spans="1:2">
      <c r="A1047" s="218"/>
      <c r="B1047" s="214"/>
    </row>
    <row r="1048" spans="1:2">
      <c r="A1048" s="218"/>
      <c r="B1048" s="214"/>
    </row>
    <row r="1049" spans="1:2">
      <c r="A1049" s="218"/>
      <c r="B1049" s="214"/>
    </row>
    <row r="1050" spans="1:2">
      <c r="A1050" s="218"/>
      <c r="B1050" s="214"/>
    </row>
    <row r="1051" spans="1:2">
      <c r="A1051" s="218"/>
      <c r="B1051" s="214"/>
    </row>
    <row r="1052" spans="1:2">
      <c r="A1052" s="218"/>
      <c r="B1052" s="214"/>
    </row>
    <row r="1053" spans="1:2">
      <c r="A1053" s="218"/>
      <c r="B1053" s="214"/>
    </row>
    <row r="1054" spans="1:2">
      <c r="A1054" s="218"/>
      <c r="B1054" s="214"/>
    </row>
    <row r="1055" spans="1:2">
      <c r="A1055" s="218"/>
      <c r="B1055" s="214"/>
    </row>
    <row r="1056" spans="1:2">
      <c r="A1056" s="218"/>
      <c r="B1056" s="214"/>
    </row>
    <row r="1057" spans="1:2">
      <c r="A1057" s="218"/>
      <c r="B1057" s="214"/>
    </row>
    <row r="1058" spans="1:2">
      <c r="A1058" s="218"/>
      <c r="B1058" s="214"/>
    </row>
    <row r="1059" spans="1:2">
      <c r="A1059" s="218"/>
      <c r="B1059" s="214"/>
    </row>
    <row r="1060" spans="1:2">
      <c r="A1060" s="218"/>
      <c r="B1060" s="214"/>
    </row>
    <row r="1061" spans="1:2">
      <c r="A1061" s="218"/>
      <c r="B1061" s="214"/>
    </row>
    <row r="1062" spans="1:2">
      <c r="A1062" s="218"/>
      <c r="B1062" s="214"/>
    </row>
    <row r="1063" spans="1:2">
      <c r="A1063" s="218"/>
      <c r="B1063" s="214"/>
    </row>
    <row r="1064" spans="1:2">
      <c r="A1064" s="218"/>
      <c r="B1064" s="214"/>
    </row>
    <row r="1065" spans="1:2">
      <c r="A1065" s="218"/>
      <c r="B1065" s="214"/>
    </row>
    <row r="1066" spans="1:2">
      <c r="A1066" s="218"/>
      <c r="B1066" s="214"/>
    </row>
    <row r="1067" spans="1:2">
      <c r="A1067" s="218"/>
      <c r="B1067" s="214"/>
    </row>
    <row r="1068" spans="1:2">
      <c r="A1068" s="218"/>
      <c r="B1068" s="214"/>
    </row>
    <row r="1069" spans="1:2">
      <c r="A1069" s="218"/>
      <c r="B1069" s="214"/>
    </row>
    <row r="1070" spans="1:2">
      <c r="A1070" s="218"/>
      <c r="B1070" s="214"/>
    </row>
    <row r="1071" spans="1:2">
      <c r="A1071" s="218"/>
      <c r="B1071" s="214"/>
    </row>
    <row r="1072" spans="1:2">
      <c r="A1072" s="218"/>
      <c r="B1072" s="214"/>
    </row>
    <row r="1073" spans="1:2">
      <c r="A1073" s="218"/>
      <c r="B1073" s="214"/>
    </row>
    <row r="1074" spans="1:2">
      <c r="A1074" s="218"/>
      <c r="B1074" s="214"/>
    </row>
    <row r="1075" spans="1:2">
      <c r="A1075" s="218"/>
      <c r="B1075" s="214"/>
    </row>
    <row r="1076" spans="1:2">
      <c r="A1076" s="218"/>
      <c r="B1076" s="214"/>
    </row>
    <row r="1077" spans="1:2">
      <c r="A1077" s="218"/>
      <c r="B1077" s="214"/>
    </row>
    <row r="1078" spans="1:2">
      <c r="A1078" s="218"/>
      <c r="B1078" s="214"/>
    </row>
    <row r="1079" spans="1:2">
      <c r="A1079" s="218"/>
      <c r="B1079" s="214"/>
    </row>
    <row r="1080" spans="1:2">
      <c r="A1080" s="218"/>
      <c r="B1080" s="214"/>
    </row>
    <row r="1081" spans="1:2">
      <c r="A1081" s="218"/>
      <c r="B1081" s="214"/>
    </row>
    <row r="1082" spans="1:2">
      <c r="A1082" s="218"/>
      <c r="B1082" s="214"/>
    </row>
    <row r="1083" spans="1:2">
      <c r="A1083" s="218"/>
      <c r="B1083" s="214"/>
    </row>
    <row r="1084" spans="1:2">
      <c r="A1084" s="218"/>
      <c r="B1084" s="214"/>
    </row>
    <row r="1085" spans="1:2">
      <c r="A1085" s="218"/>
      <c r="B1085" s="214"/>
    </row>
    <row r="1086" spans="1:2">
      <c r="A1086" s="218"/>
      <c r="B1086" s="214"/>
    </row>
    <row r="1087" spans="1:2">
      <c r="A1087" s="218"/>
      <c r="B1087" s="214"/>
    </row>
    <row r="1088" spans="1:2">
      <c r="A1088" s="218"/>
      <c r="B1088" s="214"/>
    </row>
    <row r="1089" spans="1:2">
      <c r="A1089" s="218"/>
      <c r="B1089" s="214"/>
    </row>
    <row r="1090" spans="1:2">
      <c r="A1090" s="218"/>
      <c r="B1090" s="214"/>
    </row>
    <row r="1091" spans="1:2">
      <c r="A1091" s="218"/>
      <c r="B1091" s="214"/>
    </row>
    <row r="1092" spans="1:2">
      <c r="A1092" s="218"/>
      <c r="B1092" s="214"/>
    </row>
    <row r="1093" spans="1:2">
      <c r="A1093" s="218"/>
      <c r="B1093" s="214"/>
    </row>
    <row r="1094" spans="1:2">
      <c r="A1094" s="218"/>
      <c r="B1094" s="214"/>
    </row>
    <row r="1095" spans="1:2">
      <c r="A1095" s="218"/>
      <c r="B1095" s="214"/>
    </row>
    <row r="1096" spans="1:2">
      <c r="A1096" s="218"/>
      <c r="B1096" s="214"/>
    </row>
    <row r="1097" spans="1:2">
      <c r="A1097" s="218"/>
      <c r="B1097" s="214"/>
    </row>
    <row r="1098" spans="1:2">
      <c r="A1098" s="218"/>
      <c r="B1098" s="214"/>
    </row>
    <row r="1099" spans="1:2">
      <c r="A1099" s="218"/>
      <c r="B1099" s="214"/>
    </row>
    <row r="1100" spans="1:2">
      <c r="A1100" s="218"/>
      <c r="B1100" s="214"/>
    </row>
    <row r="1101" spans="1:2">
      <c r="A1101" s="218"/>
      <c r="B1101" s="214"/>
    </row>
    <row r="1102" spans="1:2">
      <c r="A1102" s="218"/>
      <c r="B1102" s="214"/>
    </row>
    <row r="1103" spans="1:2">
      <c r="A1103" s="218"/>
      <c r="B1103" s="214"/>
    </row>
    <row r="1104" spans="1:2">
      <c r="A1104" s="218"/>
      <c r="B1104" s="214"/>
    </row>
    <row r="1105" spans="1:2">
      <c r="A1105" s="218"/>
      <c r="B1105" s="214"/>
    </row>
    <row r="1106" spans="1:2">
      <c r="A1106" s="218"/>
      <c r="B1106" s="214"/>
    </row>
    <row r="1107" spans="1:2">
      <c r="A1107" s="218"/>
      <c r="B1107" s="214"/>
    </row>
    <row r="1108" spans="1:2">
      <c r="A1108" s="218"/>
      <c r="B1108" s="214"/>
    </row>
    <row r="1109" spans="1:2">
      <c r="A1109" s="218"/>
      <c r="B1109" s="214"/>
    </row>
    <row r="1110" spans="1:2">
      <c r="A1110" s="218"/>
      <c r="B1110" s="214"/>
    </row>
    <row r="1111" spans="1:2">
      <c r="A1111" s="218"/>
      <c r="B1111" s="214"/>
    </row>
    <row r="1112" spans="1:2">
      <c r="A1112" s="218"/>
      <c r="B1112" s="214"/>
    </row>
    <row r="1113" spans="1:2">
      <c r="A1113" s="218"/>
      <c r="B1113" s="214"/>
    </row>
    <row r="1114" spans="1:2">
      <c r="A1114" s="218"/>
      <c r="B1114" s="214"/>
    </row>
    <row r="1115" spans="1:2">
      <c r="A1115" s="218"/>
      <c r="B1115" s="214"/>
    </row>
    <row r="1116" spans="1:2">
      <c r="A1116" s="218"/>
      <c r="B1116" s="214"/>
    </row>
    <row r="1117" spans="1:2">
      <c r="A1117" s="218"/>
      <c r="B1117" s="214"/>
    </row>
    <row r="1118" spans="1:2">
      <c r="A1118" s="218"/>
      <c r="B1118" s="214"/>
    </row>
    <row r="1119" spans="1:2">
      <c r="A1119" s="218"/>
      <c r="B1119" s="214"/>
    </row>
    <row r="1120" spans="1:2">
      <c r="A1120" s="218"/>
      <c r="B1120" s="214"/>
    </row>
    <row r="1121" spans="1:2">
      <c r="A1121" s="218"/>
      <c r="B1121" s="214"/>
    </row>
    <row r="1122" spans="1:2">
      <c r="A1122" s="218"/>
      <c r="B1122" s="214"/>
    </row>
    <row r="1123" spans="1:2">
      <c r="A1123" s="218"/>
      <c r="B1123" s="214"/>
    </row>
    <row r="1124" spans="1:2">
      <c r="A1124" s="218"/>
      <c r="B1124" s="214"/>
    </row>
    <row r="1125" spans="1:2">
      <c r="A1125" s="218"/>
      <c r="B1125" s="214"/>
    </row>
    <row r="1126" spans="1:2">
      <c r="A1126" s="218"/>
      <c r="B1126" s="214"/>
    </row>
    <row r="1127" spans="1:2">
      <c r="A1127" s="218"/>
      <c r="B1127" s="214"/>
    </row>
    <row r="1128" spans="1:2">
      <c r="A1128" s="218"/>
      <c r="B1128" s="214"/>
    </row>
    <row r="1129" spans="1:2">
      <c r="A1129" s="218"/>
      <c r="B1129" s="214"/>
    </row>
    <row r="1130" spans="1:2">
      <c r="A1130" s="218"/>
      <c r="B1130" s="214"/>
    </row>
    <row r="1131" spans="1:2">
      <c r="A1131" s="218"/>
      <c r="B1131" s="214"/>
    </row>
    <row r="1132" spans="1:2">
      <c r="A1132" s="218"/>
      <c r="B1132" s="214"/>
    </row>
    <row r="1133" spans="1:2">
      <c r="A1133" s="218"/>
      <c r="B1133" s="214"/>
    </row>
    <row r="1134" spans="1:2">
      <c r="A1134" s="218"/>
      <c r="B1134" s="214"/>
    </row>
    <row r="1135" spans="1:2">
      <c r="A1135" s="218"/>
      <c r="B1135" s="214"/>
    </row>
    <row r="1136" spans="1:2">
      <c r="A1136" s="218"/>
      <c r="B1136" s="214"/>
    </row>
    <row r="1137" spans="1:2">
      <c r="A1137" s="218"/>
      <c r="B1137" s="214"/>
    </row>
    <row r="1138" spans="1:2">
      <c r="A1138" s="218"/>
      <c r="B1138" s="214"/>
    </row>
    <row r="1139" spans="1:2">
      <c r="A1139" s="218"/>
      <c r="B1139" s="214"/>
    </row>
    <row r="1140" spans="1:2">
      <c r="A1140" s="218"/>
      <c r="B1140" s="214"/>
    </row>
    <row r="1141" spans="1:2">
      <c r="A1141" s="218"/>
      <c r="B1141" s="214"/>
    </row>
    <row r="1142" spans="1:2">
      <c r="A1142" s="218"/>
      <c r="B1142" s="214"/>
    </row>
    <row r="1143" spans="1:2">
      <c r="A1143" s="218"/>
      <c r="B1143" s="214"/>
    </row>
    <row r="1144" spans="1:2">
      <c r="A1144" s="218"/>
      <c r="B1144" s="214"/>
    </row>
    <row r="1145" spans="1:2">
      <c r="A1145" s="218"/>
      <c r="B1145" s="214"/>
    </row>
    <row r="1146" spans="1:2">
      <c r="A1146" s="218"/>
      <c r="B1146" s="214"/>
    </row>
    <row r="1147" spans="1:2">
      <c r="A1147" s="218"/>
      <c r="B1147" s="214"/>
    </row>
    <row r="1148" spans="1:2">
      <c r="A1148" s="218"/>
      <c r="B1148" s="214"/>
    </row>
    <row r="1149" spans="1:2">
      <c r="A1149" s="218"/>
      <c r="B1149" s="214"/>
    </row>
    <row r="1150" spans="1:2">
      <c r="A1150" s="218"/>
      <c r="B1150" s="214"/>
    </row>
    <row r="1151" spans="1:2">
      <c r="A1151" s="218"/>
      <c r="B1151" s="214"/>
    </row>
    <row r="1152" spans="1:2">
      <c r="A1152" s="218"/>
      <c r="B1152" s="214"/>
    </row>
    <row r="1153" spans="1:2">
      <c r="A1153" s="218"/>
      <c r="B1153" s="214"/>
    </row>
    <row r="1154" spans="1:2">
      <c r="A1154" s="218"/>
      <c r="B1154" s="214"/>
    </row>
    <row r="1155" spans="1:2">
      <c r="A1155" s="218"/>
      <c r="B1155" s="214"/>
    </row>
    <row r="1156" spans="1:2">
      <c r="A1156" s="218"/>
      <c r="B1156" s="214"/>
    </row>
    <row r="1157" spans="1:2">
      <c r="A1157" s="218"/>
      <c r="B1157" s="214"/>
    </row>
    <row r="1158" spans="1:2">
      <c r="A1158" s="218"/>
      <c r="B1158" s="214"/>
    </row>
    <row r="1159" spans="1:2">
      <c r="A1159" s="218"/>
      <c r="B1159" s="214"/>
    </row>
    <row r="1160" spans="1:2">
      <c r="A1160" s="218"/>
      <c r="B1160" s="214"/>
    </row>
    <row r="1161" spans="1:2">
      <c r="A1161" s="218"/>
      <c r="B1161" s="214"/>
    </row>
    <row r="1162" spans="1:2">
      <c r="A1162" s="218"/>
      <c r="B1162" s="214"/>
    </row>
    <row r="1163" spans="1:2">
      <c r="A1163" s="218"/>
      <c r="B1163" s="214"/>
    </row>
    <row r="1164" spans="1:2">
      <c r="A1164" s="218"/>
      <c r="B1164" s="214"/>
    </row>
    <row r="1165" spans="1:2">
      <c r="A1165" s="218"/>
      <c r="B1165" s="214"/>
    </row>
    <row r="1166" spans="1:2">
      <c r="A1166" s="218"/>
      <c r="B1166" s="214"/>
    </row>
    <row r="1167" spans="1:2">
      <c r="A1167" s="218"/>
      <c r="B1167" s="214"/>
    </row>
    <row r="1168" spans="1:2">
      <c r="A1168" s="218"/>
      <c r="B1168" s="214"/>
    </row>
    <row r="1169" spans="1:2">
      <c r="A1169" s="218"/>
      <c r="B1169" s="214"/>
    </row>
    <row r="1170" spans="1:2">
      <c r="A1170" s="218"/>
      <c r="B1170" s="214"/>
    </row>
    <row r="1171" spans="1:2">
      <c r="A1171" s="218"/>
      <c r="B1171" s="214"/>
    </row>
    <row r="1172" spans="1:2">
      <c r="A1172" s="218"/>
      <c r="B1172" s="214"/>
    </row>
    <row r="1173" spans="1:2">
      <c r="A1173" s="218"/>
      <c r="B1173" s="214"/>
    </row>
    <row r="1174" spans="1:2">
      <c r="A1174" s="218"/>
      <c r="B1174" s="214"/>
    </row>
    <row r="1175" spans="1:2">
      <c r="A1175" s="218"/>
      <c r="B1175" s="214"/>
    </row>
    <row r="1176" spans="1:2">
      <c r="A1176" s="218"/>
      <c r="B1176" s="214"/>
    </row>
    <row r="1177" spans="1:2">
      <c r="A1177" s="218"/>
      <c r="B1177" s="214"/>
    </row>
    <row r="1178" spans="1:2">
      <c r="A1178" s="218"/>
      <c r="B1178" s="214"/>
    </row>
    <row r="1179" spans="1:2">
      <c r="A1179" s="218"/>
      <c r="B1179" s="214"/>
    </row>
    <row r="1180" spans="1:2">
      <c r="A1180" s="218"/>
      <c r="B1180" s="214"/>
    </row>
    <row r="1181" spans="1:2">
      <c r="A1181" s="218"/>
      <c r="B1181" s="214"/>
    </row>
    <row r="1182" spans="1:2">
      <c r="A1182" s="218"/>
      <c r="B1182" s="214"/>
    </row>
    <row r="1183" spans="1:2">
      <c r="A1183" s="218"/>
      <c r="B1183" s="214"/>
    </row>
    <row r="1184" spans="1:2">
      <c r="A1184" s="218"/>
      <c r="B1184" s="214"/>
    </row>
    <row r="1185" spans="1:2">
      <c r="A1185" s="218"/>
      <c r="B1185" s="214"/>
    </row>
    <row r="1186" spans="1:2">
      <c r="A1186" s="218"/>
      <c r="B1186" s="214"/>
    </row>
    <row r="1187" spans="1:2">
      <c r="A1187" s="218"/>
      <c r="B1187" s="214"/>
    </row>
    <row r="1188" spans="1:2">
      <c r="A1188" s="218"/>
      <c r="B1188" s="214"/>
    </row>
    <row r="1189" spans="1:2">
      <c r="A1189" s="218"/>
      <c r="B1189" s="214"/>
    </row>
    <row r="1190" spans="1:2">
      <c r="A1190" s="218"/>
      <c r="B1190" s="214"/>
    </row>
    <row r="1191" spans="1:2">
      <c r="A1191" s="218"/>
      <c r="B1191" s="214"/>
    </row>
    <row r="1192" spans="1:2">
      <c r="A1192" s="218"/>
      <c r="B1192" s="214"/>
    </row>
    <row r="1193" spans="1:2">
      <c r="A1193" s="218"/>
      <c r="B1193" s="214"/>
    </row>
    <row r="1194" spans="1:2">
      <c r="A1194" s="218"/>
      <c r="B1194" s="214"/>
    </row>
    <row r="1195" spans="1:2">
      <c r="A1195" s="218"/>
      <c r="B1195" s="214"/>
    </row>
    <row r="1196" spans="1:2">
      <c r="A1196" s="218"/>
      <c r="B1196" s="214"/>
    </row>
    <row r="1197" spans="1:2">
      <c r="A1197" s="218"/>
      <c r="B1197" s="214"/>
    </row>
    <row r="1198" spans="1:2">
      <c r="A1198" s="218"/>
      <c r="B1198" s="214"/>
    </row>
    <row r="1199" spans="1:2">
      <c r="A1199" s="218"/>
      <c r="B1199" s="214"/>
    </row>
    <row r="1200" spans="1:2">
      <c r="A1200" s="218"/>
      <c r="B1200" s="214"/>
    </row>
    <row r="1201" spans="1:2">
      <c r="A1201" s="218"/>
      <c r="B1201" s="214"/>
    </row>
    <row r="1202" spans="1:2">
      <c r="A1202" s="218"/>
      <c r="B1202" s="214"/>
    </row>
    <row r="1203" spans="1:2">
      <c r="A1203" s="218"/>
      <c r="B1203" s="214"/>
    </row>
    <row r="1204" spans="1:2">
      <c r="A1204" s="218"/>
      <c r="B1204" s="214"/>
    </row>
    <row r="1205" spans="1:2">
      <c r="A1205" s="218"/>
      <c r="B1205" s="214"/>
    </row>
    <row r="1206" spans="1:2">
      <c r="A1206" s="218"/>
      <c r="B1206" s="214"/>
    </row>
    <row r="1207" spans="1:2">
      <c r="A1207" s="218"/>
      <c r="B1207" s="214"/>
    </row>
    <row r="1208" spans="1:2">
      <c r="A1208" s="218"/>
      <c r="B1208" s="214"/>
    </row>
    <row r="1209" spans="1:2">
      <c r="A1209" s="218"/>
      <c r="B1209" s="214"/>
    </row>
    <row r="1210" spans="1:2">
      <c r="A1210" s="218"/>
      <c r="B1210" s="214"/>
    </row>
    <row r="1211" spans="1:2">
      <c r="A1211" s="218"/>
      <c r="B1211" s="214"/>
    </row>
    <row r="1212" spans="1:2">
      <c r="A1212" s="218"/>
      <c r="B1212" s="214"/>
    </row>
    <row r="1213" spans="1:2">
      <c r="A1213" s="218"/>
      <c r="B1213" s="214"/>
    </row>
    <row r="1214" spans="1:2">
      <c r="A1214" s="218"/>
      <c r="B1214" s="214"/>
    </row>
    <row r="1215" spans="1:2">
      <c r="A1215" s="218"/>
      <c r="B1215" s="214"/>
    </row>
    <row r="1216" spans="1:2">
      <c r="A1216" s="218"/>
      <c r="B1216" s="214"/>
    </row>
    <row r="1217" spans="1:2">
      <c r="A1217" s="218"/>
      <c r="B1217" s="214"/>
    </row>
    <row r="1218" spans="1:2">
      <c r="A1218" s="218"/>
      <c r="B1218" s="214"/>
    </row>
    <row r="1219" spans="1:2">
      <c r="A1219" s="218"/>
      <c r="B1219" s="214"/>
    </row>
    <row r="1220" spans="1:2">
      <c r="A1220" s="218"/>
      <c r="B1220" s="214"/>
    </row>
    <row r="1221" spans="1:2">
      <c r="A1221" s="218"/>
      <c r="B1221" s="214"/>
    </row>
    <row r="1222" spans="1:2">
      <c r="A1222" s="218"/>
      <c r="B1222" s="214"/>
    </row>
    <row r="1223" spans="1:2">
      <c r="A1223" s="218"/>
      <c r="B1223" s="214"/>
    </row>
    <row r="1224" spans="1:2">
      <c r="A1224" s="218"/>
      <c r="B1224" s="214"/>
    </row>
    <row r="1225" spans="1:2">
      <c r="A1225" s="218"/>
      <c r="B1225" s="214"/>
    </row>
    <row r="1226" spans="1:2">
      <c r="A1226" s="218"/>
      <c r="B1226" s="214"/>
    </row>
    <row r="1227" spans="1:2">
      <c r="A1227" s="218"/>
      <c r="B1227" s="214"/>
    </row>
    <row r="1228" spans="1:2">
      <c r="A1228" s="218"/>
      <c r="B1228" s="214"/>
    </row>
    <row r="1229" spans="1:2">
      <c r="A1229" s="218"/>
      <c r="B1229" s="214"/>
    </row>
    <row r="1230" spans="1:2">
      <c r="A1230" s="218"/>
      <c r="B1230" s="214"/>
    </row>
    <row r="1231" spans="1:2">
      <c r="A1231" s="218"/>
      <c r="B1231" s="214"/>
    </row>
    <row r="1232" spans="1:2">
      <c r="A1232" s="218"/>
      <c r="B1232" s="214"/>
    </row>
    <row r="1233" spans="1:2">
      <c r="A1233" s="218"/>
      <c r="B1233" s="214"/>
    </row>
    <row r="1234" spans="1:2">
      <c r="A1234" s="218"/>
      <c r="B1234" s="214"/>
    </row>
    <row r="1235" spans="1:2">
      <c r="A1235" s="218"/>
      <c r="B1235" s="214"/>
    </row>
    <row r="1236" spans="1:2">
      <c r="A1236" s="218"/>
      <c r="B1236" s="214"/>
    </row>
    <row r="1237" spans="1:2">
      <c r="A1237" s="218"/>
      <c r="B1237" s="214"/>
    </row>
    <row r="1238" spans="1:2">
      <c r="A1238" s="218"/>
      <c r="B1238" s="214"/>
    </row>
    <row r="1239" spans="1:2">
      <c r="A1239" s="218"/>
      <c r="B1239" s="214"/>
    </row>
    <row r="1240" spans="1:2">
      <c r="A1240" s="218"/>
      <c r="B1240" s="214"/>
    </row>
    <row r="1241" spans="1:2">
      <c r="A1241" s="218"/>
      <c r="B1241" s="214"/>
    </row>
    <row r="1242" spans="1:2">
      <c r="A1242" s="218"/>
      <c r="B1242" s="214"/>
    </row>
    <row r="1243" spans="1:2">
      <c r="A1243" s="218"/>
      <c r="B1243" s="214"/>
    </row>
    <row r="1244" spans="1:2">
      <c r="A1244" s="218"/>
      <c r="B1244" s="214"/>
    </row>
    <row r="1245" spans="1:2">
      <c r="A1245" s="218"/>
      <c r="B1245" s="214"/>
    </row>
    <row r="1246" spans="1:2">
      <c r="A1246" s="218"/>
      <c r="B1246" s="214"/>
    </row>
    <row r="1247" spans="1:2">
      <c r="A1247" s="218"/>
      <c r="B1247" s="214"/>
    </row>
    <row r="1248" spans="1:2">
      <c r="A1248" s="218"/>
      <c r="B1248" s="214"/>
    </row>
    <row r="1249" spans="1:2">
      <c r="A1249" s="218"/>
      <c r="B1249" s="214"/>
    </row>
    <row r="1250" spans="1:2">
      <c r="A1250" s="218"/>
      <c r="B1250" s="214"/>
    </row>
    <row r="1251" spans="1:2">
      <c r="A1251" s="218"/>
      <c r="B1251" s="214"/>
    </row>
    <row r="1252" spans="1:2">
      <c r="A1252" s="218"/>
      <c r="B1252" s="214"/>
    </row>
    <row r="1253" spans="1:2">
      <c r="A1253" s="218"/>
      <c r="B1253" s="214"/>
    </row>
    <row r="1254" spans="1:2">
      <c r="A1254" s="218"/>
      <c r="B1254" s="214"/>
    </row>
    <row r="1255" spans="1:2">
      <c r="A1255" s="218"/>
      <c r="B1255" s="214"/>
    </row>
    <row r="1256" spans="1:2">
      <c r="A1256" s="218"/>
      <c r="B1256" s="214"/>
    </row>
    <row r="1257" spans="1:2">
      <c r="A1257" s="218"/>
      <c r="B1257" s="214"/>
    </row>
    <row r="1258" spans="1:2">
      <c r="A1258" s="218"/>
      <c r="B1258" s="214"/>
    </row>
    <row r="1259" spans="1:2">
      <c r="A1259" s="218"/>
      <c r="B1259" s="214"/>
    </row>
    <row r="1260" spans="1:2">
      <c r="A1260" s="218"/>
      <c r="B1260" s="214"/>
    </row>
    <row r="1261" spans="1:2">
      <c r="A1261" s="218"/>
      <c r="B1261" s="214"/>
    </row>
    <row r="1262" spans="1:2">
      <c r="A1262" s="218"/>
      <c r="B1262" s="214"/>
    </row>
    <row r="1263" spans="1:2">
      <c r="A1263" s="218"/>
      <c r="B1263" s="214"/>
    </row>
    <row r="1264" spans="1:2">
      <c r="A1264" s="218"/>
      <c r="B1264" s="214"/>
    </row>
    <row r="1265" spans="1:2">
      <c r="A1265" s="218"/>
      <c r="B1265" s="214"/>
    </row>
    <row r="1266" spans="1:2">
      <c r="A1266" s="218"/>
      <c r="B1266" s="214"/>
    </row>
    <row r="1267" spans="1:2">
      <c r="A1267" s="218"/>
      <c r="B1267" s="214"/>
    </row>
    <row r="1268" spans="1:2">
      <c r="A1268" s="218"/>
      <c r="B1268" s="214"/>
    </row>
    <row r="1269" spans="1:2">
      <c r="A1269" s="218"/>
      <c r="B1269" s="214"/>
    </row>
    <row r="1270" spans="1:2">
      <c r="A1270" s="218"/>
      <c r="B1270" s="214"/>
    </row>
    <row r="1271" spans="1:2">
      <c r="A1271" s="218"/>
      <c r="B1271" s="214"/>
    </row>
    <row r="1272" spans="1:2">
      <c r="A1272" s="218"/>
      <c r="B1272" s="214"/>
    </row>
    <row r="1273" spans="1:2">
      <c r="A1273" s="218"/>
      <c r="B1273" s="214"/>
    </row>
    <row r="1274" spans="1:2">
      <c r="A1274" s="218"/>
      <c r="B1274" s="214"/>
    </row>
    <row r="1275" spans="1:2">
      <c r="A1275" s="218"/>
      <c r="B1275" s="214"/>
    </row>
    <row r="1276" spans="1:2">
      <c r="A1276" s="218"/>
      <c r="B1276" s="214"/>
    </row>
    <row r="1277" spans="1:2">
      <c r="A1277" s="218"/>
      <c r="B1277" s="214"/>
    </row>
    <row r="1278" spans="1:2">
      <c r="A1278" s="218"/>
      <c r="B1278" s="214"/>
    </row>
    <row r="1279" spans="1:2">
      <c r="A1279" s="218"/>
      <c r="B1279" s="214"/>
    </row>
    <row r="1280" spans="1:2">
      <c r="A1280" s="218"/>
      <c r="B1280" s="214"/>
    </row>
    <row r="1281" spans="1:2">
      <c r="A1281" s="218"/>
      <c r="B1281" s="214"/>
    </row>
    <row r="1282" spans="1:2">
      <c r="A1282" s="218"/>
      <c r="B1282" s="214"/>
    </row>
    <row r="1283" spans="1:2">
      <c r="A1283" s="218"/>
      <c r="B1283" s="214"/>
    </row>
    <row r="1284" spans="1:2">
      <c r="A1284" s="218"/>
      <c r="B1284" s="214"/>
    </row>
    <row r="1285" spans="1:2">
      <c r="A1285" s="218"/>
      <c r="B1285" s="214"/>
    </row>
    <row r="1286" spans="1:2">
      <c r="A1286" s="218"/>
      <c r="B1286" s="214"/>
    </row>
    <row r="1287" spans="1:2">
      <c r="A1287" s="218"/>
      <c r="B1287" s="214"/>
    </row>
    <row r="1288" spans="1:2">
      <c r="A1288" s="218"/>
      <c r="B1288" s="214"/>
    </row>
    <row r="1289" spans="1:2">
      <c r="A1289" s="218"/>
      <c r="B1289" s="214"/>
    </row>
    <row r="1290" spans="1:2">
      <c r="A1290" s="218"/>
      <c r="B1290" s="214"/>
    </row>
    <row r="1291" spans="1:2">
      <c r="A1291" s="218"/>
      <c r="B1291" s="214"/>
    </row>
    <row r="1292" spans="1:2">
      <c r="A1292" s="218"/>
      <c r="B1292" s="214"/>
    </row>
    <row r="1293" spans="1:2">
      <c r="A1293" s="218"/>
      <c r="B1293" s="214"/>
    </row>
    <row r="1294" spans="1:2">
      <c r="A1294" s="218"/>
      <c r="B1294" s="214"/>
    </row>
    <row r="1295" spans="1:2">
      <c r="A1295" s="218"/>
      <c r="B1295" s="214"/>
    </row>
    <row r="1296" spans="1:2">
      <c r="A1296" s="218"/>
      <c r="B1296" s="214"/>
    </row>
    <row r="1297" spans="1:2">
      <c r="A1297" s="218"/>
      <c r="B1297" s="214"/>
    </row>
    <row r="1298" spans="1:2">
      <c r="A1298" s="218"/>
      <c r="B1298" s="214"/>
    </row>
    <row r="1299" spans="1:2">
      <c r="A1299" s="218"/>
      <c r="B1299" s="214"/>
    </row>
    <row r="1300" spans="1:2">
      <c r="A1300" s="218"/>
      <c r="B1300" s="214"/>
    </row>
    <row r="1301" spans="1:2">
      <c r="A1301" s="218"/>
      <c r="B1301" s="214"/>
    </row>
    <row r="1302" spans="1:2">
      <c r="A1302" s="218"/>
      <c r="B1302" s="214"/>
    </row>
    <row r="1303" spans="1:2">
      <c r="A1303" s="218"/>
      <c r="B1303" s="214"/>
    </row>
    <row r="1304" spans="1:2">
      <c r="A1304" s="218"/>
      <c r="B1304" s="214"/>
    </row>
    <row r="1305" spans="1:2">
      <c r="A1305" s="218"/>
      <c r="B1305" s="214"/>
    </row>
    <row r="1306" spans="1:2">
      <c r="A1306" s="218"/>
      <c r="B1306" s="214"/>
    </row>
    <row r="1307" spans="1:2">
      <c r="A1307" s="218"/>
      <c r="B1307" s="214"/>
    </row>
    <row r="1308" spans="1:2">
      <c r="A1308" s="218"/>
      <c r="B1308" s="214"/>
    </row>
    <row r="1309" spans="1:2">
      <c r="A1309" s="218"/>
      <c r="B1309" s="214"/>
    </row>
    <row r="1310" spans="1:2">
      <c r="A1310" s="218"/>
      <c r="B1310" s="214"/>
    </row>
    <row r="1311" spans="1:2">
      <c r="A1311" s="218"/>
      <c r="B1311" s="214"/>
    </row>
    <row r="1312" spans="1:2">
      <c r="A1312" s="218"/>
      <c r="B1312" s="214"/>
    </row>
    <row r="1313" spans="1:2">
      <c r="A1313" s="218"/>
      <c r="B1313" s="214"/>
    </row>
    <row r="1314" spans="1:2">
      <c r="A1314" s="218"/>
      <c r="B1314" s="214"/>
    </row>
    <row r="1315" spans="1:2">
      <c r="A1315" s="218"/>
      <c r="B1315" s="214"/>
    </row>
    <row r="1316" spans="1:2">
      <c r="A1316" s="218"/>
      <c r="B1316" s="214"/>
    </row>
    <row r="1317" spans="1:2">
      <c r="A1317" s="218"/>
      <c r="B1317" s="214"/>
    </row>
    <row r="1318" spans="1:2">
      <c r="A1318" s="218"/>
      <c r="B1318" s="214"/>
    </row>
    <row r="1319" spans="1:2">
      <c r="A1319" s="218"/>
      <c r="B1319" s="214"/>
    </row>
    <row r="1320" spans="1:2">
      <c r="A1320" s="218"/>
      <c r="B1320" s="214"/>
    </row>
    <row r="1321" spans="1:2">
      <c r="A1321" s="218"/>
      <c r="B1321" s="214"/>
    </row>
    <row r="1322" spans="1:2">
      <c r="A1322" s="218"/>
      <c r="B1322" s="214"/>
    </row>
    <row r="1323" spans="1:2">
      <c r="A1323" s="218"/>
      <c r="B1323" s="214"/>
    </row>
    <row r="1324" spans="1:2">
      <c r="A1324" s="218"/>
      <c r="B1324" s="214"/>
    </row>
    <row r="1325" spans="1:2">
      <c r="A1325" s="218"/>
      <c r="B1325" s="214"/>
    </row>
    <row r="1326" spans="1:2">
      <c r="A1326" s="218"/>
      <c r="B1326" s="214"/>
    </row>
    <row r="1327" spans="1:2">
      <c r="A1327" s="218"/>
      <c r="B1327" s="214"/>
    </row>
    <row r="1328" spans="1:2">
      <c r="A1328" s="218"/>
      <c r="B1328" s="214"/>
    </row>
    <row r="1329" spans="1:2">
      <c r="A1329" s="218"/>
      <c r="B1329" s="214"/>
    </row>
    <row r="1330" spans="1:2">
      <c r="A1330" s="218"/>
      <c r="B1330" s="214"/>
    </row>
    <row r="1331" spans="1:2">
      <c r="A1331" s="218"/>
      <c r="B1331" s="214"/>
    </row>
    <row r="1332" spans="1:2">
      <c r="A1332" s="218"/>
      <c r="B1332" s="214"/>
    </row>
    <row r="1333" spans="1:2">
      <c r="A1333" s="218"/>
      <c r="B1333" s="214"/>
    </row>
    <row r="1334" spans="1:2">
      <c r="A1334" s="218"/>
      <c r="B1334" s="214"/>
    </row>
    <row r="1335" spans="1:2">
      <c r="A1335" s="218"/>
      <c r="B1335" s="214"/>
    </row>
    <row r="1336" spans="1:2">
      <c r="A1336" s="218"/>
      <c r="B1336" s="214"/>
    </row>
    <row r="1337" spans="1:2">
      <c r="A1337" s="218"/>
      <c r="B1337" s="214"/>
    </row>
    <row r="1338" spans="1:2">
      <c r="A1338" s="218"/>
      <c r="B1338" s="214"/>
    </row>
    <row r="1339" spans="1:2">
      <c r="A1339" s="218"/>
      <c r="B1339" s="214"/>
    </row>
    <row r="1340" spans="1:2">
      <c r="A1340" s="218"/>
      <c r="B1340" s="214"/>
    </row>
    <row r="1341" spans="1:2">
      <c r="A1341" s="218"/>
      <c r="B1341" s="214"/>
    </row>
    <row r="1342" spans="1:2">
      <c r="A1342" s="218"/>
      <c r="B1342" s="214"/>
    </row>
    <row r="1343" spans="1:2">
      <c r="A1343" s="218"/>
      <c r="B1343" s="214"/>
    </row>
    <row r="1344" spans="1:2">
      <c r="A1344" s="218"/>
      <c r="B1344" s="214"/>
    </row>
    <row r="1345" spans="1:2">
      <c r="A1345" s="218"/>
      <c r="B1345" s="214"/>
    </row>
    <row r="1346" spans="1:2">
      <c r="A1346" s="218"/>
      <c r="B1346" s="214"/>
    </row>
    <row r="1347" spans="1:2">
      <c r="A1347" s="218"/>
      <c r="B1347" s="214"/>
    </row>
    <row r="1348" spans="1:2">
      <c r="A1348" s="218"/>
      <c r="B1348" s="214"/>
    </row>
    <row r="1349" spans="1:2">
      <c r="A1349" s="218"/>
      <c r="B1349" s="214"/>
    </row>
    <row r="1350" spans="1:2">
      <c r="A1350" s="218"/>
      <c r="B1350" s="214"/>
    </row>
    <row r="1351" spans="1:2">
      <c r="A1351" s="218"/>
      <c r="B1351" s="214"/>
    </row>
    <row r="1352" spans="1:2">
      <c r="A1352" s="218"/>
      <c r="B1352" s="214"/>
    </row>
    <row r="1353" spans="1:2">
      <c r="A1353" s="218"/>
      <c r="B1353" s="214"/>
    </row>
    <row r="1354" spans="1:2">
      <c r="A1354" s="218"/>
      <c r="B1354" s="214"/>
    </row>
    <row r="1355" spans="1:2">
      <c r="A1355" s="218"/>
      <c r="B1355" s="214"/>
    </row>
    <row r="1356" spans="1:2">
      <c r="A1356" s="218"/>
      <c r="B1356" s="214"/>
    </row>
    <row r="1357" spans="1:2">
      <c r="A1357" s="218"/>
      <c r="B1357" s="214"/>
    </row>
    <row r="1358" spans="1:2">
      <c r="A1358" s="218"/>
      <c r="B1358" s="214"/>
    </row>
    <row r="1359" spans="1:2">
      <c r="A1359" s="218"/>
      <c r="B1359" s="214"/>
    </row>
    <row r="1360" spans="1:2">
      <c r="A1360" s="218"/>
      <c r="B1360" s="214"/>
    </row>
    <row r="1361" spans="1:2">
      <c r="A1361" s="218"/>
      <c r="B1361" s="214"/>
    </row>
    <row r="1362" spans="1:2">
      <c r="A1362" s="218"/>
      <c r="B1362" s="214"/>
    </row>
    <row r="1363" spans="1:2">
      <c r="A1363" s="218"/>
      <c r="B1363" s="214"/>
    </row>
    <row r="1364" spans="1:2">
      <c r="A1364" s="218"/>
      <c r="B1364" s="214"/>
    </row>
    <row r="1365" spans="1:2">
      <c r="A1365" s="218"/>
      <c r="B1365" s="214"/>
    </row>
    <row r="1366" spans="1:2">
      <c r="A1366" s="218"/>
      <c r="B1366" s="214"/>
    </row>
    <row r="1367" spans="1:2">
      <c r="A1367" s="218"/>
      <c r="B1367" s="214"/>
    </row>
    <row r="1368" spans="1:2">
      <c r="A1368" s="218"/>
      <c r="B1368" s="214"/>
    </row>
    <row r="1369" spans="1:2">
      <c r="A1369" s="218"/>
      <c r="B1369" s="214"/>
    </row>
    <row r="1370" spans="1:2">
      <c r="A1370" s="218"/>
      <c r="B1370" s="214"/>
    </row>
    <row r="1371" spans="1:2">
      <c r="A1371" s="218"/>
      <c r="B1371" s="214"/>
    </row>
    <row r="1372" spans="1:2">
      <c r="A1372" s="218"/>
      <c r="B1372" s="214"/>
    </row>
    <row r="1373" spans="1:2">
      <c r="A1373" s="218"/>
      <c r="B1373" s="214"/>
    </row>
    <row r="1374" spans="1:2">
      <c r="A1374" s="218"/>
      <c r="B1374" s="214"/>
    </row>
    <row r="1375" spans="1:2">
      <c r="A1375" s="218"/>
      <c r="B1375" s="214"/>
    </row>
    <row r="1376" spans="1:2">
      <c r="A1376" s="218"/>
      <c r="B1376" s="214"/>
    </row>
    <row r="1377" spans="1:2">
      <c r="A1377" s="218"/>
      <c r="B1377" s="214"/>
    </row>
    <row r="1378" spans="1:2">
      <c r="A1378" s="218"/>
      <c r="B1378" s="214"/>
    </row>
    <row r="1379" spans="1:2">
      <c r="A1379" s="218"/>
      <c r="B1379" s="214"/>
    </row>
    <row r="1380" spans="1:2">
      <c r="A1380" s="218"/>
      <c r="B1380" s="214"/>
    </row>
    <row r="1381" spans="1:2">
      <c r="A1381" s="218"/>
      <c r="B1381" s="214"/>
    </row>
    <row r="1382" spans="1:2">
      <c r="A1382" s="218"/>
      <c r="B1382" s="214"/>
    </row>
    <row r="1383" spans="1:2">
      <c r="A1383" s="218"/>
      <c r="B1383" s="214"/>
    </row>
    <row r="1384" spans="1:2">
      <c r="A1384" s="218"/>
      <c r="B1384" s="214"/>
    </row>
    <row r="1385" spans="1:2">
      <c r="A1385" s="218"/>
      <c r="B1385" s="214"/>
    </row>
    <row r="1386" spans="1:2">
      <c r="A1386" s="218"/>
      <c r="B1386" s="214"/>
    </row>
    <row r="1387" spans="1:2">
      <c r="A1387" s="218"/>
      <c r="B1387" s="214"/>
    </row>
    <row r="1388" spans="1:2">
      <c r="A1388" s="218"/>
      <c r="B1388" s="214"/>
    </row>
    <row r="1389" spans="1:2">
      <c r="A1389" s="218"/>
      <c r="B1389" s="214"/>
    </row>
    <row r="1390" spans="1:2">
      <c r="A1390" s="218"/>
      <c r="B1390" s="214"/>
    </row>
    <row r="1391" spans="1:2">
      <c r="A1391" s="218"/>
      <c r="B1391" s="214"/>
    </row>
    <row r="1392" spans="1:2">
      <c r="A1392" s="218"/>
      <c r="B1392" s="214"/>
    </row>
    <row r="1393" spans="1:2">
      <c r="A1393" s="218"/>
      <c r="B1393" s="214"/>
    </row>
    <row r="1394" spans="1:2">
      <c r="A1394" s="218"/>
      <c r="B1394" s="214"/>
    </row>
    <row r="1395" spans="1:2">
      <c r="A1395" s="218"/>
      <c r="B1395" s="214"/>
    </row>
    <row r="1396" spans="1:2">
      <c r="A1396" s="218"/>
      <c r="B1396" s="214"/>
    </row>
    <row r="1397" spans="1:2">
      <c r="A1397" s="218"/>
      <c r="B1397" s="214"/>
    </row>
    <row r="1398" spans="1:2">
      <c r="A1398" s="218"/>
      <c r="B1398" s="214"/>
    </row>
    <row r="1399" spans="1:2">
      <c r="A1399" s="218"/>
      <c r="B1399" s="214"/>
    </row>
    <row r="1400" spans="1:2">
      <c r="A1400" s="218"/>
      <c r="B1400" s="214"/>
    </row>
    <row r="1401" spans="1:2">
      <c r="A1401" s="218"/>
      <c r="B1401" s="214"/>
    </row>
    <row r="1402" spans="1:2">
      <c r="A1402" s="218"/>
      <c r="B1402" s="214"/>
    </row>
    <row r="1403" spans="1:2">
      <c r="A1403" s="218"/>
      <c r="B1403" s="214"/>
    </row>
    <row r="1404" spans="1:2">
      <c r="A1404" s="218"/>
      <c r="B1404" s="214"/>
    </row>
    <row r="1405" spans="1:2">
      <c r="A1405" s="218"/>
      <c r="B1405" s="214"/>
    </row>
    <row r="1406" spans="1:2">
      <c r="A1406" s="218"/>
      <c r="B1406" s="214"/>
    </row>
    <row r="1407" spans="1:2">
      <c r="A1407" s="218"/>
      <c r="B1407" s="214"/>
    </row>
    <row r="1408" spans="1:2">
      <c r="A1408" s="218"/>
      <c r="B1408" s="214"/>
    </row>
    <row r="1409" spans="1:2">
      <c r="A1409" s="218"/>
      <c r="B1409" s="214"/>
    </row>
    <row r="1410" spans="1:2">
      <c r="A1410" s="218"/>
      <c r="B1410" s="214"/>
    </row>
    <row r="1411" spans="1:2">
      <c r="A1411" s="218"/>
      <c r="B1411" s="214"/>
    </row>
    <row r="1412" spans="1:2">
      <c r="A1412" s="218"/>
      <c r="B1412" s="214"/>
    </row>
    <row r="1413" spans="1:2">
      <c r="A1413" s="218"/>
      <c r="B1413" s="214"/>
    </row>
    <row r="1414" spans="1:2">
      <c r="A1414" s="218"/>
      <c r="B1414" s="214"/>
    </row>
    <row r="1415" spans="1:2">
      <c r="A1415" s="218"/>
      <c r="B1415" s="214"/>
    </row>
    <row r="1416" spans="1:2">
      <c r="A1416" s="218"/>
      <c r="B1416" s="214"/>
    </row>
    <row r="1417" spans="1:2">
      <c r="A1417" s="218"/>
      <c r="B1417" s="214"/>
    </row>
    <row r="1418" spans="1:2">
      <c r="A1418" s="218"/>
      <c r="B1418" s="214"/>
    </row>
    <row r="1419" spans="1:2">
      <c r="A1419" s="218"/>
      <c r="B1419" s="214"/>
    </row>
    <row r="1420" spans="1:2">
      <c r="A1420" s="218"/>
      <c r="B1420" s="214"/>
    </row>
    <row r="1421" spans="1:2">
      <c r="A1421" s="218"/>
      <c r="B1421" s="214"/>
    </row>
    <row r="1422" spans="1:2">
      <c r="A1422" s="218"/>
      <c r="B1422" s="214"/>
    </row>
    <row r="1423" spans="1:2">
      <c r="A1423" s="218"/>
      <c r="B1423" s="214"/>
    </row>
    <row r="1424" spans="1:2">
      <c r="A1424" s="218"/>
      <c r="B1424" s="214"/>
    </row>
    <row r="1425" spans="1:2">
      <c r="A1425" s="218"/>
      <c r="B1425" s="214"/>
    </row>
    <row r="1426" spans="1:2">
      <c r="A1426" s="218"/>
      <c r="B1426" s="214"/>
    </row>
    <row r="1427" spans="1:2">
      <c r="A1427" s="218"/>
      <c r="B1427" s="214"/>
    </row>
    <row r="1428" spans="1:2">
      <c r="A1428" s="218"/>
      <c r="B1428" s="214"/>
    </row>
    <row r="1429" spans="1:2">
      <c r="A1429" s="218"/>
      <c r="B1429" s="214"/>
    </row>
    <row r="1430" spans="1:2">
      <c r="A1430" s="218"/>
      <c r="B1430" s="214"/>
    </row>
    <row r="1431" spans="1:2">
      <c r="A1431" s="218"/>
      <c r="B1431" s="214"/>
    </row>
    <row r="1432" spans="1:2">
      <c r="A1432" s="218"/>
      <c r="B1432" s="214"/>
    </row>
    <row r="1433" spans="1:2">
      <c r="A1433" s="218"/>
      <c r="B1433" s="214"/>
    </row>
    <row r="1434" spans="1:2">
      <c r="A1434" s="218"/>
      <c r="B1434" s="214"/>
    </row>
    <row r="1435" spans="1:2">
      <c r="A1435" s="218"/>
      <c r="B1435" s="214"/>
    </row>
    <row r="1436" spans="1:2">
      <c r="A1436" s="218"/>
      <c r="B1436" s="214"/>
    </row>
    <row r="1437" spans="1:2">
      <c r="A1437" s="218"/>
      <c r="B1437" s="214"/>
    </row>
    <row r="1438" spans="1:2">
      <c r="A1438" s="218"/>
      <c r="B1438" s="214"/>
    </row>
    <row r="1439" spans="1:2">
      <c r="A1439" s="218"/>
      <c r="B1439" s="214"/>
    </row>
    <row r="1440" spans="1:2">
      <c r="A1440" s="218"/>
      <c r="B1440" s="214"/>
    </row>
    <row r="1441" spans="1:2">
      <c r="A1441" s="218"/>
      <c r="B1441" s="214"/>
    </row>
    <row r="1442" spans="1:2">
      <c r="A1442" s="218"/>
      <c r="B1442" s="214"/>
    </row>
    <row r="1443" spans="1:2">
      <c r="A1443" s="218"/>
      <c r="B1443" s="214"/>
    </row>
    <row r="1444" spans="1:2">
      <c r="A1444" s="218"/>
      <c r="B1444" s="214"/>
    </row>
    <row r="1445" spans="1:2">
      <c r="A1445" s="218"/>
      <c r="B1445" s="214"/>
    </row>
    <row r="1446" spans="1:2">
      <c r="A1446" s="218"/>
      <c r="B1446" s="214"/>
    </row>
    <row r="1447" spans="1:2">
      <c r="A1447" s="218"/>
      <c r="B1447" s="214"/>
    </row>
    <row r="1448" spans="1:2">
      <c r="A1448" s="218"/>
      <c r="B1448" s="214"/>
    </row>
    <row r="1449" spans="1:2">
      <c r="A1449" s="218"/>
      <c r="B1449" s="214"/>
    </row>
    <row r="1450" spans="1:2">
      <c r="A1450" s="218"/>
      <c r="B1450" s="214"/>
    </row>
    <row r="1451" spans="1:2">
      <c r="A1451" s="218"/>
      <c r="B1451" s="214"/>
    </row>
    <row r="1452" spans="1:2">
      <c r="A1452" s="218"/>
      <c r="B1452" s="214"/>
    </row>
    <row r="1453" spans="1:2">
      <c r="A1453" s="218"/>
      <c r="B1453" s="214"/>
    </row>
    <row r="1454" spans="1:2">
      <c r="A1454" s="218"/>
      <c r="B1454" s="214"/>
    </row>
    <row r="1455" spans="1:2">
      <c r="A1455" s="218"/>
      <c r="B1455" s="214"/>
    </row>
    <row r="1456" spans="1:2">
      <c r="A1456" s="218"/>
      <c r="B1456" s="214"/>
    </row>
    <row r="1457" spans="1:2">
      <c r="A1457" s="218"/>
      <c r="B1457" s="214"/>
    </row>
    <row r="1458" spans="1:2">
      <c r="A1458" s="218"/>
      <c r="B1458" s="214"/>
    </row>
    <row r="1459" spans="1:2">
      <c r="A1459" s="218"/>
      <c r="B1459" s="214"/>
    </row>
    <row r="1460" spans="1:2">
      <c r="A1460" s="218"/>
      <c r="B1460" s="214"/>
    </row>
    <row r="1461" spans="1:2">
      <c r="A1461" s="218"/>
      <c r="B1461" s="214"/>
    </row>
    <row r="1462" spans="1:2">
      <c r="A1462" s="218"/>
      <c r="B1462" s="214"/>
    </row>
    <row r="1463" spans="1:2">
      <c r="A1463" s="218"/>
      <c r="B1463" s="214"/>
    </row>
    <row r="1464" spans="1:2">
      <c r="A1464" s="218"/>
      <c r="B1464" s="214"/>
    </row>
    <row r="1465" spans="1:2">
      <c r="A1465" s="218"/>
      <c r="B1465" s="214"/>
    </row>
    <row r="1466" spans="1:2">
      <c r="A1466" s="218"/>
      <c r="B1466" s="214"/>
    </row>
    <row r="1467" spans="1:2">
      <c r="A1467" s="218"/>
      <c r="B1467" s="214"/>
    </row>
    <row r="1468" spans="1:2">
      <c r="A1468" s="218"/>
      <c r="B1468" s="214"/>
    </row>
    <row r="1469" spans="1:2">
      <c r="A1469" s="218"/>
      <c r="B1469" s="214"/>
    </row>
    <row r="1470" spans="1:2">
      <c r="A1470" s="218"/>
      <c r="B1470" s="214"/>
    </row>
    <row r="1471" spans="1:2">
      <c r="A1471" s="218"/>
      <c r="B1471" s="214"/>
    </row>
    <row r="1472" spans="1:2">
      <c r="A1472" s="218"/>
      <c r="B1472" s="214"/>
    </row>
    <row r="1473" spans="1:2">
      <c r="A1473" s="218"/>
      <c r="B1473" s="214"/>
    </row>
    <row r="1474" spans="1:2">
      <c r="A1474" s="218"/>
      <c r="B1474" s="214"/>
    </row>
    <row r="1475" spans="1:2">
      <c r="A1475" s="218"/>
      <c r="B1475" s="214"/>
    </row>
    <row r="1476" spans="1:2">
      <c r="A1476" s="218"/>
      <c r="B1476" s="214"/>
    </row>
    <row r="1477" spans="1:2">
      <c r="A1477" s="218"/>
      <c r="B1477" s="214"/>
    </row>
    <row r="1478" spans="1:2">
      <c r="A1478" s="218"/>
      <c r="B1478" s="214"/>
    </row>
    <row r="1479" spans="1:2">
      <c r="A1479" s="218"/>
      <c r="B1479" s="214"/>
    </row>
    <row r="1480" spans="1:2">
      <c r="A1480" s="218"/>
      <c r="B1480" s="214"/>
    </row>
    <row r="1481" spans="1:2">
      <c r="A1481" s="218"/>
      <c r="B1481" s="214"/>
    </row>
    <row r="1482" spans="1:2">
      <c r="A1482" s="218"/>
      <c r="B1482" s="214"/>
    </row>
    <row r="1483" spans="1:2">
      <c r="A1483" s="218"/>
      <c r="B1483" s="214"/>
    </row>
    <row r="1484" spans="1:2">
      <c r="A1484" s="218"/>
      <c r="B1484" s="214"/>
    </row>
    <row r="1485" spans="1:2">
      <c r="A1485" s="218"/>
      <c r="B1485" s="214"/>
    </row>
    <row r="1486" spans="1:2">
      <c r="A1486" s="218"/>
      <c r="B1486" s="214"/>
    </row>
    <row r="1487" spans="1:2">
      <c r="A1487" s="218"/>
      <c r="B1487" s="214"/>
    </row>
    <row r="1488" spans="1:2">
      <c r="A1488" s="218"/>
      <c r="B1488" s="214"/>
    </row>
    <row r="1489" spans="1:2">
      <c r="A1489" s="218"/>
      <c r="B1489" s="214"/>
    </row>
    <row r="1490" spans="1:2">
      <c r="A1490" s="218"/>
      <c r="B1490" s="214"/>
    </row>
    <row r="1491" spans="1:2">
      <c r="A1491" s="218"/>
      <c r="B1491" s="214"/>
    </row>
    <row r="1492" spans="1:2">
      <c r="A1492" s="218"/>
      <c r="B1492" s="214"/>
    </row>
    <row r="1493" spans="1:2">
      <c r="A1493" s="218"/>
      <c r="B1493" s="214"/>
    </row>
    <row r="1494" spans="1:2">
      <c r="A1494" s="218"/>
      <c r="B1494" s="214"/>
    </row>
    <row r="1495" spans="1:2">
      <c r="A1495" s="218"/>
      <c r="B1495" s="214"/>
    </row>
    <row r="1496" spans="1:2">
      <c r="A1496" s="218"/>
      <c r="B1496" s="214"/>
    </row>
    <row r="1497" spans="1:2">
      <c r="A1497" s="218"/>
      <c r="B1497" s="214"/>
    </row>
    <row r="1498" spans="1:2">
      <c r="A1498" s="218"/>
      <c r="B1498" s="214"/>
    </row>
    <row r="1499" spans="1:2">
      <c r="A1499" s="218"/>
      <c r="B1499" s="214"/>
    </row>
    <row r="1500" spans="1:2">
      <c r="A1500" s="218"/>
      <c r="B1500" s="214"/>
    </row>
    <row r="1501" spans="1:2">
      <c r="A1501" s="218"/>
      <c r="B1501" s="214"/>
    </row>
    <row r="1502" spans="1:2">
      <c r="A1502" s="218"/>
      <c r="B1502" s="214"/>
    </row>
    <row r="1503" spans="1:2">
      <c r="A1503" s="218"/>
      <c r="B1503" s="214"/>
    </row>
    <row r="1504" spans="1:2">
      <c r="A1504" s="218"/>
      <c r="B1504" s="214"/>
    </row>
    <row r="1505" spans="1:2">
      <c r="A1505" s="218"/>
      <c r="B1505" s="214"/>
    </row>
    <row r="1506" spans="1:2">
      <c r="A1506" s="218"/>
      <c r="B1506" s="214"/>
    </row>
    <row r="1507" spans="1:2">
      <c r="A1507" s="218"/>
      <c r="B1507" s="214"/>
    </row>
    <row r="1508" spans="1:2">
      <c r="A1508" s="218"/>
      <c r="B1508" s="214"/>
    </row>
    <row r="1509" spans="1:2">
      <c r="A1509" s="218"/>
      <c r="B1509" s="214"/>
    </row>
    <row r="1510" spans="1:2">
      <c r="A1510" s="218"/>
      <c r="B1510" s="214"/>
    </row>
    <row r="1511" spans="1:2">
      <c r="A1511" s="218"/>
      <c r="B1511" s="214"/>
    </row>
    <row r="1512" spans="1:2">
      <c r="A1512" s="218"/>
      <c r="B1512" s="214"/>
    </row>
    <row r="1513" spans="1:2">
      <c r="A1513" s="218"/>
      <c r="B1513" s="214"/>
    </row>
    <row r="1514" spans="1:2">
      <c r="A1514" s="218"/>
      <c r="B1514" s="214"/>
    </row>
    <row r="1515" spans="1:2">
      <c r="A1515" s="218"/>
      <c r="B1515" s="214"/>
    </row>
    <row r="1516" spans="1:2">
      <c r="A1516" s="218"/>
      <c r="B1516" s="214"/>
    </row>
    <row r="1517" spans="1:2">
      <c r="A1517" s="218"/>
      <c r="B1517" s="214"/>
    </row>
    <row r="1518" spans="1:2">
      <c r="A1518" s="218"/>
      <c r="B1518" s="214"/>
    </row>
    <row r="1519" spans="1:2">
      <c r="A1519" s="218"/>
      <c r="B1519" s="214"/>
    </row>
    <row r="1520" spans="1:2">
      <c r="A1520" s="218"/>
      <c r="B1520" s="214"/>
    </row>
    <row r="1521" spans="1:2">
      <c r="A1521" s="218"/>
      <c r="B1521" s="214"/>
    </row>
    <row r="1522" spans="1:2">
      <c r="A1522" s="218"/>
      <c r="B1522" s="214"/>
    </row>
    <row r="1523" spans="1:2">
      <c r="A1523" s="218"/>
      <c r="B1523" s="214"/>
    </row>
    <row r="1524" spans="1:2">
      <c r="A1524" s="218"/>
      <c r="B1524" s="214"/>
    </row>
    <row r="1525" spans="1:2">
      <c r="A1525" s="218"/>
      <c r="B1525" s="214"/>
    </row>
    <row r="1526" spans="1:2">
      <c r="A1526" s="218"/>
      <c r="B1526" s="214"/>
    </row>
    <row r="1527" spans="1:2">
      <c r="A1527" s="218"/>
      <c r="B1527" s="214"/>
    </row>
    <row r="1528" spans="1:2">
      <c r="A1528" s="218"/>
      <c r="B1528" s="214"/>
    </row>
    <row r="1529" spans="1:2">
      <c r="A1529" s="218"/>
      <c r="B1529" s="214"/>
    </row>
    <row r="1530" spans="1:2">
      <c r="A1530" s="218"/>
      <c r="B1530" s="214"/>
    </row>
    <row r="1531" spans="1:2">
      <c r="A1531" s="218"/>
      <c r="B1531" s="214"/>
    </row>
    <row r="1532" spans="1:2">
      <c r="A1532" s="218"/>
      <c r="B1532" s="214"/>
    </row>
    <row r="1533" spans="1:2">
      <c r="A1533" s="218"/>
      <c r="B1533" s="214"/>
    </row>
    <row r="1534" spans="1:2">
      <c r="A1534" s="218"/>
      <c r="B1534" s="214"/>
    </row>
    <row r="1535" spans="1:2">
      <c r="A1535" s="218"/>
      <c r="B1535" s="214"/>
    </row>
    <row r="1536" spans="1:2">
      <c r="A1536" s="218"/>
      <c r="B1536" s="214"/>
    </row>
    <row r="1537" spans="1:2">
      <c r="A1537" s="218"/>
      <c r="B1537" s="214"/>
    </row>
    <row r="1538" spans="1:2">
      <c r="A1538" s="218"/>
      <c r="B1538" s="214"/>
    </row>
    <row r="1539" spans="1:2">
      <c r="A1539" s="218"/>
      <c r="B1539" s="214"/>
    </row>
    <row r="1540" spans="1:2">
      <c r="A1540" s="218"/>
      <c r="B1540" s="214"/>
    </row>
    <row r="1541" spans="1:2">
      <c r="A1541" s="218"/>
      <c r="B1541" s="214"/>
    </row>
    <row r="1542" spans="1:2">
      <c r="A1542" s="218"/>
      <c r="B1542" s="214"/>
    </row>
    <row r="1543" spans="1:2">
      <c r="A1543" s="218"/>
      <c r="B1543" s="214"/>
    </row>
    <row r="1544" spans="1:2">
      <c r="A1544" s="218"/>
      <c r="B1544" s="214"/>
    </row>
    <row r="1545" spans="1:2">
      <c r="A1545" s="218"/>
      <c r="B1545" s="214"/>
    </row>
    <row r="1546" spans="1:2">
      <c r="A1546" s="218"/>
      <c r="B1546" s="214"/>
    </row>
    <row r="1547" spans="1:2">
      <c r="A1547" s="218"/>
      <c r="B1547" s="214"/>
    </row>
    <row r="1548" spans="1:2">
      <c r="A1548" s="218"/>
      <c r="B1548" s="214"/>
    </row>
    <row r="1549" spans="1:2">
      <c r="A1549" s="218"/>
      <c r="B1549" s="214"/>
    </row>
    <row r="1550" spans="1:2">
      <c r="A1550" s="218"/>
      <c r="B1550" s="214"/>
    </row>
    <row r="1551" spans="1:2">
      <c r="A1551" s="218"/>
      <c r="B1551" s="214"/>
    </row>
    <row r="1552" spans="1:2">
      <c r="A1552" s="218"/>
      <c r="B1552" s="214"/>
    </row>
    <row r="1553" spans="1:2">
      <c r="A1553" s="218"/>
      <c r="B1553" s="214"/>
    </row>
    <row r="1554" spans="1:2">
      <c r="A1554" s="218"/>
      <c r="B1554" s="214"/>
    </row>
    <row r="1555" spans="1:2">
      <c r="A1555" s="218"/>
      <c r="B1555" s="214"/>
    </row>
    <row r="1556" spans="1:2">
      <c r="A1556" s="218"/>
      <c r="B1556" s="214"/>
    </row>
    <row r="1557" spans="1:2">
      <c r="A1557" s="218"/>
      <c r="B1557" s="214"/>
    </row>
    <row r="1558" spans="1:2">
      <c r="A1558" s="218"/>
      <c r="B1558" s="214"/>
    </row>
    <row r="1559" spans="1:2">
      <c r="A1559" s="218"/>
      <c r="B1559" s="214"/>
    </row>
    <row r="1560" spans="1:2">
      <c r="A1560" s="218"/>
      <c r="B1560" s="214"/>
    </row>
    <row r="1561" spans="1:2">
      <c r="A1561" s="218"/>
      <c r="B1561" s="214"/>
    </row>
    <row r="1562" spans="1:2">
      <c r="A1562" s="218"/>
      <c r="B1562" s="214"/>
    </row>
    <row r="1563" spans="1:2">
      <c r="A1563" s="218"/>
      <c r="B1563" s="214"/>
    </row>
    <row r="1564" spans="1:2">
      <c r="A1564" s="218"/>
      <c r="B1564" s="214"/>
    </row>
    <row r="1565" spans="1:2">
      <c r="A1565" s="218"/>
      <c r="B1565" s="214"/>
    </row>
    <row r="1566" spans="1:2">
      <c r="A1566" s="218"/>
      <c r="B1566" s="214"/>
    </row>
    <row r="1567" spans="1:2">
      <c r="A1567" s="218"/>
      <c r="B1567" s="214"/>
    </row>
    <row r="1568" spans="1:2">
      <c r="A1568" s="218"/>
      <c r="B1568" s="214"/>
    </row>
    <row r="1569" spans="1:2">
      <c r="A1569" s="218"/>
      <c r="B1569" s="214"/>
    </row>
    <row r="1570" spans="1:2">
      <c r="A1570" s="218"/>
      <c r="B1570" s="214"/>
    </row>
    <row r="1571" spans="1:2">
      <c r="A1571" s="218"/>
      <c r="B1571" s="214"/>
    </row>
    <row r="1572" spans="1:2">
      <c r="A1572" s="218"/>
      <c r="B1572" s="214"/>
    </row>
    <row r="1573" spans="1:2">
      <c r="A1573" s="218"/>
      <c r="B1573" s="214"/>
    </row>
    <row r="1574" spans="1:2">
      <c r="A1574" s="218"/>
      <c r="B1574" s="214"/>
    </row>
    <row r="1575" spans="1:2">
      <c r="A1575" s="218"/>
      <c r="B1575" s="214"/>
    </row>
    <row r="1576" spans="1:2">
      <c r="A1576" s="218"/>
      <c r="B1576" s="214"/>
    </row>
    <row r="1577" spans="1:2">
      <c r="A1577" s="218"/>
      <c r="B1577" s="214"/>
    </row>
    <row r="1578" spans="1:2">
      <c r="A1578" s="218"/>
      <c r="B1578" s="214"/>
    </row>
    <row r="1579" spans="1:2">
      <c r="A1579" s="218"/>
      <c r="B1579" s="214"/>
    </row>
    <row r="1580" spans="1:2">
      <c r="A1580" s="218"/>
      <c r="B1580" s="214"/>
    </row>
    <row r="1581" spans="1:2">
      <c r="A1581" s="218"/>
      <c r="B1581" s="214"/>
    </row>
    <row r="1582" spans="1:2">
      <c r="A1582" s="218"/>
      <c r="B1582" s="214"/>
    </row>
    <row r="1583" spans="1:2">
      <c r="A1583" s="218"/>
      <c r="B1583" s="214"/>
    </row>
    <row r="1584" spans="1:2">
      <c r="A1584" s="218"/>
      <c r="B1584" s="214"/>
    </row>
    <row r="1585" spans="1:2">
      <c r="A1585" s="218"/>
      <c r="B1585" s="214"/>
    </row>
    <row r="1586" spans="1:2">
      <c r="A1586" s="218"/>
      <c r="B1586" s="214"/>
    </row>
    <row r="1587" spans="1:2">
      <c r="A1587" s="218"/>
      <c r="B1587" s="214"/>
    </row>
    <row r="1588" spans="1:2">
      <c r="A1588" s="218"/>
      <c r="B1588" s="214"/>
    </row>
    <row r="1589" spans="1:2">
      <c r="A1589" s="218"/>
      <c r="B1589" s="214"/>
    </row>
    <row r="1590" spans="1:2">
      <c r="A1590" s="218"/>
      <c r="B1590" s="214"/>
    </row>
    <row r="1591" spans="1:2">
      <c r="A1591" s="218"/>
      <c r="B1591" s="214"/>
    </row>
    <row r="1592" spans="1:2">
      <c r="A1592" s="218"/>
      <c r="B1592" s="214"/>
    </row>
    <row r="1593" spans="1:2">
      <c r="A1593" s="218"/>
      <c r="B1593" s="214"/>
    </row>
    <row r="1594" spans="1:2">
      <c r="A1594" s="218"/>
      <c r="B1594" s="214"/>
    </row>
    <row r="1595" spans="1:2">
      <c r="A1595" s="218"/>
      <c r="B1595" s="214"/>
    </row>
    <row r="1596" spans="1:2">
      <c r="A1596" s="218"/>
      <c r="B1596" s="214"/>
    </row>
    <row r="1597" spans="1:2">
      <c r="A1597" s="218"/>
      <c r="B1597" s="214"/>
    </row>
    <row r="1598" spans="1:2">
      <c r="A1598" s="218"/>
      <c r="B1598" s="214"/>
    </row>
    <row r="1599" spans="1:2">
      <c r="A1599" s="218"/>
      <c r="B1599" s="214"/>
    </row>
    <row r="1600" spans="1:2">
      <c r="A1600" s="218"/>
      <c r="B1600" s="214"/>
    </row>
    <row r="1601" spans="1:2">
      <c r="A1601" s="218"/>
      <c r="B1601" s="214"/>
    </row>
    <row r="1602" spans="1:2">
      <c r="A1602" s="218"/>
      <c r="B1602" s="214"/>
    </row>
    <row r="1603" spans="1:2">
      <c r="A1603" s="218"/>
      <c r="B1603" s="214"/>
    </row>
    <row r="1604" spans="1:2">
      <c r="A1604" s="218"/>
      <c r="B1604" s="214"/>
    </row>
    <row r="1605" spans="1:2">
      <c r="A1605" s="218"/>
      <c r="B1605" s="214"/>
    </row>
    <row r="1606" spans="1:2">
      <c r="A1606" s="218"/>
      <c r="B1606" s="214"/>
    </row>
    <row r="1607" spans="1:2">
      <c r="A1607" s="218"/>
      <c r="B1607" s="214"/>
    </row>
    <row r="1608" spans="1:2">
      <c r="A1608" s="218"/>
      <c r="B1608" s="214"/>
    </row>
    <row r="1609" spans="1:2">
      <c r="A1609" s="218"/>
      <c r="B1609" s="214"/>
    </row>
    <row r="1610" spans="1:2">
      <c r="A1610" s="218"/>
      <c r="B1610" s="214"/>
    </row>
    <row r="1611" spans="1:2">
      <c r="A1611" s="218"/>
      <c r="B1611" s="214"/>
    </row>
    <row r="1612" spans="1:2">
      <c r="A1612" s="218"/>
      <c r="B1612" s="214"/>
    </row>
    <row r="1613" spans="1:2">
      <c r="A1613" s="218"/>
      <c r="B1613" s="214"/>
    </row>
    <row r="1614" spans="1:2">
      <c r="A1614" s="218"/>
      <c r="B1614" s="214"/>
    </row>
    <row r="1615" spans="1:2">
      <c r="A1615" s="218"/>
      <c r="B1615" s="214"/>
    </row>
    <row r="1616" spans="1:2">
      <c r="A1616" s="218"/>
      <c r="B1616" s="214"/>
    </row>
    <row r="1617" spans="1:2">
      <c r="A1617" s="218"/>
      <c r="B1617" s="214"/>
    </row>
    <row r="1618" spans="1:2">
      <c r="A1618" s="218"/>
      <c r="B1618" s="214"/>
    </row>
    <row r="1619" spans="1:2">
      <c r="A1619" s="218"/>
      <c r="B1619" s="214"/>
    </row>
    <row r="1620" spans="1:2">
      <c r="A1620" s="218"/>
      <c r="B1620" s="214"/>
    </row>
    <row r="1621" spans="1:2">
      <c r="A1621" s="218"/>
      <c r="B1621" s="214"/>
    </row>
    <row r="1622" spans="1:2">
      <c r="A1622" s="218"/>
      <c r="B1622" s="214"/>
    </row>
    <row r="1623" spans="1:2">
      <c r="A1623" s="218"/>
      <c r="B1623" s="214"/>
    </row>
    <row r="1624" spans="1:2">
      <c r="A1624" s="218"/>
      <c r="B1624" s="214"/>
    </row>
    <row r="1625" spans="1:2">
      <c r="A1625" s="218"/>
      <c r="B1625" s="214"/>
    </row>
    <row r="1626" spans="1:2">
      <c r="A1626" s="218"/>
      <c r="B1626" s="214"/>
    </row>
    <row r="1627" spans="1:2">
      <c r="A1627" s="218"/>
      <c r="B1627" s="214"/>
    </row>
    <row r="1628" spans="1:2">
      <c r="A1628" s="218"/>
      <c r="B1628" s="214"/>
    </row>
    <row r="1629" spans="1:2">
      <c r="A1629" s="218"/>
      <c r="B1629" s="214"/>
    </row>
    <row r="1630" spans="1:2">
      <c r="A1630" s="218"/>
      <c r="B1630" s="214"/>
    </row>
    <row r="1631" spans="1:2">
      <c r="A1631" s="218"/>
      <c r="B1631" s="214"/>
    </row>
    <row r="1632" spans="1:2">
      <c r="A1632" s="218"/>
      <c r="B1632" s="214"/>
    </row>
    <row r="1633" spans="1:2">
      <c r="A1633" s="218"/>
      <c r="B1633" s="214"/>
    </row>
    <row r="1634" spans="1:2">
      <c r="A1634" s="218"/>
      <c r="B1634" s="214"/>
    </row>
    <row r="1635" spans="1:2">
      <c r="A1635" s="218"/>
      <c r="B1635" s="214"/>
    </row>
    <row r="1636" spans="1:2">
      <c r="A1636" s="218"/>
      <c r="B1636" s="214"/>
    </row>
    <row r="1637" spans="1:2">
      <c r="A1637" s="218"/>
      <c r="B1637" s="214"/>
    </row>
    <row r="1638" spans="1:2">
      <c r="A1638" s="218"/>
      <c r="B1638" s="214"/>
    </row>
    <row r="1639" spans="1:2">
      <c r="A1639" s="218"/>
      <c r="B1639" s="214"/>
    </row>
    <row r="1640" spans="1:2">
      <c r="A1640" s="218"/>
      <c r="B1640" s="214"/>
    </row>
    <row r="1641" spans="1:2">
      <c r="A1641" s="218"/>
      <c r="B1641" s="214"/>
    </row>
    <row r="1642" spans="1:2">
      <c r="A1642" s="218"/>
      <c r="B1642" s="214"/>
    </row>
    <row r="1643" spans="1:2">
      <c r="A1643" s="218"/>
      <c r="B1643" s="214"/>
    </row>
    <row r="1644" spans="1:2">
      <c r="A1644" s="218"/>
      <c r="B1644" s="214"/>
    </row>
    <row r="1645" spans="1:2">
      <c r="A1645" s="218"/>
      <c r="B1645" s="214"/>
    </row>
    <row r="1646" spans="1:2">
      <c r="A1646" s="218"/>
      <c r="B1646" s="214"/>
    </row>
    <row r="1647" spans="1:2">
      <c r="A1647" s="218"/>
      <c r="B1647" s="214"/>
    </row>
    <row r="1648" spans="1:2">
      <c r="A1648" s="218"/>
      <c r="B1648" s="214"/>
    </row>
    <row r="1649" spans="1:2">
      <c r="A1649" s="218"/>
      <c r="B1649" s="214"/>
    </row>
    <row r="1650" spans="1:2">
      <c r="A1650" s="218"/>
      <c r="B1650" s="214"/>
    </row>
    <row r="1651" spans="1:2">
      <c r="A1651" s="218"/>
      <c r="B1651" s="214"/>
    </row>
    <row r="1652" spans="1:2">
      <c r="A1652" s="218"/>
      <c r="B1652" s="214"/>
    </row>
    <row r="1653" spans="1:2">
      <c r="A1653" s="218"/>
      <c r="B1653" s="214"/>
    </row>
    <row r="1654" spans="1:2">
      <c r="A1654" s="218"/>
      <c r="B1654" s="214"/>
    </row>
    <row r="1655" spans="1:2">
      <c r="A1655" s="218"/>
      <c r="B1655" s="214"/>
    </row>
    <row r="1656" spans="1:2">
      <c r="A1656" s="218"/>
      <c r="B1656" s="214"/>
    </row>
    <row r="1657" spans="1:2">
      <c r="A1657" s="218"/>
      <c r="B1657" s="214"/>
    </row>
    <row r="1658" spans="1:2">
      <c r="A1658" s="218"/>
      <c r="B1658" s="214"/>
    </row>
    <row r="1659" spans="1:2">
      <c r="A1659" s="218"/>
      <c r="B1659" s="214"/>
    </row>
    <row r="1660" spans="1:2">
      <c r="A1660" s="218"/>
      <c r="B1660" s="214"/>
    </row>
    <row r="1661" spans="1:2">
      <c r="A1661" s="218"/>
      <c r="B1661" s="214"/>
    </row>
    <row r="1662" spans="1:2">
      <c r="A1662" s="218"/>
      <c r="B1662" s="214"/>
    </row>
    <row r="1663" spans="1:2">
      <c r="A1663" s="218"/>
      <c r="B1663" s="214"/>
    </row>
    <row r="1664" spans="1:2">
      <c r="A1664" s="218"/>
      <c r="B1664" s="214"/>
    </row>
    <row r="1665" spans="1:2">
      <c r="A1665" s="218"/>
      <c r="B1665" s="214"/>
    </row>
    <row r="1666" spans="1:2">
      <c r="A1666" s="218"/>
      <c r="B1666" s="214"/>
    </row>
    <row r="1667" spans="1:2">
      <c r="A1667" s="218"/>
      <c r="B1667" s="214"/>
    </row>
    <row r="1668" spans="1:2">
      <c r="A1668" s="218"/>
      <c r="B1668" s="214"/>
    </row>
    <row r="1669" spans="1:2">
      <c r="A1669" s="218"/>
      <c r="B1669" s="214"/>
    </row>
    <row r="1670" spans="1:2">
      <c r="A1670" s="218"/>
      <c r="B1670" s="214"/>
    </row>
    <row r="1671" spans="1:2">
      <c r="A1671" s="218"/>
      <c r="B1671" s="214"/>
    </row>
    <row r="1672" spans="1:2">
      <c r="A1672" s="218"/>
      <c r="B1672" s="214"/>
    </row>
    <row r="1673" spans="1:2">
      <c r="A1673" s="218"/>
      <c r="B1673" s="214"/>
    </row>
    <row r="1674" spans="1:2">
      <c r="A1674" s="218"/>
      <c r="B1674" s="214"/>
    </row>
    <row r="1675" spans="1:2">
      <c r="A1675" s="218"/>
      <c r="B1675" s="214"/>
    </row>
    <row r="1676" spans="1:2">
      <c r="A1676" s="218"/>
      <c r="B1676" s="214"/>
    </row>
    <row r="1677" spans="1:2">
      <c r="A1677" s="218"/>
      <c r="B1677" s="214"/>
    </row>
    <row r="1678" spans="1:2">
      <c r="A1678" s="218"/>
      <c r="B1678" s="214"/>
    </row>
    <row r="1679" spans="1:2">
      <c r="A1679" s="218"/>
      <c r="B1679" s="214"/>
    </row>
    <row r="1680" spans="1:2">
      <c r="A1680" s="218"/>
      <c r="B1680" s="214"/>
    </row>
    <row r="1681" spans="1:2">
      <c r="A1681" s="218"/>
      <c r="B1681" s="214"/>
    </row>
    <row r="1682" spans="1:2">
      <c r="A1682" s="218"/>
      <c r="B1682" s="214"/>
    </row>
    <row r="1683" spans="1:2">
      <c r="A1683" s="218"/>
      <c r="B1683" s="214"/>
    </row>
    <row r="1684" spans="1:2">
      <c r="A1684" s="218"/>
      <c r="B1684" s="214"/>
    </row>
    <row r="1685" spans="1:2">
      <c r="A1685" s="218"/>
      <c r="B1685" s="214"/>
    </row>
    <row r="1686" spans="1:2">
      <c r="A1686" s="218"/>
      <c r="B1686" s="214"/>
    </row>
    <row r="1687" spans="1:2">
      <c r="A1687" s="218"/>
      <c r="B1687" s="214"/>
    </row>
    <row r="1688" spans="1:2">
      <c r="A1688" s="218"/>
      <c r="B1688" s="214"/>
    </row>
    <row r="1689" spans="1:2">
      <c r="A1689" s="218"/>
      <c r="B1689" s="214"/>
    </row>
    <row r="1690" spans="1:2">
      <c r="A1690" s="218"/>
      <c r="B1690" s="214"/>
    </row>
    <row r="1691" spans="1:2">
      <c r="A1691" s="218"/>
      <c r="B1691" s="214"/>
    </row>
    <row r="1692" spans="1:2">
      <c r="A1692" s="218"/>
      <c r="B1692" s="214"/>
    </row>
    <row r="1693" spans="1:2">
      <c r="A1693" s="218"/>
      <c r="B1693" s="214"/>
    </row>
    <row r="1694" spans="1:2">
      <c r="A1694" s="218"/>
      <c r="B1694" s="214"/>
    </row>
    <row r="1695" spans="1:2">
      <c r="A1695" s="218"/>
      <c r="B1695" s="214"/>
    </row>
    <row r="1696" spans="1:2">
      <c r="A1696" s="218"/>
      <c r="B1696" s="214"/>
    </row>
    <row r="1697" spans="1:2">
      <c r="A1697" s="218"/>
      <c r="B1697" s="214"/>
    </row>
    <row r="1698" spans="1:2">
      <c r="A1698" s="218"/>
      <c r="B1698" s="214"/>
    </row>
    <row r="1699" spans="1:2">
      <c r="A1699" s="218"/>
      <c r="B1699" s="214"/>
    </row>
    <row r="1700" spans="1:2">
      <c r="A1700" s="218"/>
      <c r="B1700" s="214"/>
    </row>
    <row r="1701" spans="1:2">
      <c r="A1701" s="218"/>
      <c r="B1701" s="214"/>
    </row>
    <row r="1702" spans="1:2">
      <c r="A1702" s="218"/>
      <c r="B1702" s="214"/>
    </row>
    <row r="1703" spans="1:2">
      <c r="A1703" s="218"/>
      <c r="B1703" s="214"/>
    </row>
    <row r="1704" spans="1:2">
      <c r="A1704" s="218"/>
      <c r="B1704" s="214"/>
    </row>
    <row r="1705" spans="1:2">
      <c r="A1705" s="218"/>
      <c r="B1705" s="214"/>
    </row>
    <row r="1706" spans="1:2">
      <c r="A1706" s="218"/>
      <c r="B1706" s="214"/>
    </row>
    <row r="1707" spans="1:2">
      <c r="A1707" s="218"/>
      <c r="B1707" s="214"/>
    </row>
    <row r="1708" spans="1:2">
      <c r="A1708" s="218"/>
      <c r="B1708" s="214"/>
    </row>
    <row r="1709" spans="1:2">
      <c r="A1709" s="218"/>
      <c r="B1709" s="214"/>
    </row>
    <row r="1710" spans="1:2">
      <c r="A1710" s="218"/>
      <c r="B1710" s="214"/>
    </row>
    <row r="1711" spans="1:2">
      <c r="A1711" s="218"/>
      <c r="B1711" s="214"/>
    </row>
    <row r="1712" spans="1:2">
      <c r="A1712" s="218"/>
      <c r="B1712" s="214"/>
    </row>
    <row r="1713" spans="1:2">
      <c r="A1713" s="218"/>
      <c r="B1713" s="214"/>
    </row>
    <row r="1714" spans="1:2">
      <c r="A1714" s="218"/>
      <c r="B1714" s="214"/>
    </row>
    <row r="1715" spans="1:2">
      <c r="A1715" s="218"/>
      <c r="B1715" s="214"/>
    </row>
    <row r="1716" spans="1:2">
      <c r="A1716" s="218"/>
      <c r="B1716" s="214"/>
    </row>
    <row r="1717" spans="1:2">
      <c r="A1717" s="218"/>
      <c r="B1717" s="214"/>
    </row>
    <row r="1718" spans="1:2">
      <c r="A1718" s="218"/>
      <c r="B1718" s="214"/>
    </row>
    <row r="1719" spans="1:2">
      <c r="A1719" s="218"/>
      <c r="B1719" s="214"/>
    </row>
    <row r="1720" spans="1:2">
      <c r="A1720" s="218"/>
      <c r="B1720" s="214"/>
    </row>
    <row r="1721" spans="1:2">
      <c r="A1721" s="218"/>
      <c r="B1721" s="214"/>
    </row>
    <row r="1722" spans="1:2">
      <c r="A1722" s="218"/>
      <c r="B1722" s="214"/>
    </row>
    <row r="1723" spans="1:2">
      <c r="A1723" s="218"/>
      <c r="B1723" s="214"/>
    </row>
    <row r="1724" spans="1:2">
      <c r="A1724" s="218"/>
      <c r="B1724" s="214"/>
    </row>
    <row r="1725" spans="1:2">
      <c r="A1725" s="218"/>
      <c r="B1725" s="214"/>
    </row>
    <row r="1726" spans="1:2">
      <c r="A1726" s="218"/>
      <c r="B1726" s="214"/>
    </row>
    <row r="1727" spans="1:2">
      <c r="A1727" s="218"/>
      <c r="B1727" s="214"/>
    </row>
    <row r="1728" spans="1:2">
      <c r="A1728" s="218"/>
      <c r="B1728" s="214"/>
    </row>
    <row r="1729" spans="1:2">
      <c r="A1729" s="218"/>
      <c r="B1729" s="214"/>
    </row>
    <row r="1730" spans="1:2">
      <c r="A1730" s="218"/>
      <c r="B1730" s="214"/>
    </row>
    <row r="1731" spans="1:2">
      <c r="A1731" s="218"/>
      <c r="B1731" s="214"/>
    </row>
    <row r="1732" spans="1:2">
      <c r="A1732" s="218"/>
      <c r="B1732" s="214"/>
    </row>
    <row r="1733" spans="1:2">
      <c r="A1733" s="218"/>
      <c r="B1733" s="214"/>
    </row>
    <row r="1734" spans="1:2">
      <c r="A1734" s="218"/>
      <c r="B1734" s="214"/>
    </row>
    <row r="1735" spans="1:2">
      <c r="A1735" s="218"/>
      <c r="B1735" s="214"/>
    </row>
    <row r="1736" spans="1:2">
      <c r="A1736" s="218"/>
      <c r="B1736" s="214"/>
    </row>
    <row r="1737" spans="1:2">
      <c r="A1737" s="218"/>
      <c r="B1737" s="214"/>
    </row>
    <row r="1738" spans="1:2">
      <c r="A1738" s="218"/>
      <c r="B1738" s="214"/>
    </row>
    <row r="1739" spans="1:2">
      <c r="A1739" s="218"/>
      <c r="B1739" s="214"/>
    </row>
    <row r="1740" spans="1:2">
      <c r="A1740" s="218"/>
      <c r="B1740" s="214"/>
    </row>
    <row r="1741" spans="1:2">
      <c r="A1741" s="218"/>
      <c r="B1741" s="214"/>
    </row>
    <row r="1742" spans="1:2">
      <c r="A1742" s="218"/>
      <c r="B1742" s="214"/>
    </row>
    <row r="1743" spans="1:2">
      <c r="A1743" s="218"/>
      <c r="B1743" s="214"/>
    </row>
    <row r="1744" spans="1:2">
      <c r="A1744" s="218"/>
      <c r="B1744" s="214"/>
    </row>
    <row r="1745" spans="1:2">
      <c r="A1745" s="218"/>
      <c r="B1745" s="214"/>
    </row>
    <row r="1746" spans="1:2">
      <c r="A1746" s="218"/>
      <c r="B1746" s="214"/>
    </row>
    <row r="1747" spans="1:2">
      <c r="A1747" s="218"/>
      <c r="B1747" s="214"/>
    </row>
    <row r="1748" spans="1:2">
      <c r="A1748" s="218"/>
      <c r="B1748" s="214"/>
    </row>
    <row r="1749" spans="1:2">
      <c r="A1749" s="218"/>
      <c r="B1749" s="214"/>
    </row>
    <row r="1750" spans="1:2">
      <c r="A1750" s="218"/>
      <c r="B1750" s="214"/>
    </row>
    <row r="1751" spans="1:2">
      <c r="A1751" s="218"/>
      <c r="B1751" s="214"/>
    </row>
    <row r="1752" spans="1:2">
      <c r="A1752" s="218"/>
      <c r="B1752" s="214"/>
    </row>
    <row r="1753" spans="1:2">
      <c r="A1753" s="218"/>
      <c r="B1753" s="214"/>
    </row>
    <row r="1754" spans="1:2">
      <c r="A1754" s="218"/>
      <c r="B1754" s="214"/>
    </row>
    <row r="1755" spans="1:2">
      <c r="A1755" s="218"/>
      <c r="B1755" s="214"/>
    </row>
    <row r="1756" spans="1:2">
      <c r="A1756" s="218"/>
      <c r="B1756" s="214"/>
    </row>
    <row r="1757" spans="1:2">
      <c r="A1757" s="218"/>
      <c r="B1757" s="214"/>
    </row>
    <row r="1758" spans="1:2">
      <c r="A1758" s="218"/>
      <c r="B1758" s="214"/>
    </row>
    <row r="1759" spans="1:2">
      <c r="A1759" s="218"/>
      <c r="B1759" s="214"/>
    </row>
    <row r="1760" spans="1:2">
      <c r="A1760" s="218"/>
      <c r="B1760" s="214"/>
    </row>
    <row r="1761" spans="1:2">
      <c r="A1761" s="218"/>
      <c r="B1761" s="214"/>
    </row>
    <row r="1762" spans="1:2">
      <c r="A1762" s="218"/>
      <c r="B1762" s="214"/>
    </row>
    <row r="1763" spans="1:2">
      <c r="A1763" s="218"/>
      <c r="B1763" s="214"/>
    </row>
    <row r="1764" spans="1:2">
      <c r="A1764" s="218"/>
      <c r="B1764" s="214"/>
    </row>
    <row r="1765" spans="1:2">
      <c r="A1765" s="218"/>
      <c r="B1765" s="214"/>
    </row>
    <row r="1766" spans="1:2">
      <c r="A1766" s="218"/>
      <c r="B1766" s="214"/>
    </row>
    <row r="1767" spans="1:2">
      <c r="A1767" s="218"/>
      <c r="B1767" s="214"/>
    </row>
    <row r="1768" spans="1:2">
      <c r="A1768" s="218"/>
      <c r="B1768" s="214"/>
    </row>
    <row r="1769" spans="1:2">
      <c r="A1769" s="218"/>
      <c r="B1769" s="214"/>
    </row>
    <row r="1770" spans="1:2">
      <c r="A1770" s="218"/>
      <c r="B1770" s="214"/>
    </row>
    <row r="1771" spans="1:2">
      <c r="A1771" s="218"/>
      <c r="B1771" s="214"/>
    </row>
    <row r="1772" spans="1:2">
      <c r="A1772" s="218"/>
      <c r="B1772" s="214"/>
    </row>
    <row r="1773" spans="1:2">
      <c r="A1773" s="218"/>
      <c r="B1773" s="214"/>
    </row>
    <row r="1774" spans="1:2">
      <c r="A1774" s="218"/>
      <c r="B1774" s="214"/>
    </row>
    <row r="1775" spans="1:2">
      <c r="A1775" s="218"/>
      <c r="B1775" s="214"/>
    </row>
    <row r="1776" spans="1:2">
      <c r="A1776" s="218"/>
      <c r="B1776" s="214"/>
    </row>
    <row r="1777" spans="1:2">
      <c r="A1777" s="218"/>
      <c r="B1777" s="214"/>
    </row>
    <row r="1778" spans="1:2">
      <c r="A1778" s="218"/>
      <c r="B1778" s="214"/>
    </row>
    <row r="1779" spans="1:2">
      <c r="A1779" s="218"/>
      <c r="B1779" s="214"/>
    </row>
    <row r="1780" spans="1:2">
      <c r="A1780" s="218"/>
      <c r="B1780" s="214"/>
    </row>
    <row r="1781" spans="1:2">
      <c r="A1781" s="218"/>
      <c r="B1781" s="214"/>
    </row>
    <row r="1782" spans="1:2">
      <c r="A1782" s="218"/>
      <c r="B1782" s="214"/>
    </row>
    <row r="1783" spans="1:2">
      <c r="A1783" s="218"/>
      <c r="B1783" s="214"/>
    </row>
    <row r="1784" spans="1:2">
      <c r="A1784" s="218"/>
      <c r="B1784" s="214"/>
    </row>
    <row r="1785" spans="1:2">
      <c r="A1785" s="218"/>
      <c r="B1785" s="214"/>
    </row>
    <row r="1786" spans="1:2">
      <c r="A1786" s="218"/>
      <c r="B1786" s="214"/>
    </row>
    <row r="1787" spans="1:2">
      <c r="A1787" s="218"/>
      <c r="B1787" s="214"/>
    </row>
    <row r="1788" spans="1:2">
      <c r="A1788" s="218"/>
      <c r="B1788" s="214"/>
    </row>
    <row r="1789" spans="1:2">
      <c r="A1789" s="218"/>
      <c r="B1789" s="214"/>
    </row>
    <row r="1790" spans="1:2">
      <c r="A1790" s="218"/>
      <c r="B1790" s="214"/>
    </row>
    <row r="1791" spans="1:2">
      <c r="A1791" s="218"/>
      <c r="B1791" s="214"/>
    </row>
    <row r="1792" spans="1:2">
      <c r="A1792" s="218"/>
      <c r="B1792" s="214"/>
    </row>
    <row r="1793" spans="1:2">
      <c r="A1793" s="218"/>
      <c r="B1793" s="214"/>
    </row>
    <row r="1794" spans="1:2">
      <c r="A1794" s="218"/>
      <c r="B1794" s="214"/>
    </row>
    <row r="1795" spans="1:2">
      <c r="A1795" s="218"/>
      <c r="B1795" s="214"/>
    </row>
    <row r="1796" spans="1:2">
      <c r="A1796" s="218"/>
      <c r="B1796" s="214"/>
    </row>
    <row r="1797" spans="1:2">
      <c r="A1797" s="218"/>
      <c r="B1797" s="214"/>
    </row>
    <row r="1798" spans="1:2">
      <c r="A1798" s="218"/>
      <c r="B1798" s="214"/>
    </row>
    <row r="1799" spans="1:2">
      <c r="A1799" s="218"/>
      <c r="B1799" s="214"/>
    </row>
    <row r="1800" spans="1:2">
      <c r="A1800" s="218"/>
      <c r="B1800" s="214"/>
    </row>
    <row r="1801" spans="1:2">
      <c r="A1801" s="218"/>
      <c r="B1801" s="214"/>
    </row>
    <row r="1802" spans="1:2">
      <c r="A1802" s="218"/>
      <c r="B1802" s="214"/>
    </row>
    <row r="1803" spans="1:2">
      <c r="A1803" s="218"/>
      <c r="B1803" s="214"/>
    </row>
    <row r="1804" spans="1:2">
      <c r="A1804" s="218"/>
      <c r="B1804" s="214"/>
    </row>
    <row r="1805" spans="1:2">
      <c r="A1805" s="218"/>
      <c r="B1805" s="214"/>
    </row>
    <row r="1806" spans="1:2">
      <c r="A1806" s="218"/>
      <c r="B1806" s="214"/>
    </row>
    <row r="1807" spans="1:2">
      <c r="A1807" s="218"/>
      <c r="B1807" s="214"/>
    </row>
    <row r="1808" spans="1:2">
      <c r="A1808" s="218"/>
      <c r="B1808" s="214"/>
    </row>
    <row r="1809" spans="1:2">
      <c r="A1809" s="218"/>
      <c r="B1809" s="214"/>
    </row>
    <row r="1810" spans="1:2">
      <c r="A1810" s="218"/>
      <c r="B1810" s="214"/>
    </row>
    <row r="1811" spans="1:2">
      <c r="A1811" s="218"/>
      <c r="B1811" s="214"/>
    </row>
    <row r="1812" spans="1:2">
      <c r="A1812" s="218"/>
      <c r="B1812" s="214"/>
    </row>
    <row r="1813" spans="1:2">
      <c r="A1813" s="218"/>
      <c r="B1813" s="214"/>
    </row>
    <row r="1814" spans="1:2">
      <c r="A1814" s="218"/>
      <c r="B1814" s="214"/>
    </row>
    <row r="1815" spans="1:2">
      <c r="A1815" s="218"/>
      <c r="B1815" s="214"/>
    </row>
    <row r="1816" spans="1:2">
      <c r="A1816" s="218"/>
      <c r="B1816" s="214"/>
    </row>
    <row r="1817" spans="1:2">
      <c r="A1817" s="218"/>
      <c r="B1817" s="214"/>
    </row>
    <row r="1818" spans="1:2">
      <c r="A1818" s="218"/>
      <c r="B1818" s="214"/>
    </row>
    <row r="1819" spans="1:2">
      <c r="A1819" s="218"/>
      <c r="B1819" s="214"/>
    </row>
    <row r="1820" spans="1:2">
      <c r="A1820" s="218"/>
      <c r="B1820" s="214"/>
    </row>
    <row r="1821" spans="1:2">
      <c r="A1821" s="218"/>
      <c r="B1821" s="214"/>
    </row>
    <row r="1822" spans="1:2">
      <c r="A1822" s="218"/>
      <c r="B1822" s="214"/>
    </row>
    <row r="1823" spans="1:2">
      <c r="A1823" s="218"/>
      <c r="B1823" s="214"/>
    </row>
    <row r="1824" spans="1:2">
      <c r="A1824" s="218"/>
      <c r="B1824" s="214"/>
    </row>
    <row r="1825" spans="1:2">
      <c r="A1825" s="218"/>
      <c r="B1825" s="214"/>
    </row>
    <row r="1826" spans="1:2">
      <c r="A1826" s="218"/>
      <c r="B1826" s="214"/>
    </row>
    <row r="1827" spans="1:2">
      <c r="A1827" s="218"/>
      <c r="B1827" s="214"/>
    </row>
    <row r="1828" spans="1:2">
      <c r="A1828" s="218"/>
      <c r="B1828" s="214"/>
    </row>
    <row r="1829" spans="1:2">
      <c r="A1829" s="218"/>
      <c r="B1829" s="214"/>
    </row>
    <row r="1830" spans="1:2">
      <c r="A1830" s="218"/>
      <c r="B1830" s="214"/>
    </row>
    <row r="1831" spans="1:2">
      <c r="A1831" s="218"/>
      <c r="B1831" s="214"/>
    </row>
    <row r="1832" spans="1:2">
      <c r="A1832" s="218"/>
      <c r="B1832" s="214"/>
    </row>
    <row r="1833" spans="1:2">
      <c r="A1833" s="218"/>
      <c r="B1833" s="214"/>
    </row>
    <row r="1834" spans="1:2">
      <c r="A1834" s="218"/>
      <c r="B1834" s="214"/>
    </row>
    <row r="1835" spans="1:2">
      <c r="A1835" s="218"/>
      <c r="B1835" s="214"/>
    </row>
    <row r="1836" spans="1:2">
      <c r="A1836" s="218"/>
      <c r="B1836" s="214"/>
    </row>
    <row r="1837" spans="1:2">
      <c r="A1837" s="218"/>
      <c r="B1837" s="214"/>
    </row>
    <row r="1838" spans="1:2">
      <c r="A1838" s="218"/>
      <c r="B1838" s="214"/>
    </row>
    <row r="1839" spans="1:2">
      <c r="A1839" s="218"/>
      <c r="B1839" s="214"/>
    </row>
    <row r="1840" spans="1:2">
      <c r="A1840" s="218"/>
      <c r="B1840" s="214"/>
    </row>
    <row r="1841" spans="1:2">
      <c r="A1841" s="218"/>
      <c r="B1841" s="214"/>
    </row>
    <row r="1842" spans="1:2">
      <c r="A1842" s="218"/>
      <c r="B1842" s="214"/>
    </row>
    <row r="1843" spans="1:2">
      <c r="A1843" s="218"/>
      <c r="B1843" s="214"/>
    </row>
    <row r="1844" spans="1:2">
      <c r="A1844" s="218"/>
      <c r="B1844" s="214"/>
    </row>
    <row r="1845" spans="1:2">
      <c r="A1845" s="218"/>
      <c r="B1845" s="214"/>
    </row>
    <row r="1846" spans="1:2">
      <c r="A1846" s="218"/>
      <c r="B1846" s="214"/>
    </row>
    <row r="1847" spans="1:2">
      <c r="A1847" s="218"/>
      <c r="B1847" s="214"/>
    </row>
    <row r="1848" spans="1:2">
      <c r="A1848" s="218"/>
      <c r="B1848" s="214"/>
    </row>
    <row r="1849" spans="1:2">
      <c r="A1849" s="218"/>
      <c r="B1849" s="214"/>
    </row>
    <row r="1850" spans="1:2">
      <c r="A1850" s="218"/>
      <c r="B1850" s="214"/>
    </row>
    <row r="1851" spans="1:2">
      <c r="A1851" s="218"/>
      <c r="B1851" s="214"/>
    </row>
    <row r="1852" spans="1:2">
      <c r="A1852" s="218"/>
      <c r="B1852" s="214"/>
    </row>
    <row r="1853" spans="1:2">
      <c r="A1853" s="218"/>
      <c r="B1853" s="214"/>
    </row>
    <row r="1854" spans="1:2">
      <c r="A1854" s="218"/>
      <c r="B1854" s="214"/>
    </row>
    <row r="1855" spans="1:2">
      <c r="A1855" s="218"/>
      <c r="B1855" s="214"/>
    </row>
    <row r="1856" spans="1:2">
      <c r="A1856" s="218"/>
      <c r="B1856" s="214"/>
    </row>
    <row r="1857" spans="1:2">
      <c r="A1857" s="218"/>
      <c r="B1857" s="214"/>
    </row>
    <row r="1858" spans="1:2">
      <c r="A1858" s="218"/>
      <c r="B1858" s="214"/>
    </row>
    <row r="1859" spans="1:2">
      <c r="A1859" s="218"/>
      <c r="B1859" s="214"/>
    </row>
    <row r="1860" spans="1:2">
      <c r="A1860" s="218"/>
      <c r="B1860" s="214"/>
    </row>
    <row r="1861" spans="1:2">
      <c r="A1861" s="218"/>
      <c r="B1861" s="214"/>
    </row>
    <row r="1862" spans="1:2">
      <c r="A1862" s="218"/>
      <c r="B1862" s="214"/>
    </row>
    <row r="1863" spans="1:2">
      <c r="A1863" s="218"/>
      <c r="B1863" s="214"/>
    </row>
    <row r="1864" spans="1:2">
      <c r="A1864" s="218"/>
      <c r="B1864" s="214"/>
    </row>
    <row r="1865" spans="1:2">
      <c r="A1865" s="218"/>
      <c r="B1865" s="214"/>
    </row>
    <row r="1866" spans="1:2">
      <c r="A1866" s="218"/>
      <c r="B1866" s="214"/>
    </row>
    <row r="1867" spans="1:2">
      <c r="A1867" s="218"/>
      <c r="B1867" s="214"/>
    </row>
    <row r="1868" spans="1:2">
      <c r="A1868" s="218"/>
      <c r="B1868" s="214"/>
    </row>
    <row r="1869" spans="1:2">
      <c r="A1869" s="218"/>
      <c r="B1869" s="214"/>
    </row>
    <row r="1870" spans="1:2">
      <c r="A1870" s="218"/>
      <c r="B1870" s="214"/>
    </row>
    <row r="1871" spans="1:2">
      <c r="A1871" s="218"/>
      <c r="B1871" s="214"/>
    </row>
    <row r="1872" spans="1:2">
      <c r="A1872" s="218"/>
      <c r="B1872" s="214"/>
    </row>
    <row r="1873" spans="1:2">
      <c r="A1873" s="218"/>
      <c r="B1873" s="214"/>
    </row>
    <row r="1874" spans="1:2">
      <c r="A1874" s="218"/>
      <c r="B1874" s="214"/>
    </row>
    <row r="1875" spans="1:2">
      <c r="A1875" s="218"/>
      <c r="B1875" s="214"/>
    </row>
    <row r="1876" spans="1:2">
      <c r="A1876" s="218"/>
      <c r="B1876" s="214"/>
    </row>
    <row r="1877" spans="1:2">
      <c r="A1877" s="218"/>
      <c r="B1877" s="214"/>
    </row>
    <row r="1878" spans="1:2">
      <c r="A1878" s="218"/>
      <c r="B1878" s="214"/>
    </row>
    <row r="1879" spans="1:2">
      <c r="A1879" s="218"/>
      <c r="B1879" s="214"/>
    </row>
    <row r="1880" spans="1:2">
      <c r="A1880" s="218"/>
      <c r="B1880" s="214"/>
    </row>
    <row r="1881" spans="1:2">
      <c r="A1881" s="218"/>
      <c r="B1881" s="214"/>
    </row>
    <row r="1882" spans="1:2">
      <c r="A1882" s="218"/>
      <c r="B1882" s="214"/>
    </row>
    <row r="1883" spans="1:2">
      <c r="A1883" s="218"/>
      <c r="B1883" s="214"/>
    </row>
    <row r="1884" spans="1:2">
      <c r="A1884" s="218"/>
      <c r="B1884" s="214"/>
    </row>
    <row r="1885" spans="1:2">
      <c r="A1885" s="218"/>
      <c r="B1885" s="214"/>
    </row>
    <row r="1886" spans="1:2">
      <c r="A1886" s="218"/>
      <c r="B1886" s="214"/>
    </row>
    <row r="1887" spans="1:2">
      <c r="A1887" s="218"/>
      <c r="B1887" s="214"/>
    </row>
    <row r="1888" spans="1:2">
      <c r="A1888" s="218"/>
      <c r="B1888" s="214"/>
    </row>
    <row r="1889" spans="1:2">
      <c r="A1889" s="218"/>
      <c r="B1889" s="214"/>
    </row>
    <row r="1890" spans="1:2">
      <c r="A1890" s="218"/>
      <c r="B1890" s="214"/>
    </row>
    <row r="1891" spans="1:2">
      <c r="A1891" s="218"/>
      <c r="B1891" s="214"/>
    </row>
    <row r="1892" spans="1:2">
      <c r="A1892" s="218"/>
      <c r="B1892" s="214"/>
    </row>
    <row r="1893" spans="1:2">
      <c r="A1893" s="218"/>
      <c r="B1893" s="214"/>
    </row>
    <row r="1894" spans="1:2">
      <c r="A1894" s="218"/>
      <c r="B1894" s="214"/>
    </row>
    <row r="1895" spans="1:2">
      <c r="A1895" s="218"/>
      <c r="B1895" s="214"/>
    </row>
    <row r="1896" spans="1:2">
      <c r="A1896" s="218"/>
      <c r="B1896" s="214"/>
    </row>
    <row r="1897" spans="1:2">
      <c r="A1897" s="218"/>
      <c r="B1897" s="214"/>
    </row>
    <row r="1898" spans="1:2">
      <c r="A1898" s="218"/>
      <c r="B1898" s="214"/>
    </row>
    <row r="1899" spans="1:2">
      <c r="A1899" s="218"/>
      <c r="B1899" s="214"/>
    </row>
    <row r="1900" spans="1:2">
      <c r="A1900" s="218"/>
      <c r="B1900" s="214"/>
    </row>
    <row r="1901" spans="1:2">
      <c r="A1901" s="218"/>
      <c r="B1901" s="214"/>
    </row>
    <row r="1902" spans="1:2">
      <c r="A1902" s="218"/>
      <c r="B1902" s="214"/>
    </row>
    <row r="1903" spans="1:2">
      <c r="A1903" s="218"/>
      <c r="B1903" s="214"/>
    </row>
    <row r="1904" spans="1:2">
      <c r="A1904" s="218"/>
      <c r="B1904" s="214"/>
    </row>
    <row r="1905" spans="1:2">
      <c r="A1905" s="218"/>
      <c r="B1905" s="214"/>
    </row>
    <row r="1906" spans="1:2">
      <c r="A1906" s="218"/>
      <c r="B1906" s="214"/>
    </row>
    <row r="1907" spans="1:2">
      <c r="A1907" s="218"/>
      <c r="B1907" s="214"/>
    </row>
    <row r="1908" spans="1:2">
      <c r="A1908" s="218"/>
      <c r="B1908" s="214"/>
    </row>
    <row r="1909" spans="1:2">
      <c r="A1909" s="218"/>
      <c r="B1909" s="214"/>
    </row>
    <row r="1910" spans="1:2">
      <c r="A1910" s="218"/>
      <c r="B1910" s="214"/>
    </row>
    <row r="1911" spans="1:2">
      <c r="A1911" s="218"/>
      <c r="B1911" s="214"/>
    </row>
    <row r="1912" spans="1:2">
      <c r="A1912" s="218"/>
      <c r="B1912" s="214"/>
    </row>
    <row r="1913" spans="1:2">
      <c r="A1913" s="218"/>
      <c r="B1913" s="214"/>
    </row>
    <row r="1914" spans="1:2">
      <c r="A1914" s="218"/>
      <c r="B1914" s="214"/>
    </row>
    <row r="1915" spans="1:2">
      <c r="A1915" s="218"/>
      <c r="B1915" s="214"/>
    </row>
    <row r="1916" spans="1:2">
      <c r="A1916" s="218"/>
      <c r="B1916" s="214"/>
    </row>
    <row r="1917" spans="1:2">
      <c r="A1917" s="218"/>
      <c r="B1917" s="214"/>
    </row>
    <row r="1918" spans="1:2">
      <c r="A1918" s="218"/>
      <c r="B1918" s="214"/>
    </row>
    <row r="1919" spans="1:2">
      <c r="A1919" s="218"/>
      <c r="B1919" s="214"/>
    </row>
    <row r="1920" spans="1:2">
      <c r="A1920" s="218"/>
      <c r="B1920" s="214"/>
    </row>
    <row r="1921" spans="1:2">
      <c r="A1921" s="218"/>
      <c r="B1921" s="214"/>
    </row>
    <row r="1922" spans="1:2">
      <c r="A1922" s="218"/>
      <c r="B1922" s="214"/>
    </row>
    <row r="1923" spans="1:2">
      <c r="A1923" s="218"/>
      <c r="B1923" s="214"/>
    </row>
    <row r="1924" spans="1:2">
      <c r="A1924" s="218"/>
      <c r="B1924" s="214"/>
    </row>
    <row r="1925" spans="1:2">
      <c r="A1925" s="218"/>
      <c r="B1925" s="214"/>
    </row>
    <row r="1926" spans="1:2">
      <c r="A1926" s="218"/>
      <c r="B1926" s="214"/>
    </row>
    <row r="1927" spans="1:2">
      <c r="A1927" s="218"/>
      <c r="B1927" s="214"/>
    </row>
    <row r="1928" spans="1:2">
      <c r="A1928" s="218"/>
      <c r="B1928" s="214"/>
    </row>
    <row r="1929" spans="1:2">
      <c r="A1929" s="218"/>
      <c r="B1929" s="214"/>
    </row>
    <row r="1930" spans="1:2">
      <c r="A1930" s="218"/>
      <c r="B1930" s="214"/>
    </row>
    <row r="1931" spans="1:2">
      <c r="A1931" s="218"/>
      <c r="B1931" s="214"/>
    </row>
    <row r="1932" spans="1:2">
      <c r="A1932" s="218"/>
      <c r="B1932" s="214"/>
    </row>
    <row r="1933" spans="1:2">
      <c r="A1933" s="218"/>
      <c r="B1933" s="214"/>
    </row>
    <row r="1934" spans="1:2">
      <c r="A1934" s="218"/>
      <c r="B1934" s="214"/>
    </row>
    <row r="1935" spans="1:2">
      <c r="A1935" s="218"/>
      <c r="B1935" s="214"/>
    </row>
    <row r="1936" spans="1:2">
      <c r="A1936" s="218"/>
      <c r="B1936" s="214"/>
    </row>
    <row r="1937" spans="1:2">
      <c r="A1937" s="218"/>
      <c r="B1937" s="214"/>
    </row>
    <row r="1938" spans="1:2">
      <c r="A1938" s="218"/>
      <c r="B1938" s="214"/>
    </row>
    <row r="1939" spans="1:2">
      <c r="A1939" s="218"/>
      <c r="B1939" s="214"/>
    </row>
    <row r="1940" spans="1:2">
      <c r="A1940" s="218"/>
      <c r="B1940" s="214"/>
    </row>
    <row r="1941" spans="1:2">
      <c r="A1941" s="218"/>
      <c r="B1941" s="214"/>
    </row>
    <row r="1942" spans="1:2">
      <c r="A1942" s="218"/>
      <c r="B1942" s="214"/>
    </row>
    <row r="1943" spans="1:2">
      <c r="A1943" s="218"/>
      <c r="B1943" s="214"/>
    </row>
    <row r="1944" spans="1:2">
      <c r="A1944" s="218"/>
      <c r="B1944" s="214"/>
    </row>
    <row r="1945" spans="1:2">
      <c r="A1945" s="218"/>
      <c r="B1945" s="214"/>
    </row>
    <row r="1946" spans="1:2">
      <c r="A1946" s="218"/>
      <c r="B1946" s="214"/>
    </row>
    <row r="1947" spans="1:2">
      <c r="A1947" s="218"/>
      <c r="B1947" s="214"/>
    </row>
    <row r="1948" spans="1:2">
      <c r="A1948" s="218"/>
      <c r="B1948" s="214"/>
    </row>
    <row r="1949" spans="1:2">
      <c r="A1949" s="218"/>
      <c r="B1949" s="214"/>
    </row>
    <row r="1950" spans="1:2">
      <c r="A1950" s="218"/>
      <c r="B1950" s="214"/>
    </row>
    <row r="1951" spans="1:2">
      <c r="A1951" s="218"/>
      <c r="B1951" s="214"/>
    </row>
    <row r="1952" spans="1:2">
      <c r="A1952" s="218"/>
      <c r="B1952" s="214"/>
    </row>
    <row r="1953" spans="1:2">
      <c r="A1953" s="218"/>
      <c r="B1953" s="214"/>
    </row>
    <row r="1954" spans="1:2">
      <c r="A1954" s="218"/>
      <c r="B1954" s="214"/>
    </row>
    <row r="1955" spans="1:2">
      <c r="A1955" s="218"/>
      <c r="B1955" s="214"/>
    </row>
    <row r="1956" spans="1:2">
      <c r="A1956" s="218"/>
      <c r="B1956" s="214"/>
    </row>
    <row r="1957" spans="1:2">
      <c r="A1957" s="218"/>
      <c r="B1957" s="214"/>
    </row>
    <row r="1958" spans="1:2">
      <c r="A1958" s="218"/>
      <c r="B1958" s="214"/>
    </row>
    <row r="1959" spans="1:2">
      <c r="A1959" s="218"/>
      <c r="B1959" s="214"/>
    </row>
    <row r="1960" spans="1:2">
      <c r="A1960" s="218"/>
      <c r="B1960" s="214"/>
    </row>
    <row r="1961" spans="1:2">
      <c r="A1961" s="218"/>
      <c r="B1961" s="214"/>
    </row>
    <row r="1962" spans="1:2">
      <c r="A1962" s="218"/>
      <c r="B1962" s="214"/>
    </row>
    <row r="1963" spans="1:2">
      <c r="A1963" s="218"/>
      <c r="B1963" s="214"/>
    </row>
    <row r="1964" spans="1:2">
      <c r="A1964" s="218"/>
      <c r="B1964" s="214"/>
    </row>
    <row r="1965" spans="1:2">
      <c r="A1965" s="218"/>
      <c r="B1965" s="214"/>
    </row>
    <row r="1966" spans="1:2">
      <c r="A1966" s="218"/>
      <c r="B1966" s="214"/>
    </row>
    <row r="1967" spans="1:2">
      <c r="A1967" s="218"/>
      <c r="B1967" s="214"/>
    </row>
    <row r="1968" spans="1:2">
      <c r="A1968" s="218"/>
      <c r="B1968" s="214"/>
    </row>
    <row r="1969" spans="1:2">
      <c r="A1969" s="218"/>
      <c r="B1969" s="214"/>
    </row>
    <row r="1970" spans="1:2">
      <c r="A1970" s="218"/>
      <c r="B1970" s="214"/>
    </row>
    <row r="1971" spans="1:2">
      <c r="A1971" s="218"/>
      <c r="B1971" s="214"/>
    </row>
    <row r="1972" spans="1:2">
      <c r="A1972" s="218"/>
      <c r="B1972" s="214"/>
    </row>
    <row r="1973" spans="1:2">
      <c r="A1973" s="218"/>
      <c r="B1973" s="214"/>
    </row>
    <row r="1974" spans="1:2">
      <c r="A1974" s="218"/>
      <c r="B1974" s="214"/>
    </row>
    <row r="1975" spans="1:2">
      <c r="A1975" s="218"/>
      <c r="B1975" s="214"/>
    </row>
    <row r="1976" spans="1:2">
      <c r="A1976" s="218"/>
      <c r="B1976" s="214"/>
    </row>
    <row r="1977" spans="1:2">
      <c r="A1977" s="218"/>
      <c r="B1977" s="214"/>
    </row>
    <row r="1978" spans="1:2">
      <c r="A1978" s="218"/>
      <c r="B1978" s="214"/>
    </row>
    <row r="1979" spans="1:2">
      <c r="A1979" s="218"/>
      <c r="B1979" s="214"/>
    </row>
    <row r="1980" spans="1:2">
      <c r="A1980" s="218"/>
      <c r="B1980" s="214"/>
    </row>
    <row r="1981" spans="1:2">
      <c r="A1981" s="218"/>
      <c r="B1981" s="214"/>
    </row>
    <row r="1982" spans="1:2">
      <c r="A1982" s="218"/>
      <c r="B1982" s="214"/>
    </row>
    <row r="1983" spans="1:2">
      <c r="A1983" s="218"/>
      <c r="B1983" s="214"/>
    </row>
    <row r="1984" spans="1:2">
      <c r="A1984" s="218"/>
      <c r="B1984" s="214"/>
    </row>
    <row r="1985" spans="1:2">
      <c r="A1985" s="218"/>
      <c r="B1985" s="214"/>
    </row>
    <row r="1986" spans="1:2">
      <c r="A1986" s="218"/>
      <c r="B1986" s="214"/>
    </row>
    <row r="1987" spans="1:2">
      <c r="A1987" s="218"/>
      <c r="B1987" s="214"/>
    </row>
    <row r="1988" spans="1:2">
      <c r="A1988" s="218"/>
      <c r="B1988" s="214"/>
    </row>
    <row r="1989" spans="1:2">
      <c r="A1989" s="218"/>
      <c r="B1989" s="214"/>
    </row>
    <row r="1990" spans="1:2">
      <c r="A1990" s="218"/>
      <c r="B1990" s="214"/>
    </row>
    <row r="1991" spans="1:2">
      <c r="A1991" s="218"/>
      <c r="B1991" s="214"/>
    </row>
    <row r="1992" spans="1:2">
      <c r="A1992" s="218"/>
      <c r="B1992" s="214"/>
    </row>
    <row r="1993" spans="1:2">
      <c r="A1993" s="218"/>
      <c r="B1993" s="214"/>
    </row>
    <row r="1994" spans="1:2">
      <c r="A1994" s="218"/>
      <c r="B1994" s="214"/>
    </row>
    <row r="1995" spans="1:2">
      <c r="A1995" s="218"/>
      <c r="B1995" s="214"/>
    </row>
    <row r="1996" spans="1:2">
      <c r="A1996" s="218"/>
      <c r="B1996" s="214"/>
    </row>
    <row r="1997" spans="1:2">
      <c r="A1997" s="218"/>
      <c r="B1997" s="214"/>
    </row>
    <row r="1998" spans="1:2">
      <c r="A1998" s="218"/>
      <c r="B1998" s="214"/>
    </row>
    <row r="1999" spans="1:2">
      <c r="A1999" s="218"/>
      <c r="B1999" s="214"/>
    </row>
    <row r="2000" spans="1:2">
      <c r="A2000" s="218"/>
      <c r="B2000" s="214"/>
    </row>
    <row r="2001" spans="1:2">
      <c r="A2001" s="218"/>
      <c r="B2001" s="214"/>
    </row>
    <row r="2002" spans="1:2">
      <c r="A2002" s="218"/>
      <c r="B2002" s="214"/>
    </row>
    <row r="2003" spans="1:2">
      <c r="A2003" s="218"/>
      <c r="B2003" s="214"/>
    </row>
    <row r="2004" spans="1:2">
      <c r="A2004" s="218"/>
      <c r="B2004" s="214"/>
    </row>
    <row r="2005" spans="1:2">
      <c r="A2005" s="218"/>
      <c r="B2005" s="214"/>
    </row>
    <row r="2006" spans="1:2">
      <c r="A2006" s="218"/>
      <c r="B2006" s="214"/>
    </row>
    <row r="2007" spans="1:2">
      <c r="A2007" s="218"/>
      <c r="B2007" s="214"/>
    </row>
    <row r="2008" spans="1:2">
      <c r="A2008" s="218"/>
      <c r="B2008" s="214"/>
    </row>
    <row r="2009" spans="1:2">
      <c r="A2009" s="218"/>
      <c r="B2009" s="214"/>
    </row>
    <row r="2010" spans="1:2">
      <c r="A2010" s="218"/>
      <c r="B2010" s="214"/>
    </row>
    <row r="2011" spans="1:2">
      <c r="A2011" s="218"/>
      <c r="B2011" s="214"/>
    </row>
    <row r="2012" spans="1:2">
      <c r="A2012" s="218"/>
      <c r="B2012" s="214"/>
    </row>
    <row r="2013" spans="1:2">
      <c r="A2013" s="218"/>
      <c r="B2013" s="214"/>
    </row>
    <row r="2014" spans="1:2">
      <c r="A2014" s="218"/>
      <c r="B2014" s="214"/>
    </row>
    <row r="2015" spans="1:2">
      <c r="A2015" s="218"/>
      <c r="B2015" s="214"/>
    </row>
    <row r="2016" spans="1:2">
      <c r="A2016" s="218"/>
      <c r="B2016" s="214"/>
    </row>
    <row r="2017" spans="1:2">
      <c r="A2017" s="218"/>
      <c r="B2017" s="214"/>
    </row>
    <row r="2018" spans="1:2">
      <c r="A2018" s="218"/>
      <c r="B2018" s="214"/>
    </row>
    <row r="2019" spans="1:2">
      <c r="A2019" s="218"/>
      <c r="B2019" s="214"/>
    </row>
    <row r="2020" spans="1:2">
      <c r="A2020" s="218"/>
      <c r="B2020" s="214"/>
    </row>
    <row r="2021" spans="1:2">
      <c r="A2021" s="218"/>
      <c r="B2021" s="214"/>
    </row>
    <row r="2022" spans="1:2">
      <c r="A2022" s="218"/>
      <c r="B2022" s="214"/>
    </row>
    <row r="2023" spans="1:2">
      <c r="A2023" s="218"/>
      <c r="B2023" s="214"/>
    </row>
    <row r="2024" spans="1:2">
      <c r="A2024" s="218"/>
      <c r="B2024" s="214"/>
    </row>
    <row r="2025" spans="1:2">
      <c r="A2025" s="218"/>
      <c r="B2025" s="214"/>
    </row>
    <row r="2026" spans="1:2">
      <c r="A2026" s="218"/>
      <c r="B2026" s="214"/>
    </row>
    <row r="2027" spans="1:2">
      <c r="A2027" s="218"/>
      <c r="B2027" s="214"/>
    </row>
    <row r="2028" spans="1:2">
      <c r="A2028" s="218"/>
      <c r="B2028" s="214"/>
    </row>
    <row r="2029" spans="1:2">
      <c r="A2029" s="218"/>
      <c r="B2029" s="214"/>
    </row>
    <row r="2030" spans="1:2">
      <c r="A2030" s="218"/>
      <c r="B2030" s="214"/>
    </row>
    <row r="2031" spans="1:2">
      <c r="A2031" s="218"/>
      <c r="B2031" s="214"/>
    </row>
    <row r="2032" spans="1:2">
      <c r="A2032" s="218"/>
      <c r="B2032" s="214"/>
    </row>
    <row r="2033" spans="1:2">
      <c r="A2033" s="218"/>
      <c r="B2033" s="214"/>
    </row>
    <row r="2034" spans="1:2">
      <c r="A2034" s="218"/>
      <c r="B2034" s="214"/>
    </row>
    <row r="2035" spans="1:2">
      <c r="A2035" s="218"/>
      <c r="B2035" s="214"/>
    </row>
    <row r="2036" spans="1:2">
      <c r="A2036" s="218"/>
      <c r="B2036" s="214"/>
    </row>
    <row r="2037" spans="1:2">
      <c r="A2037" s="218"/>
      <c r="B2037" s="214"/>
    </row>
    <row r="2038" spans="1:2">
      <c r="A2038" s="218"/>
      <c r="B2038" s="214"/>
    </row>
    <row r="2039" spans="1:2">
      <c r="A2039" s="218"/>
      <c r="B2039" s="214"/>
    </row>
    <row r="2040" spans="1:2">
      <c r="A2040" s="218"/>
      <c r="B2040" s="214"/>
    </row>
    <row r="2041" spans="1:2">
      <c r="A2041" s="218"/>
      <c r="B2041" s="214"/>
    </row>
    <row r="2042" spans="1:2">
      <c r="A2042" s="218"/>
      <c r="B2042" s="214"/>
    </row>
    <row r="2043" spans="1:2">
      <c r="A2043" s="218"/>
      <c r="B2043" s="214"/>
    </row>
    <row r="2044" spans="1:2">
      <c r="A2044" s="218"/>
      <c r="B2044" s="214"/>
    </row>
    <row r="2045" spans="1:2">
      <c r="A2045" s="218"/>
      <c r="B2045" s="214"/>
    </row>
    <row r="2046" spans="1:2">
      <c r="A2046" s="218"/>
      <c r="B2046" s="214"/>
    </row>
    <row r="2047" spans="1:2">
      <c r="A2047" s="218"/>
      <c r="B2047" s="214"/>
    </row>
    <row r="2048" spans="1:2">
      <c r="A2048" s="218"/>
      <c r="B2048" s="214"/>
    </row>
    <row r="2049" spans="1:2">
      <c r="A2049" s="218"/>
      <c r="B2049" s="214"/>
    </row>
    <row r="2050" spans="1:2">
      <c r="A2050" s="218"/>
      <c r="B2050" s="214"/>
    </row>
    <row r="2051" spans="1:2">
      <c r="A2051" s="218"/>
      <c r="B2051" s="214"/>
    </row>
    <row r="2052" spans="1:2">
      <c r="A2052" s="218"/>
      <c r="B2052" s="214"/>
    </row>
    <row r="2053" spans="1:2">
      <c r="A2053" s="218"/>
      <c r="B2053" s="214"/>
    </row>
    <row r="2054" spans="1:2">
      <c r="A2054" s="218"/>
      <c r="B2054" s="214"/>
    </row>
    <row r="2055" spans="1:2">
      <c r="A2055" s="218"/>
      <c r="B2055" s="214"/>
    </row>
    <row r="2056" spans="1:2">
      <c r="A2056" s="218"/>
      <c r="B2056" s="214"/>
    </row>
    <row r="2057" spans="1:2">
      <c r="A2057" s="218"/>
      <c r="B2057" s="214"/>
    </row>
    <row r="2058" spans="1:2">
      <c r="A2058" s="218"/>
      <c r="B2058" s="214"/>
    </row>
    <row r="2059" spans="1:2">
      <c r="A2059" s="218"/>
      <c r="B2059" s="214"/>
    </row>
    <row r="2060" spans="1:2">
      <c r="A2060" s="218"/>
      <c r="B2060" s="214"/>
    </row>
    <row r="2061" spans="1:2">
      <c r="A2061" s="218"/>
      <c r="B2061" s="214"/>
    </row>
    <row r="2062" spans="1:2">
      <c r="A2062" s="218"/>
      <c r="B2062" s="214"/>
    </row>
    <row r="2063" spans="1:2">
      <c r="A2063" s="218"/>
      <c r="B2063" s="214"/>
    </row>
    <row r="2064" spans="1:2">
      <c r="A2064" s="218"/>
      <c r="B2064" s="214"/>
    </row>
    <row r="2065" spans="1:2">
      <c r="A2065" s="218"/>
      <c r="B2065" s="214"/>
    </row>
    <row r="2066" spans="1:2">
      <c r="A2066" s="218"/>
      <c r="B2066" s="214"/>
    </row>
    <row r="2067" spans="1:2">
      <c r="A2067" s="218"/>
      <c r="B2067" s="214"/>
    </row>
    <row r="2068" spans="1:2">
      <c r="A2068" s="218"/>
      <c r="B2068" s="214"/>
    </row>
    <row r="2069" spans="1:2">
      <c r="A2069" s="218"/>
      <c r="B2069" s="214"/>
    </row>
    <row r="2070" spans="1:2">
      <c r="A2070" s="218"/>
      <c r="B2070" s="214"/>
    </row>
    <row r="2071" spans="1:2">
      <c r="A2071" s="218"/>
      <c r="B2071" s="214"/>
    </row>
    <row r="2072" spans="1:2">
      <c r="A2072" s="218"/>
      <c r="B2072" s="214"/>
    </row>
    <row r="2073" spans="1:2">
      <c r="A2073" s="218"/>
      <c r="B2073" s="214"/>
    </row>
    <row r="2074" spans="1:2">
      <c r="A2074" s="218"/>
      <c r="B2074" s="214"/>
    </row>
    <row r="2075" spans="1:2">
      <c r="A2075" s="218"/>
      <c r="B2075" s="214"/>
    </row>
    <row r="2076" spans="1:2">
      <c r="A2076" s="218"/>
      <c r="B2076" s="214"/>
    </row>
    <row r="2077" spans="1:2">
      <c r="A2077" s="218"/>
      <c r="B2077" s="214"/>
    </row>
    <row r="2078" spans="1:2">
      <c r="A2078" s="218"/>
      <c r="B2078" s="214"/>
    </row>
    <row r="2079" spans="1:2">
      <c r="A2079" s="218"/>
      <c r="B2079" s="214"/>
    </row>
    <row r="2080" spans="1:2">
      <c r="A2080" s="218"/>
      <c r="B2080" s="214"/>
    </row>
    <row r="2081" spans="1:2">
      <c r="A2081" s="218"/>
      <c r="B2081" s="214"/>
    </row>
    <row r="2082" spans="1:2">
      <c r="A2082" s="218"/>
      <c r="B2082" s="214"/>
    </row>
    <row r="2083" spans="1:2">
      <c r="A2083" s="218"/>
      <c r="B2083" s="214"/>
    </row>
    <row r="2084" spans="1:2">
      <c r="A2084" s="218"/>
      <c r="B2084" s="214"/>
    </row>
    <row r="2085" spans="1:2">
      <c r="A2085" s="218"/>
      <c r="B2085" s="214"/>
    </row>
    <row r="2086" spans="1:2">
      <c r="A2086" s="218"/>
      <c r="B2086" s="214"/>
    </row>
    <row r="2087" spans="1:2">
      <c r="A2087" s="218"/>
      <c r="B2087" s="214"/>
    </row>
    <row r="2088" spans="1:2">
      <c r="A2088" s="218"/>
      <c r="B2088" s="214"/>
    </row>
    <row r="2089" spans="1:2">
      <c r="A2089" s="218"/>
      <c r="B2089" s="214"/>
    </row>
    <row r="2090" spans="1:2">
      <c r="A2090" s="218"/>
      <c r="B2090" s="214"/>
    </row>
    <row r="2091" spans="1:2">
      <c r="A2091" s="218"/>
      <c r="B2091" s="214"/>
    </row>
    <row r="2092" spans="1:2">
      <c r="A2092" s="218"/>
      <c r="B2092" s="214"/>
    </row>
    <row r="2093" spans="1:2">
      <c r="A2093" s="218"/>
      <c r="B2093" s="214"/>
    </row>
    <row r="2094" spans="1:2">
      <c r="A2094" s="218"/>
      <c r="B2094" s="214"/>
    </row>
    <row r="2095" spans="1:2">
      <c r="A2095" s="218"/>
      <c r="B2095" s="214"/>
    </row>
    <row r="2096" spans="1:2">
      <c r="A2096" s="218"/>
      <c r="B2096" s="214"/>
    </row>
    <row r="2097" spans="1:2">
      <c r="A2097" s="218"/>
      <c r="B2097" s="214"/>
    </row>
    <row r="2098" spans="1:2">
      <c r="A2098" s="218"/>
      <c r="B2098" s="214"/>
    </row>
    <row r="2099" spans="1:2">
      <c r="A2099" s="218"/>
      <c r="B2099" s="214"/>
    </row>
    <row r="2100" spans="1:2">
      <c r="A2100" s="218"/>
      <c r="B2100" s="214"/>
    </row>
    <row r="2101" spans="1:2">
      <c r="A2101" s="218"/>
      <c r="B2101" s="214"/>
    </row>
    <row r="2102" spans="1:2">
      <c r="A2102" s="218"/>
      <c r="B2102" s="214"/>
    </row>
    <row r="2103" spans="1:2">
      <c r="A2103" s="218"/>
      <c r="B2103" s="214"/>
    </row>
    <row r="2104" spans="1:2">
      <c r="A2104" s="218"/>
      <c r="B2104" s="214"/>
    </row>
    <row r="2105" spans="1:2">
      <c r="A2105" s="218"/>
      <c r="B2105" s="214"/>
    </row>
    <row r="2106" spans="1:2">
      <c r="A2106" s="218"/>
      <c r="B2106" s="214"/>
    </row>
    <row r="2107" spans="1:2">
      <c r="A2107" s="218"/>
      <c r="B2107" s="214"/>
    </row>
    <row r="2108" spans="1:2">
      <c r="A2108" s="218"/>
      <c r="B2108" s="214"/>
    </row>
    <row r="2109" spans="1:2">
      <c r="A2109" s="218"/>
      <c r="B2109" s="214"/>
    </row>
    <row r="2110" spans="1:2">
      <c r="A2110" s="218"/>
      <c r="B2110" s="214"/>
    </row>
    <row r="2111" spans="1:2">
      <c r="A2111" s="218"/>
      <c r="B2111" s="214"/>
    </row>
    <row r="2112" spans="1:2">
      <c r="A2112" s="218"/>
      <c r="B2112" s="214"/>
    </row>
    <row r="2113" spans="1:2">
      <c r="A2113" s="218"/>
      <c r="B2113" s="214"/>
    </row>
    <row r="2114" spans="1:2">
      <c r="A2114" s="218"/>
      <c r="B2114" s="214"/>
    </row>
    <row r="2115" spans="1:2">
      <c r="A2115" s="218"/>
      <c r="B2115" s="214"/>
    </row>
    <row r="2116" spans="1:2">
      <c r="A2116" s="218"/>
      <c r="B2116" s="214"/>
    </row>
    <row r="2117" spans="1:2">
      <c r="A2117" s="218"/>
      <c r="B2117" s="214"/>
    </row>
    <row r="2118" spans="1:2">
      <c r="A2118" s="218"/>
      <c r="B2118" s="214"/>
    </row>
    <row r="2119" spans="1:2">
      <c r="A2119" s="218"/>
      <c r="B2119" s="214"/>
    </row>
    <row r="2120" spans="1:2">
      <c r="A2120" s="218"/>
      <c r="B2120" s="214"/>
    </row>
    <row r="2121" spans="1:2">
      <c r="A2121" s="218"/>
      <c r="B2121" s="214"/>
    </row>
    <row r="2122" spans="1:2">
      <c r="A2122" s="218"/>
      <c r="B2122" s="214"/>
    </row>
    <row r="2123" spans="1:2">
      <c r="A2123" s="218"/>
      <c r="B2123" s="214"/>
    </row>
    <row r="2124" spans="1:2">
      <c r="A2124" s="218"/>
      <c r="B2124" s="214"/>
    </row>
    <row r="2125" spans="1:2">
      <c r="A2125" s="218"/>
      <c r="B2125" s="214"/>
    </row>
    <row r="2126" spans="1:2">
      <c r="A2126" s="218"/>
      <c r="B2126" s="214"/>
    </row>
    <row r="2127" spans="1:2">
      <c r="A2127" s="218"/>
      <c r="B2127" s="214"/>
    </row>
    <row r="2128" spans="1:2">
      <c r="A2128" s="218"/>
      <c r="B2128" s="214"/>
    </row>
    <row r="2129" spans="1:2">
      <c r="A2129" s="218"/>
      <c r="B2129" s="214"/>
    </row>
    <row r="2130" spans="1:2">
      <c r="A2130" s="218"/>
      <c r="B2130" s="214"/>
    </row>
    <row r="2131" spans="1:2">
      <c r="A2131" s="218"/>
      <c r="B2131" s="214"/>
    </row>
    <row r="2132" spans="1:2">
      <c r="A2132" s="218"/>
      <c r="B2132" s="214"/>
    </row>
    <row r="2133" spans="1:2">
      <c r="A2133" s="218"/>
      <c r="B2133" s="214"/>
    </row>
    <row r="2134" spans="1:2">
      <c r="A2134" s="218"/>
      <c r="B2134" s="214"/>
    </row>
    <row r="2135" spans="1:2">
      <c r="A2135" s="218"/>
      <c r="B2135" s="214"/>
    </row>
    <row r="2136" spans="1:2">
      <c r="A2136" s="218"/>
      <c r="B2136" s="214"/>
    </row>
    <row r="2137" spans="1:2">
      <c r="A2137" s="218"/>
      <c r="B2137" s="214"/>
    </row>
    <row r="2138" spans="1:2">
      <c r="A2138" s="218"/>
      <c r="B2138" s="214"/>
    </row>
    <row r="2139" spans="1:2">
      <c r="A2139" s="218"/>
      <c r="B2139" s="214"/>
    </row>
    <row r="2140" spans="1:2">
      <c r="A2140" s="218"/>
      <c r="B2140" s="214"/>
    </row>
    <row r="2141" spans="1:2">
      <c r="A2141" s="218"/>
      <c r="B2141" s="214"/>
    </row>
    <row r="2142" spans="1:2">
      <c r="A2142" s="218"/>
      <c r="B2142" s="214"/>
    </row>
    <row r="2143" spans="1:2">
      <c r="A2143" s="218"/>
      <c r="B2143" s="214"/>
    </row>
    <row r="2144" spans="1:2">
      <c r="A2144" s="218"/>
      <c r="B2144" s="214"/>
    </row>
    <row r="2145" spans="1:2">
      <c r="A2145" s="218"/>
      <c r="B2145" s="214"/>
    </row>
    <row r="2146" spans="1:2">
      <c r="A2146" s="218"/>
      <c r="B2146" s="214"/>
    </row>
    <row r="2147" spans="1:2">
      <c r="A2147" s="218"/>
      <c r="B2147" s="214"/>
    </row>
    <row r="2148" spans="1:2">
      <c r="A2148" s="218"/>
      <c r="B2148" s="214"/>
    </row>
    <row r="2149" spans="1:2">
      <c r="A2149" s="218"/>
      <c r="B2149" s="214"/>
    </row>
    <row r="2150" spans="1:2">
      <c r="A2150" s="218"/>
      <c r="B2150" s="214"/>
    </row>
    <row r="2151" spans="1:2">
      <c r="A2151" s="218"/>
      <c r="B2151" s="214"/>
    </row>
    <row r="2152" spans="1:2">
      <c r="A2152" s="218"/>
      <c r="B2152" s="214"/>
    </row>
    <row r="2153" spans="1:2">
      <c r="A2153" s="218"/>
      <c r="B2153" s="214"/>
    </row>
    <row r="2154" spans="1:2">
      <c r="A2154" s="218"/>
      <c r="B2154" s="214"/>
    </row>
    <row r="2155" spans="1:2">
      <c r="A2155" s="218"/>
      <c r="B2155" s="214"/>
    </row>
    <row r="2156" spans="1:2">
      <c r="A2156" s="218"/>
      <c r="B2156" s="214"/>
    </row>
    <row r="2157" spans="1:2">
      <c r="A2157" s="218"/>
      <c r="B2157" s="214"/>
    </row>
    <row r="2158" spans="1:2">
      <c r="A2158" s="218"/>
      <c r="B2158" s="214"/>
    </row>
    <row r="2159" spans="1:2">
      <c r="A2159" s="218"/>
      <c r="B2159" s="214"/>
    </row>
    <row r="2160" spans="1:2">
      <c r="A2160" s="218"/>
      <c r="B2160" s="214"/>
    </row>
    <row r="2161" spans="1:2">
      <c r="A2161" s="218"/>
      <c r="B2161" s="214"/>
    </row>
    <row r="2162" spans="1:2">
      <c r="A2162" s="218"/>
      <c r="B2162" s="214"/>
    </row>
    <row r="2163" spans="1:2">
      <c r="A2163" s="218"/>
      <c r="B2163" s="214"/>
    </row>
    <row r="2164" spans="1:2">
      <c r="A2164" s="218"/>
      <c r="B2164" s="214"/>
    </row>
    <row r="2165" spans="1:2">
      <c r="A2165" s="218"/>
      <c r="B2165" s="214"/>
    </row>
    <row r="2166" spans="1:2">
      <c r="A2166" s="218"/>
      <c r="B2166" s="214"/>
    </row>
    <row r="2167" spans="1:2">
      <c r="A2167" s="218"/>
      <c r="B2167" s="214"/>
    </row>
    <row r="2168" spans="1:2">
      <c r="A2168" s="218"/>
      <c r="B2168" s="214"/>
    </row>
    <row r="2169" spans="1:2">
      <c r="A2169" s="218"/>
      <c r="B2169" s="214"/>
    </row>
    <row r="2170" spans="1:2">
      <c r="A2170" s="218"/>
      <c r="B2170" s="214"/>
    </row>
    <row r="2171" spans="1:2">
      <c r="A2171" s="218"/>
      <c r="B2171" s="214"/>
    </row>
    <row r="2172" spans="1:2">
      <c r="A2172" s="218"/>
      <c r="B2172" s="214"/>
    </row>
    <row r="2173" spans="1:2">
      <c r="A2173" s="218"/>
      <c r="B2173" s="214"/>
    </row>
    <row r="2174" spans="1:2">
      <c r="A2174" s="218"/>
      <c r="B2174" s="214"/>
    </row>
    <row r="2175" spans="1:2">
      <c r="A2175" s="218"/>
      <c r="B2175" s="214"/>
    </row>
    <row r="2176" spans="1:2">
      <c r="A2176" s="218"/>
      <c r="B2176" s="214"/>
    </row>
    <row r="2177" spans="1:2">
      <c r="A2177" s="218"/>
      <c r="B2177" s="214"/>
    </row>
    <row r="2178" spans="1:2">
      <c r="A2178" s="218"/>
      <c r="B2178" s="214"/>
    </row>
    <row r="2179" spans="1:2">
      <c r="A2179" s="218"/>
      <c r="B2179" s="214"/>
    </row>
    <row r="2180" spans="1:2">
      <c r="A2180" s="218"/>
      <c r="B2180" s="214"/>
    </row>
    <row r="2181" spans="1:2">
      <c r="A2181" s="218"/>
      <c r="B2181" s="214"/>
    </row>
    <row r="2182" spans="1:2">
      <c r="A2182" s="218"/>
      <c r="B2182" s="214"/>
    </row>
    <row r="2183" spans="1:2">
      <c r="A2183" s="218"/>
      <c r="B2183" s="214"/>
    </row>
    <row r="2184" spans="1:2">
      <c r="A2184" s="218"/>
      <c r="B2184" s="214"/>
    </row>
    <row r="2185" spans="1:2">
      <c r="A2185" s="218"/>
      <c r="B2185" s="214"/>
    </row>
    <row r="2186" spans="1:2">
      <c r="A2186" s="218"/>
      <c r="B2186" s="214"/>
    </row>
    <row r="2187" spans="1:2">
      <c r="A2187" s="218"/>
      <c r="B2187" s="214"/>
    </row>
    <row r="2188" spans="1:2">
      <c r="A2188" s="218"/>
      <c r="B2188" s="214"/>
    </row>
    <row r="2189" spans="1:2">
      <c r="A2189" s="218"/>
      <c r="B2189" s="214"/>
    </row>
    <row r="2190" spans="1:2">
      <c r="A2190" s="218"/>
      <c r="B2190" s="214"/>
    </row>
    <row r="2191" spans="1:2">
      <c r="A2191" s="218"/>
      <c r="B2191" s="214"/>
    </row>
    <row r="2192" spans="1:2">
      <c r="A2192" s="218"/>
      <c r="B2192" s="214"/>
    </row>
    <row r="2193" spans="1:2">
      <c r="A2193" s="218"/>
      <c r="B2193" s="214"/>
    </row>
    <row r="2194" spans="1:2">
      <c r="A2194" s="218"/>
      <c r="B2194" s="214"/>
    </row>
    <row r="2195" spans="1:2">
      <c r="A2195" s="218"/>
      <c r="B2195" s="214"/>
    </row>
    <row r="2196" spans="1:2">
      <c r="A2196" s="218"/>
      <c r="B2196" s="214"/>
    </row>
    <row r="2197" spans="1:2">
      <c r="A2197" s="218"/>
      <c r="B2197" s="214"/>
    </row>
    <row r="2198" spans="1:2">
      <c r="A2198" s="218"/>
      <c r="B2198" s="214"/>
    </row>
    <row r="2199" spans="1:2">
      <c r="A2199" s="218"/>
      <c r="B2199" s="214"/>
    </row>
    <row r="2200" spans="1:2">
      <c r="A2200" s="218"/>
      <c r="B2200" s="214"/>
    </row>
    <row r="2201" spans="1:2">
      <c r="A2201" s="218"/>
      <c r="B2201" s="214"/>
    </row>
    <row r="2202" spans="1:2">
      <c r="A2202" s="218"/>
      <c r="B2202" s="214"/>
    </row>
    <row r="2203" spans="1:2">
      <c r="A2203" s="218"/>
      <c r="B2203" s="214"/>
    </row>
    <row r="2204" spans="1:2">
      <c r="A2204" s="218"/>
      <c r="B2204" s="214"/>
    </row>
    <row r="2205" spans="1:2">
      <c r="A2205" s="218"/>
      <c r="B2205" s="214"/>
    </row>
    <row r="2206" spans="1:2">
      <c r="A2206" s="218"/>
      <c r="B2206" s="214"/>
    </row>
    <row r="2207" spans="1:2">
      <c r="A2207" s="218"/>
      <c r="B2207" s="214"/>
    </row>
    <row r="2208" spans="1:2">
      <c r="A2208" s="218"/>
      <c r="B2208" s="214"/>
    </row>
    <row r="2209" spans="1:2">
      <c r="A2209" s="218"/>
      <c r="B2209" s="214"/>
    </row>
    <row r="2210" spans="1:2">
      <c r="A2210" s="218"/>
      <c r="B2210" s="214"/>
    </row>
    <row r="2211" spans="1:2">
      <c r="A2211" s="218"/>
      <c r="B2211" s="214"/>
    </row>
    <row r="2212" spans="1:2">
      <c r="A2212" s="218"/>
      <c r="B2212" s="214"/>
    </row>
    <row r="2213" spans="1:2">
      <c r="A2213" s="218"/>
      <c r="B2213" s="214"/>
    </row>
    <row r="2214" spans="1:2">
      <c r="A2214" s="218"/>
      <c r="B2214" s="214"/>
    </row>
    <row r="2215" spans="1:2">
      <c r="A2215" s="218"/>
      <c r="B2215" s="214"/>
    </row>
    <row r="2216" spans="1:2">
      <c r="A2216" s="218"/>
      <c r="B2216" s="214"/>
    </row>
    <row r="2217" spans="1:2">
      <c r="A2217" s="218"/>
      <c r="B2217" s="214"/>
    </row>
    <row r="2218" spans="1:2">
      <c r="A2218" s="218"/>
      <c r="B2218" s="214"/>
    </row>
    <row r="2219" spans="1:2">
      <c r="A2219" s="218"/>
      <c r="B2219" s="214"/>
    </row>
    <row r="2220" spans="1:2">
      <c r="A2220" s="218"/>
      <c r="B2220" s="214"/>
    </row>
    <row r="2221" spans="1:2">
      <c r="A2221" s="218"/>
      <c r="B2221" s="214"/>
    </row>
    <row r="2222" spans="1:2">
      <c r="A2222" s="218"/>
      <c r="B2222" s="214"/>
    </row>
    <row r="2223" spans="1:2">
      <c r="A2223" s="218"/>
      <c r="B2223" s="214"/>
    </row>
    <row r="2224" spans="1:2">
      <c r="A2224" s="218"/>
      <c r="B2224" s="214"/>
    </row>
    <row r="2225" spans="1:2">
      <c r="A2225" s="218"/>
      <c r="B2225" s="214"/>
    </row>
    <row r="2226" spans="1:2">
      <c r="A2226" s="218"/>
      <c r="B2226" s="214"/>
    </row>
    <row r="2227" spans="1:2">
      <c r="A2227" s="218"/>
      <c r="B2227" s="214"/>
    </row>
    <row r="2228" spans="1:2">
      <c r="A2228" s="218"/>
      <c r="B2228" s="214"/>
    </row>
    <row r="2229" spans="1:2">
      <c r="A2229" s="218"/>
      <c r="B2229" s="214"/>
    </row>
    <row r="2230" spans="1:2">
      <c r="A2230" s="218"/>
      <c r="B2230" s="214"/>
    </row>
    <row r="2231" spans="1:2">
      <c r="A2231" s="218"/>
      <c r="B2231" s="214"/>
    </row>
    <row r="2232" spans="1:2">
      <c r="A2232" s="218"/>
      <c r="B2232" s="214"/>
    </row>
    <row r="2233" spans="1:2">
      <c r="A2233" s="218"/>
      <c r="B2233" s="214"/>
    </row>
    <row r="2234" spans="1:2">
      <c r="A2234" s="218"/>
      <c r="B2234" s="214"/>
    </row>
    <row r="2235" spans="1:2">
      <c r="A2235" s="218"/>
      <c r="B2235" s="214"/>
    </row>
    <row r="2236" spans="1:2">
      <c r="A2236" s="218"/>
      <c r="B2236" s="214"/>
    </row>
    <row r="2237" spans="1:2">
      <c r="A2237" s="218"/>
      <c r="B2237" s="214"/>
    </row>
    <row r="2238" spans="1:2">
      <c r="A2238" s="218"/>
      <c r="B2238" s="214"/>
    </row>
    <row r="2239" spans="1:2">
      <c r="A2239" s="218"/>
      <c r="B2239" s="214"/>
    </row>
    <row r="2240" spans="1:2">
      <c r="A2240" s="218"/>
      <c r="B2240" s="214"/>
    </row>
    <row r="2241" spans="1:2">
      <c r="A2241" s="218"/>
      <c r="B2241" s="214"/>
    </row>
    <row r="2242" spans="1:2">
      <c r="A2242" s="218"/>
      <c r="B2242" s="214"/>
    </row>
    <row r="2243" spans="1:2">
      <c r="A2243" s="218"/>
      <c r="B2243" s="214"/>
    </row>
    <row r="2244" spans="1:2">
      <c r="A2244" s="218"/>
      <c r="B2244" s="214"/>
    </row>
    <row r="2245" spans="1:2">
      <c r="A2245" s="218"/>
      <c r="B2245" s="214"/>
    </row>
    <row r="2246" spans="1:2">
      <c r="A2246" s="218"/>
      <c r="B2246" s="214"/>
    </row>
    <row r="2247" spans="1:2">
      <c r="A2247" s="218"/>
      <c r="B2247" s="214"/>
    </row>
    <row r="2248" spans="1:2">
      <c r="A2248" s="218"/>
      <c r="B2248" s="214"/>
    </row>
    <row r="2249" spans="1:2">
      <c r="A2249" s="218"/>
      <c r="B2249" s="214"/>
    </row>
    <row r="2250" spans="1:2">
      <c r="A2250" s="218"/>
      <c r="B2250" s="214"/>
    </row>
    <row r="2251" spans="1:2">
      <c r="A2251" s="218"/>
      <c r="B2251" s="214"/>
    </row>
    <row r="2252" spans="1:2">
      <c r="A2252" s="218"/>
      <c r="B2252" s="214"/>
    </row>
    <row r="2253" spans="1:2">
      <c r="A2253" s="218"/>
      <c r="B2253" s="214"/>
    </row>
    <row r="2254" spans="1:2">
      <c r="A2254" s="218"/>
      <c r="B2254" s="214"/>
    </row>
    <row r="2255" spans="1:2">
      <c r="A2255" s="218"/>
      <c r="B2255" s="214"/>
    </row>
    <row r="2256" spans="1:2">
      <c r="A2256" s="218"/>
      <c r="B2256" s="214"/>
    </row>
    <row r="2257" spans="1:2">
      <c r="A2257" s="218"/>
      <c r="B2257" s="214"/>
    </row>
    <row r="2258" spans="1:2">
      <c r="A2258" s="218"/>
      <c r="B2258" s="214"/>
    </row>
    <row r="2259" spans="1:2">
      <c r="A2259" s="218"/>
      <c r="B2259" s="214"/>
    </row>
    <row r="2260" spans="1:2">
      <c r="A2260" s="218"/>
      <c r="B2260" s="214"/>
    </row>
    <row r="2261" spans="1:2">
      <c r="A2261" s="218"/>
      <c r="B2261" s="214"/>
    </row>
    <row r="2262" spans="1:2">
      <c r="A2262" s="218"/>
      <c r="B2262" s="214"/>
    </row>
    <row r="2263" spans="1:2">
      <c r="A2263" s="218"/>
      <c r="B2263" s="214"/>
    </row>
    <row r="2264" spans="1:2">
      <c r="A2264" s="218"/>
      <c r="B2264" s="214"/>
    </row>
    <row r="2265" spans="1:2">
      <c r="A2265" s="218"/>
      <c r="B2265" s="214"/>
    </row>
    <row r="2266" spans="1:2">
      <c r="A2266" s="218"/>
      <c r="B2266" s="214"/>
    </row>
    <row r="2267" spans="1:2">
      <c r="A2267" s="218"/>
      <c r="B2267" s="214"/>
    </row>
    <row r="2268" spans="1:2">
      <c r="A2268" s="218"/>
      <c r="B2268" s="214"/>
    </row>
    <row r="2269" spans="1:2">
      <c r="A2269" s="218"/>
      <c r="B2269" s="214"/>
    </row>
    <row r="2270" spans="1:2">
      <c r="A2270" s="218"/>
      <c r="B2270" s="214"/>
    </row>
    <row r="2271" spans="1:2">
      <c r="A2271" s="218"/>
      <c r="B2271" s="214"/>
    </row>
    <row r="2272" spans="1:2">
      <c r="A2272" s="218"/>
      <c r="B2272" s="214"/>
    </row>
    <row r="2273" spans="1:2">
      <c r="A2273" s="218"/>
      <c r="B2273" s="214"/>
    </row>
    <row r="2274" spans="1:2">
      <c r="A2274" s="218"/>
      <c r="B2274" s="214"/>
    </row>
    <row r="2275" spans="1:2">
      <c r="A2275" s="218"/>
      <c r="B2275" s="214"/>
    </row>
    <row r="2276" spans="1:2">
      <c r="A2276" s="218"/>
      <c r="B2276" s="214"/>
    </row>
    <row r="2277" spans="1:2">
      <c r="A2277" s="218"/>
      <c r="B2277" s="214"/>
    </row>
    <row r="2278" spans="1:2">
      <c r="A2278" s="218"/>
      <c r="B2278" s="214"/>
    </row>
    <row r="2279" spans="1:2">
      <c r="A2279" s="218"/>
      <c r="B2279" s="214"/>
    </row>
    <row r="2280" spans="1:2">
      <c r="A2280" s="218"/>
      <c r="B2280" s="214"/>
    </row>
    <row r="2281" spans="1:2">
      <c r="A2281" s="218"/>
      <c r="B2281" s="214"/>
    </row>
    <row r="2282" spans="1:2">
      <c r="A2282" s="218"/>
      <c r="B2282" s="214"/>
    </row>
    <row r="2283" spans="1:2">
      <c r="A2283" s="218"/>
      <c r="B2283" s="214"/>
    </row>
    <row r="2284" spans="1:2">
      <c r="A2284" s="218"/>
      <c r="B2284" s="214"/>
    </row>
    <row r="2285" spans="1:2">
      <c r="A2285" s="218"/>
      <c r="B2285" s="214"/>
    </row>
    <row r="2286" spans="1:2">
      <c r="A2286" s="218"/>
      <c r="B2286" s="214"/>
    </row>
    <row r="2287" spans="1:2">
      <c r="A2287" s="218"/>
      <c r="B2287" s="214"/>
    </row>
    <row r="2288" spans="1:2">
      <c r="A2288" s="218"/>
      <c r="B2288" s="214"/>
    </row>
    <row r="2289" spans="1:2">
      <c r="A2289" s="218"/>
      <c r="B2289" s="214"/>
    </row>
    <row r="2290" spans="1:2">
      <c r="A2290" s="218"/>
      <c r="B2290" s="214"/>
    </row>
    <row r="2291" spans="1:2">
      <c r="A2291" s="218"/>
      <c r="B2291" s="214"/>
    </row>
    <row r="2292" spans="1:2">
      <c r="A2292" s="218"/>
      <c r="B2292" s="214"/>
    </row>
    <row r="2293" spans="1:2">
      <c r="A2293" s="218"/>
      <c r="B2293" s="214"/>
    </row>
    <row r="2294" spans="1:2">
      <c r="A2294" s="218"/>
      <c r="B2294" s="214"/>
    </row>
    <row r="2295" spans="1:2">
      <c r="A2295" s="218"/>
      <c r="B2295" s="214"/>
    </row>
    <row r="2296" spans="1:2">
      <c r="A2296" s="218"/>
      <c r="B2296" s="214"/>
    </row>
    <row r="2297" spans="1:2">
      <c r="A2297" s="218"/>
      <c r="B2297" s="214"/>
    </row>
    <row r="2298" spans="1:2">
      <c r="A2298" s="218"/>
      <c r="B2298" s="214"/>
    </row>
    <row r="2299" spans="1:2">
      <c r="A2299" s="218"/>
      <c r="B2299" s="214"/>
    </row>
    <row r="2300" spans="1:2">
      <c r="A2300" s="218"/>
      <c r="B2300" s="214"/>
    </row>
    <row r="2301" spans="1:2">
      <c r="A2301" s="218"/>
      <c r="B2301" s="214"/>
    </row>
    <row r="2302" spans="1:2">
      <c r="A2302" s="218"/>
      <c r="B2302" s="214"/>
    </row>
    <row r="2303" spans="1:2">
      <c r="A2303" s="218"/>
      <c r="B2303" s="214"/>
    </row>
    <row r="2304" spans="1:2">
      <c r="A2304" s="218"/>
      <c r="B2304" s="214"/>
    </row>
    <row r="2305" spans="1:2">
      <c r="A2305" s="218"/>
      <c r="B2305" s="214"/>
    </row>
    <row r="2306" spans="1:2">
      <c r="A2306" s="218"/>
      <c r="B2306" s="214"/>
    </row>
    <row r="2307" spans="1:2">
      <c r="A2307" s="218"/>
      <c r="B2307" s="214"/>
    </row>
    <row r="2308" spans="1:2">
      <c r="A2308" s="218"/>
      <c r="B2308" s="214"/>
    </row>
    <row r="2309" spans="1:2">
      <c r="A2309" s="218"/>
      <c r="B2309" s="214"/>
    </row>
    <row r="2310" spans="1:2">
      <c r="A2310" s="218"/>
      <c r="B2310" s="214"/>
    </row>
    <row r="2311" spans="1:2">
      <c r="A2311" s="218"/>
      <c r="B2311" s="214"/>
    </row>
    <row r="2312" spans="1:2">
      <c r="A2312" s="218"/>
      <c r="B2312" s="214"/>
    </row>
    <row r="2313" spans="1:2">
      <c r="A2313" s="218"/>
      <c r="B2313" s="214"/>
    </row>
    <row r="2314" spans="1:2">
      <c r="A2314" s="218"/>
      <c r="B2314" s="214"/>
    </row>
    <row r="2315" spans="1:2">
      <c r="A2315" s="218"/>
      <c r="B2315" s="214"/>
    </row>
    <row r="2316" spans="1:2">
      <c r="A2316" s="218"/>
      <c r="B2316" s="214"/>
    </row>
    <row r="2317" spans="1:2">
      <c r="A2317" s="218"/>
      <c r="B2317" s="214"/>
    </row>
    <row r="2318" spans="1:2">
      <c r="A2318" s="218"/>
      <c r="B2318" s="214"/>
    </row>
    <row r="2319" spans="1:2">
      <c r="A2319" s="218"/>
      <c r="B2319" s="214"/>
    </row>
    <row r="2320" spans="1:2">
      <c r="A2320" s="218"/>
      <c r="B2320" s="214"/>
    </row>
    <row r="2321" spans="1:2">
      <c r="A2321" s="218"/>
      <c r="B2321" s="214"/>
    </row>
    <row r="2322" spans="1:2">
      <c r="A2322" s="218"/>
      <c r="B2322" s="214"/>
    </row>
    <row r="2323" spans="1:2">
      <c r="A2323" s="218"/>
      <c r="B2323" s="214"/>
    </row>
    <row r="2324" spans="1:2">
      <c r="A2324" s="218"/>
      <c r="B2324" s="214"/>
    </row>
    <row r="2325" spans="1:2">
      <c r="A2325" s="218"/>
      <c r="B2325" s="214"/>
    </row>
    <row r="2326" spans="1:2">
      <c r="A2326" s="218"/>
      <c r="B2326" s="214"/>
    </row>
    <row r="2327" spans="1:2">
      <c r="A2327" s="218"/>
      <c r="B2327" s="214"/>
    </row>
    <row r="2328" spans="1:2">
      <c r="A2328" s="218"/>
      <c r="B2328" s="214"/>
    </row>
    <row r="2329" spans="1:2">
      <c r="A2329" s="218"/>
      <c r="B2329" s="214"/>
    </row>
    <row r="2330" spans="1:2">
      <c r="A2330" s="218"/>
      <c r="B2330" s="214"/>
    </row>
    <row r="2331" spans="1:2">
      <c r="A2331" s="218"/>
      <c r="B2331" s="214"/>
    </row>
    <row r="2332" spans="1:2">
      <c r="A2332" s="218"/>
      <c r="B2332" s="214"/>
    </row>
    <row r="2333" spans="1:2">
      <c r="A2333" s="218"/>
      <c r="B2333" s="214"/>
    </row>
    <row r="2334" spans="1:2">
      <c r="A2334" s="218"/>
      <c r="B2334" s="214"/>
    </row>
    <row r="2335" spans="1:2">
      <c r="A2335" s="218"/>
      <c r="B2335" s="214"/>
    </row>
    <row r="2336" spans="1:2">
      <c r="A2336" s="218"/>
      <c r="B2336" s="214"/>
    </row>
    <row r="2337" spans="1:2">
      <c r="A2337" s="218"/>
      <c r="B2337" s="214"/>
    </row>
    <row r="2338" spans="1:2">
      <c r="A2338" s="218"/>
      <c r="B2338" s="214"/>
    </row>
    <row r="2339" spans="1:2">
      <c r="A2339" s="218"/>
      <c r="B2339" s="214"/>
    </row>
    <row r="2340" spans="1:2">
      <c r="A2340" s="218"/>
      <c r="B2340" s="214"/>
    </row>
    <row r="2341" spans="1:2">
      <c r="A2341" s="218"/>
      <c r="B2341" s="214"/>
    </row>
    <row r="2342" spans="1:2">
      <c r="A2342" s="218"/>
      <c r="B2342" s="214"/>
    </row>
    <row r="2343" spans="1:2">
      <c r="A2343" s="218"/>
      <c r="B2343" s="214"/>
    </row>
    <row r="2344" spans="1:2">
      <c r="A2344" s="218"/>
      <c r="B2344" s="214"/>
    </row>
    <row r="2345" spans="1:2">
      <c r="A2345" s="218"/>
      <c r="B2345" s="214"/>
    </row>
    <row r="2346" spans="1:2">
      <c r="A2346" s="218"/>
      <c r="B2346" s="214"/>
    </row>
    <row r="2347" spans="1:2">
      <c r="A2347" s="218"/>
      <c r="B2347" s="214"/>
    </row>
    <row r="2348" spans="1:2">
      <c r="A2348" s="218"/>
      <c r="B2348" s="214"/>
    </row>
    <row r="2349" spans="1:2">
      <c r="A2349" s="218"/>
      <c r="B2349" s="214"/>
    </row>
    <row r="2350" spans="1:2">
      <c r="A2350" s="218"/>
      <c r="B2350" s="214"/>
    </row>
    <row r="2351" spans="1:2">
      <c r="A2351" s="218"/>
      <c r="B2351" s="214"/>
    </row>
    <row r="2352" spans="1:2">
      <c r="A2352" s="218"/>
      <c r="B2352" s="214"/>
    </row>
    <row r="2353" spans="1:2">
      <c r="A2353" s="218"/>
      <c r="B2353" s="214"/>
    </row>
    <row r="2354" spans="1:2">
      <c r="A2354" s="218"/>
      <c r="B2354" s="214"/>
    </row>
    <row r="2355" spans="1:2">
      <c r="A2355" s="218"/>
      <c r="B2355" s="214"/>
    </row>
    <row r="2356" spans="1:2">
      <c r="A2356" s="218"/>
      <c r="B2356" s="214"/>
    </row>
    <row r="2357" spans="1:2">
      <c r="A2357" s="218"/>
      <c r="B2357" s="214"/>
    </row>
    <row r="2358" spans="1:2">
      <c r="A2358" s="218"/>
      <c r="B2358" s="214"/>
    </row>
    <row r="2359" spans="1:2">
      <c r="A2359" s="218"/>
      <c r="B2359" s="214"/>
    </row>
    <row r="2360" spans="1:2">
      <c r="A2360" s="218"/>
      <c r="B2360" s="214"/>
    </row>
    <row r="2361" spans="1:2">
      <c r="A2361" s="218"/>
      <c r="B2361" s="214"/>
    </row>
    <row r="2362" spans="1:2">
      <c r="A2362" s="218"/>
      <c r="B2362" s="214"/>
    </row>
    <row r="2363" spans="1:2">
      <c r="A2363" s="218"/>
      <c r="B2363" s="214"/>
    </row>
    <row r="2364" spans="1:2">
      <c r="A2364" s="218"/>
      <c r="B2364" s="214"/>
    </row>
    <row r="2365" spans="1:2">
      <c r="A2365" s="218"/>
      <c r="B2365" s="214"/>
    </row>
    <row r="2366" spans="1:2">
      <c r="A2366" s="218"/>
      <c r="B2366" s="214"/>
    </row>
    <row r="2367" spans="1:2">
      <c r="A2367" s="218"/>
      <c r="B2367" s="214"/>
    </row>
    <row r="2368" spans="1:2">
      <c r="A2368" s="218"/>
      <c r="B2368" s="214"/>
    </row>
    <row r="2369" spans="1:2">
      <c r="A2369" s="218"/>
      <c r="B2369" s="214"/>
    </row>
    <row r="2370" spans="1:2">
      <c r="A2370" s="218"/>
      <c r="B2370" s="214"/>
    </row>
    <row r="2371" spans="1:2">
      <c r="A2371" s="218"/>
      <c r="B2371" s="214"/>
    </row>
    <row r="2372" spans="1:2">
      <c r="A2372" s="218"/>
      <c r="B2372" s="214"/>
    </row>
    <row r="2373" spans="1:2">
      <c r="A2373" s="218"/>
      <c r="B2373" s="214"/>
    </row>
    <row r="2374" spans="1:2">
      <c r="A2374" s="218"/>
      <c r="B2374" s="214"/>
    </row>
    <row r="2375" spans="1:2">
      <c r="A2375" s="218"/>
      <c r="B2375" s="214"/>
    </row>
    <row r="2376" spans="1:2">
      <c r="A2376" s="218"/>
      <c r="B2376" s="214"/>
    </row>
    <row r="2377" spans="1:2">
      <c r="A2377" s="218"/>
      <c r="B2377" s="214"/>
    </row>
    <row r="2378" spans="1:2">
      <c r="A2378" s="218"/>
      <c r="B2378" s="214"/>
    </row>
    <row r="2379" spans="1:2">
      <c r="A2379" s="218"/>
      <c r="B2379" s="214"/>
    </row>
    <row r="2380" spans="1:2">
      <c r="A2380" s="218"/>
      <c r="B2380" s="214"/>
    </row>
    <row r="2381" spans="1:2">
      <c r="A2381" s="218"/>
      <c r="B2381" s="214"/>
    </row>
    <row r="2382" spans="1:2">
      <c r="A2382" s="218"/>
      <c r="B2382" s="214"/>
    </row>
    <row r="2383" spans="1:2">
      <c r="A2383" s="218"/>
      <c r="B2383" s="214"/>
    </row>
    <row r="2384" spans="1:2">
      <c r="A2384" s="218"/>
      <c r="B2384" s="214"/>
    </row>
    <row r="2385" spans="1:2">
      <c r="A2385" s="218"/>
      <c r="B2385" s="214"/>
    </row>
    <row r="2386" spans="1:2">
      <c r="A2386" s="218"/>
      <c r="B2386" s="214"/>
    </row>
    <row r="2387" spans="1:2">
      <c r="A2387" s="218"/>
      <c r="B2387" s="214"/>
    </row>
    <row r="2388" spans="1:2">
      <c r="A2388" s="218"/>
      <c r="B2388" s="214"/>
    </row>
    <row r="2389" spans="1:2">
      <c r="A2389" s="218"/>
      <c r="B2389" s="214"/>
    </row>
    <row r="2390" spans="1:2">
      <c r="A2390" s="218"/>
      <c r="B2390" s="214"/>
    </row>
    <row r="2391" spans="1:2">
      <c r="A2391" s="218"/>
      <c r="B2391" s="214"/>
    </row>
    <row r="2392" spans="1:2">
      <c r="A2392" s="218"/>
      <c r="B2392" s="214"/>
    </row>
    <row r="2393" spans="1:2">
      <c r="A2393" s="218"/>
      <c r="B2393" s="214"/>
    </row>
    <row r="2394" spans="1:2">
      <c r="A2394" s="218"/>
      <c r="B2394" s="214"/>
    </row>
    <row r="2395" spans="1:2">
      <c r="A2395" s="218"/>
      <c r="B2395" s="214"/>
    </row>
    <row r="2396" spans="1:2">
      <c r="A2396" s="218"/>
      <c r="B2396" s="214"/>
    </row>
    <row r="2397" spans="1:2">
      <c r="A2397" s="218"/>
      <c r="B2397" s="214"/>
    </row>
    <row r="2398" spans="1:2">
      <c r="A2398" s="218"/>
      <c r="B2398" s="214"/>
    </row>
    <row r="2399" spans="1:2">
      <c r="A2399" s="218"/>
      <c r="B2399" s="214"/>
    </row>
    <row r="2400" spans="1:2">
      <c r="A2400" s="218"/>
      <c r="B2400" s="214"/>
    </row>
    <row r="2401" spans="1:2">
      <c r="A2401" s="218"/>
      <c r="B2401" s="214"/>
    </row>
    <row r="2402" spans="1:2">
      <c r="A2402" s="218"/>
      <c r="B2402" s="214"/>
    </row>
    <row r="2403" spans="1:2">
      <c r="A2403" s="218"/>
      <c r="B2403" s="214"/>
    </row>
    <row r="2404" spans="1:2">
      <c r="A2404" s="218"/>
      <c r="B2404" s="214"/>
    </row>
    <row r="2405" spans="1:2">
      <c r="A2405" s="218"/>
      <c r="B2405" s="214"/>
    </row>
    <row r="2406" spans="1:2">
      <c r="A2406" s="218"/>
      <c r="B2406" s="214"/>
    </row>
    <row r="2407" spans="1:2">
      <c r="A2407" s="218"/>
      <c r="B2407" s="214"/>
    </row>
    <row r="2408" spans="1:2">
      <c r="A2408" s="218"/>
      <c r="B2408" s="214"/>
    </row>
    <row r="2409" spans="1:2">
      <c r="A2409" s="218"/>
      <c r="B2409" s="214"/>
    </row>
    <row r="2410" spans="1:2">
      <c r="A2410" s="218"/>
      <c r="B2410" s="214"/>
    </row>
    <row r="2411" spans="1:2">
      <c r="A2411" s="218"/>
      <c r="B2411" s="214"/>
    </row>
    <row r="2412" spans="1:2">
      <c r="A2412" s="218"/>
      <c r="B2412" s="214"/>
    </row>
    <row r="2413" spans="1:2">
      <c r="A2413" s="218"/>
      <c r="B2413" s="214"/>
    </row>
    <row r="2414" spans="1:2">
      <c r="A2414" s="218"/>
      <c r="B2414" s="214"/>
    </row>
    <row r="2415" spans="1:2">
      <c r="A2415" s="218"/>
      <c r="B2415" s="214"/>
    </row>
    <row r="2416" spans="1:2">
      <c r="A2416" s="218"/>
      <c r="B2416" s="214"/>
    </row>
    <row r="2417" spans="1:2">
      <c r="A2417" s="218"/>
      <c r="B2417" s="214"/>
    </row>
    <row r="2418" spans="1:2">
      <c r="A2418" s="218"/>
      <c r="B2418" s="214"/>
    </row>
    <row r="2419" spans="1:2">
      <c r="A2419" s="218"/>
      <c r="B2419" s="214"/>
    </row>
    <row r="2420" spans="1:2">
      <c r="A2420" s="218"/>
      <c r="B2420" s="214"/>
    </row>
    <row r="2421" spans="1:2">
      <c r="A2421" s="218"/>
      <c r="B2421" s="214"/>
    </row>
    <row r="2422" spans="1:2">
      <c r="A2422" s="218"/>
      <c r="B2422" s="214"/>
    </row>
    <row r="2423" spans="1:2">
      <c r="A2423" s="218"/>
      <c r="B2423" s="214"/>
    </row>
    <row r="2424" spans="1:2">
      <c r="A2424" s="218"/>
      <c r="B2424" s="214"/>
    </row>
    <row r="2425" spans="1:2">
      <c r="A2425" s="218"/>
      <c r="B2425" s="214"/>
    </row>
    <row r="2426" spans="1:2">
      <c r="A2426" s="218"/>
      <c r="B2426" s="214"/>
    </row>
    <row r="2427" spans="1:2">
      <c r="A2427" s="218"/>
      <c r="B2427" s="214"/>
    </row>
    <row r="2428" spans="1:2">
      <c r="A2428" s="218"/>
      <c r="B2428" s="214"/>
    </row>
    <row r="2429" spans="1:2">
      <c r="A2429" s="218"/>
      <c r="B2429" s="214"/>
    </row>
    <row r="2430" spans="1:2">
      <c r="A2430" s="218"/>
      <c r="B2430" s="214"/>
    </row>
    <row r="2431" spans="1:2">
      <c r="A2431" s="218"/>
      <c r="B2431" s="214"/>
    </row>
    <row r="2432" spans="1:2">
      <c r="A2432" s="218"/>
      <c r="B2432" s="214"/>
    </row>
    <row r="2433" spans="1:2">
      <c r="A2433" s="218"/>
      <c r="B2433" s="214"/>
    </row>
    <row r="2434" spans="1:2">
      <c r="A2434" s="218"/>
      <c r="B2434" s="214"/>
    </row>
    <row r="2435" spans="1:2">
      <c r="A2435" s="218"/>
      <c r="B2435" s="214"/>
    </row>
    <row r="2436" spans="1:2">
      <c r="A2436" s="218"/>
      <c r="B2436" s="214"/>
    </row>
    <row r="2437" spans="1:2">
      <c r="A2437" s="218"/>
      <c r="B2437" s="214"/>
    </row>
    <row r="2438" spans="1:2">
      <c r="A2438" s="218"/>
      <c r="B2438" s="214"/>
    </row>
    <row r="2439" spans="1:2">
      <c r="A2439" s="218"/>
      <c r="B2439" s="214"/>
    </row>
    <row r="2440" spans="1:2">
      <c r="A2440" s="218"/>
      <c r="B2440" s="214"/>
    </row>
    <row r="2441" spans="1:2">
      <c r="A2441" s="218"/>
      <c r="B2441" s="214"/>
    </row>
    <row r="2442" spans="1:2">
      <c r="A2442" s="218"/>
      <c r="B2442" s="214"/>
    </row>
    <row r="2443" spans="1:2">
      <c r="A2443" s="218"/>
      <c r="B2443" s="214"/>
    </row>
    <row r="2444" spans="1:2">
      <c r="A2444" s="218"/>
      <c r="B2444" s="214"/>
    </row>
    <row r="2445" spans="1:2">
      <c r="A2445" s="218"/>
      <c r="B2445" s="214"/>
    </row>
    <row r="2446" spans="1:2">
      <c r="A2446" s="218"/>
      <c r="B2446" s="214"/>
    </row>
    <row r="2447" spans="1:2">
      <c r="A2447" s="218"/>
      <c r="B2447" s="214"/>
    </row>
    <row r="2448" spans="1:2">
      <c r="A2448" s="218"/>
      <c r="B2448" s="214"/>
    </row>
    <row r="2449" spans="1:2">
      <c r="A2449" s="218"/>
      <c r="B2449" s="214"/>
    </row>
    <row r="2450" spans="1:2">
      <c r="A2450" s="218"/>
      <c r="B2450" s="214"/>
    </row>
    <row r="2451" spans="1:2">
      <c r="A2451" s="218"/>
      <c r="B2451" s="214"/>
    </row>
    <row r="2452" spans="1:2">
      <c r="A2452" s="218"/>
      <c r="B2452" s="214"/>
    </row>
    <row r="2453" spans="1:2">
      <c r="A2453" s="218"/>
      <c r="B2453" s="214"/>
    </row>
    <row r="2454" spans="1:2">
      <c r="A2454" s="218"/>
      <c r="B2454" s="214"/>
    </row>
    <row r="2455" spans="1:2">
      <c r="A2455" s="218"/>
      <c r="B2455" s="214"/>
    </row>
    <row r="2456" spans="1:2">
      <c r="A2456" s="218"/>
      <c r="B2456" s="214"/>
    </row>
    <row r="2457" spans="1:2">
      <c r="A2457" s="218"/>
      <c r="B2457" s="214"/>
    </row>
    <row r="2458" spans="1:2">
      <c r="A2458" s="218"/>
      <c r="B2458" s="214"/>
    </row>
    <row r="2459" spans="1:2">
      <c r="A2459" s="218"/>
      <c r="B2459" s="214"/>
    </row>
    <row r="2460" spans="1:2">
      <c r="A2460" s="218"/>
      <c r="B2460" s="214"/>
    </row>
    <row r="2461" spans="1:2">
      <c r="A2461" s="218"/>
      <c r="B2461" s="214"/>
    </row>
    <row r="2462" spans="1:2">
      <c r="A2462" s="218"/>
      <c r="B2462" s="214"/>
    </row>
    <row r="2463" spans="1:2">
      <c r="A2463" s="218"/>
      <c r="B2463" s="214"/>
    </row>
    <row r="2464" spans="1:2">
      <c r="A2464" s="218"/>
      <c r="B2464" s="214"/>
    </row>
    <row r="2465" spans="1:2">
      <c r="A2465" s="218"/>
      <c r="B2465" s="214"/>
    </row>
    <row r="2466" spans="1:2">
      <c r="A2466" s="218"/>
      <c r="B2466" s="214"/>
    </row>
    <row r="2467" spans="1:2">
      <c r="A2467" s="218"/>
      <c r="B2467" s="214"/>
    </row>
    <row r="2468" spans="1:2">
      <c r="A2468" s="218"/>
      <c r="B2468" s="214"/>
    </row>
    <row r="2469" spans="1:2">
      <c r="A2469" s="218"/>
      <c r="B2469" s="214"/>
    </row>
    <row r="2470" spans="1:2">
      <c r="A2470" s="218"/>
      <c r="B2470" s="214"/>
    </row>
    <row r="2471" spans="1:2">
      <c r="A2471" s="218"/>
      <c r="B2471" s="214"/>
    </row>
    <row r="2472" spans="1:2">
      <c r="A2472" s="218"/>
      <c r="B2472" s="214"/>
    </row>
    <row r="2473" spans="1:2">
      <c r="A2473" s="218"/>
      <c r="B2473" s="214"/>
    </row>
    <row r="2474" spans="1:2">
      <c r="A2474" s="218"/>
      <c r="B2474" s="214"/>
    </row>
    <row r="2475" spans="1:2">
      <c r="A2475" s="218"/>
      <c r="B2475" s="214"/>
    </row>
    <row r="2476" spans="1:2">
      <c r="A2476" s="218"/>
      <c r="B2476" s="214"/>
    </row>
    <row r="2477" spans="1:2">
      <c r="A2477" s="218"/>
      <c r="B2477" s="214"/>
    </row>
    <row r="2478" spans="1:2">
      <c r="A2478" s="218"/>
      <c r="B2478" s="214"/>
    </row>
    <row r="2479" spans="1:2">
      <c r="A2479" s="218"/>
      <c r="B2479" s="214"/>
    </row>
    <row r="2480" spans="1:2">
      <c r="A2480" s="218"/>
      <c r="B2480" s="214"/>
    </row>
    <row r="2481" spans="1:2">
      <c r="A2481" s="218"/>
      <c r="B2481" s="214"/>
    </row>
    <row r="2482" spans="1:2">
      <c r="A2482" s="218"/>
      <c r="B2482" s="214"/>
    </row>
    <row r="2483" spans="1:2">
      <c r="A2483" s="218"/>
      <c r="B2483" s="214"/>
    </row>
    <row r="2484" spans="1:2">
      <c r="A2484" s="218"/>
      <c r="B2484" s="214"/>
    </row>
    <row r="2485" spans="1:2">
      <c r="A2485" s="218"/>
      <c r="B2485" s="214"/>
    </row>
    <row r="2486" spans="1:2">
      <c r="A2486" s="218"/>
      <c r="B2486" s="214"/>
    </row>
    <row r="2487" spans="1:2">
      <c r="A2487" s="218"/>
      <c r="B2487" s="214"/>
    </row>
    <row r="2488" spans="1:2">
      <c r="A2488" s="218"/>
      <c r="B2488" s="214"/>
    </row>
    <row r="2489" spans="1:2">
      <c r="A2489" s="218"/>
      <c r="B2489" s="214"/>
    </row>
    <row r="2490" spans="1:2">
      <c r="A2490" s="218"/>
      <c r="B2490" s="214"/>
    </row>
    <row r="2491" spans="1:2">
      <c r="A2491" s="218"/>
      <c r="B2491" s="214"/>
    </row>
    <row r="2492" spans="1:2">
      <c r="A2492" s="218"/>
      <c r="B2492" s="214"/>
    </row>
    <row r="2493" spans="1:2">
      <c r="A2493" s="218"/>
      <c r="B2493" s="214"/>
    </row>
    <row r="2494" spans="1:2">
      <c r="A2494" s="218"/>
      <c r="B2494" s="214"/>
    </row>
    <row r="2495" spans="1:2">
      <c r="A2495" s="218"/>
      <c r="B2495" s="214"/>
    </row>
    <row r="2496" spans="1:2">
      <c r="A2496" s="218"/>
      <c r="B2496" s="214"/>
    </row>
    <row r="2497" spans="1:2">
      <c r="A2497" s="218"/>
      <c r="B2497" s="214"/>
    </row>
    <row r="2498" spans="1:2">
      <c r="A2498" s="218"/>
      <c r="B2498" s="214"/>
    </row>
    <row r="2499" spans="1:2">
      <c r="A2499" s="218"/>
      <c r="B2499" s="214"/>
    </row>
    <row r="2500" spans="1:2">
      <c r="A2500" s="218"/>
      <c r="B2500" s="214"/>
    </row>
    <row r="2501" spans="1:2">
      <c r="A2501" s="218"/>
      <c r="B2501" s="214"/>
    </row>
    <row r="2502" spans="1:2">
      <c r="A2502" s="218"/>
      <c r="B2502" s="214"/>
    </row>
    <row r="2503" spans="1:2">
      <c r="A2503" s="218"/>
      <c r="B2503" s="214"/>
    </row>
    <row r="2504" spans="1:2">
      <c r="A2504" s="218"/>
      <c r="B2504" s="214"/>
    </row>
    <row r="2505" spans="1:2">
      <c r="A2505" s="218"/>
      <c r="B2505" s="214"/>
    </row>
    <row r="2506" spans="1:2">
      <c r="A2506" s="218"/>
      <c r="B2506" s="214"/>
    </row>
    <row r="2507" spans="1:2">
      <c r="A2507" s="218"/>
      <c r="B2507" s="214"/>
    </row>
    <row r="2508" spans="1:2">
      <c r="A2508" s="218"/>
      <c r="B2508" s="214"/>
    </row>
    <row r="2509" spans="1:2">
      <c r="A2509" s="218"/>
      <c r="B2509" s="214"/>
    </row>
    <row r="2510" spans="1:2">
      <c r="A2510" s="218"/>
      <c r="B2510" s="214"/>
    </row>
    <row r="2511" spans="1:2">
      <c r="A2511" s="218"/>
      <c r="B2511" s="214"/>
    </row>
    <row r="2512" spans="1:2">
      <c r="A2512" s="218"/>
      <c r="B2512" s="214"/>
    </row>
    <row r="2513" spans="1:2">
      <c r="A2513" s="218"/>
      <c r="B2513" s="214"/>
    </row>
    <row r="2514" spans="1:2">
      <c r="A2514" s="218"/>
      <c r="B2514" s="214"/>
    </row>
    <row r="2515" spans="1:2">
      <c r="A2515" s="218"/>
      <c r="B2515" s="214"/>
    </row>
    <row r="2516" spans="1:2">
      <c r="A2516" s="218"/>
      <c r="B2516" s="214"/>
    </row>
    <row r="2517" spans="1:2">
      <c r="A2517" s="218"/>
      <c r="B2517" s="214"/>
    </row>
    <row r="2518" spans="1:2">
      <c r="A2518" s="218"/>
      <c r="B2518" s="214"/>
    </row>
    <row r="2519" spans="1:2">
      <c r="A2519" s="218"/>
      <c r="B2519" s="214"/>
    </row>
    <row r="2520" spans="1:2">
      <c r="A2520" s="218"/>
      <c r="B2520" s="214"/>
    </row>
    <row r="2521" spans="1:2">
      <c r="A2521" s="218"/>
      <c r="B2521" s="214"/>
    </row>
    <row r="2522" spans="1:2">
      <c r="A2522" s="218"/>
      <c r="B2522" s="214"/>
    </row>
    <row r="2523" spans="1:2">
      <c r="A2523" s="218"/>
      <c r="B2523" s="214"/>
    </row>
    <row r="2524" spans="1:2">
      <c r="A2524" s="218"/>
      <c r="B2524" s="214"/>
    </row>
    <row r="2525" spans="1:2">
      <c r="A2525" s="218"/>
      <c r="B2525" s="214"/>
    </row>
    <row r="2526" spans="1:2">
      <c r="A2526" s="218"/>
      <c r="B2526" s="214"/>
    </row>
    <row r="2527" spans="1:2">
      <c r="A2527" s="218"/>
      <c r="B2527" s="214"/>
    </row>
    <row r="2528" spans="1:2">
      <c r="A2528" s="218"/>
      <c r="B2528" s="214"/>
    </row>
    <row r="2529" spans="1:2">
      <c r="A2529" s="218"/>
      <c r="B2529" s="214"/>
    </row>
    <row r="2530" spans="1:2">
      <c r="A2530" s="218"/>
      <c r="B2530" s="214"/>
    </row>
    <row r="2531" spans="1:2">
      <c r="A2531" s="218"/>
      <c r="B2531" s="214"/>
    </row>
    <row r="2532" spans="1:2">
      <c r="A2532" s="218"/>
      <c r="B2532" s="214"/>
    </row>
    <row r="2533" spans="1:2">
      <c r="A2533" s="218"/>
      <c r="B2533" s="214"/>
    </row>
    <row r="2534" spans="1:2">
      <c r="A2534" s="218"/>
      <c r="B2534" s="214"/>
    </row>
    <row r="2535" spans="1:2">
      <c r="A2535" s="218"/>
      <c r="B2535" s="214"/>
    </row>
    <row r="2536" spans="1:2">
      <c r="A2536" s="218"/>
      <c r="B2536" s="214"/>
    </row>
    <row r="2537" spans="1:2">
      <c r="A2537" s="218"/>
      <c r="B2537" s="214"/>
    </row>
    <row r="2538" spans="1:2">
      <c r="A2538" s="218"/>
      <c r="B2538" s="214"/>
    </row>
    <row r="2539" spans="1:2">
      <c r="A2539" s="218"/>
      <c r="B2539" s="214"/>
    </row>
    <row r="2540" spans="1:2">
      <c r="A2540" s="218"/>
      <c r="B2540" s="214"/>
    </row>
    <row r="2541" spans="1:2">
      <c r="A2541" s="218"/>
      <c r="B2541" s="214"/>
    </row>
    <row r="2542" spans="1:2">
      <c r="A2542" s="218"/>
      <c r="B2542" s="214"/>
    </row>
    <row r="2543" spans="1:2">
      <c r="A2543" s="218"/>
      <c r="B2543" s="214"/>
    </row>
    <row r="2544" spans="1:2">
      <c r="A2544" s="218"/>
      <c r="B2544" s="214"/>
    </row>
    <row r="2545" spans="1:2">
      <c r="A2545" s="218"/>
      <c r="B2545" s="214"/>
    </row>
    <row r="2546" spans="1:2">
      <c r="A2546" s="218"/>
      <c r="B2546" s="214"/>
    </row>
    <row r="2547" spans="1:2">
      <c r="A2547" s="218"/>
      <c r="B2547" s="214"/>
    </row>
    <row r="2548" spans="1:2">
      <c r="A2548" s="218"/>
      <c r="B2548" s="214"/>
    </row>
    <row r="2549" spans="1:2">
      <c r="A2549" s="218"/>
      <c r="B2549" s="214"/>
    </row>
    <row r="2550" spans="1:2">
      <c r="A2550" s="218"/>
      <c r="B2550" s="214"/>
    </row>
    <row r="2551" spans="1:2">
      <c r="A2551" s="218"/>
      <c r="B2551" s="214"/>
    </row>
    <row r="2552" spans="1:2">
      <c r="A2552" s="218"/>
      <c r="B2552" s="214"/>
    </row>
    <row r="2553" spans="1:2">
      <c r="A2553" s="218"/>
      <c r="B2553" s="214"/>
    </row>
    <row r="2554" spans="1:2">
      <c r="A2554" s="218"/>
      <c r="B2554" s="214"/>
    </row>
    <row r="2555" spans="1:2">
      <c r="A2555" s="218"/>
      <c r="B2555" s="214"/>
    </row>
    <row r="2556" spans="1:2">
      <c r="A2556" s="218"/>
      <c r="B2556" s="214"/>
    </row>
    <row r="2557" spans="1:2">
      <c r="A2557" s="218"/>
      <c r="B2557" s="214"/>
    </row>
    <row r="2558" spans="1:2">
      <c r="A2558" s="218"/>
      <c r="B2558" s="214"/>
    </row>
    <row r="2559" spans="1:2">
      <c r="A2559" s="218"/>
      <c r="B2559" s="214"/>
    </row>
    <row r="2560" spans="1:2">
      <c r="A2560" s="218"/>
      <c r="B2560" s="214"/>
    </row>
    <row r="2561" spans="1:2">
      <c r="A2561" s="218"/>
      <c r="B2561" s="214"/>
    </row>
    <row r="2562" spans="1:2">
      <c r="A2562" s="218"/>
      <c r="B2562" s="214"/>
    </row>
    <row r="2563" spans="1:2">
      <c r="A2563" s="218"/>
      <c r="B2563" s="214"/>
    </row>
    <row r="2564" spans="1:2">
      <c r="A2564" s="218"/>
      <c r="B2564" s="214"/>
    </row>
    <row r="2565" spans="1:2">
      <c r="A2565" s="218"/>
      <c r="B2565" s="214"/>
    </row>
    <row r="2566" spans="1:2">
      <c r="A2566" s="218"/>
      <c r="B2566" s="214"/>
    </row>
    <row r="2567" spans="1:2">
      <c r="A2567" s="218"/>
      <c r="B2567" s="214"/>
    </row>
    <row r="2568" spans="1:2">
      <c r="A2568" s="218"/>
      <c r="B2568" s="214"/>
    </row>
    <row r="2569" spans="1:2">
      <c r="A2569" s="218"/>
      <c r="B2569" s="214"/>
    </row>
    <row r="2570" spans="1:2">
      <c r="A2570" s="218"/>
      <c r="B2570" s="214"/>
    </row>
    <row r="2571" spans="1:2">
      <c r="A2571" s="218"/>
      <c r="B2571" s="214"/>
    </row>
    <row r="2572" spans="1:2">
      <c r="A2572" s="218"/>
      <c r="B2572" s="214"/>
    </row>
    <row r="2573" spans="1:2">
      <c r="A2573" s="218"/>
      <c r="B2573" s="214"/>
    </row>
    <row r="2574" spans="1:2">
      <c r="A2574" s="218"/>
      <c r="B2574" s="214"/>
    </row>
    <row r="2575" spans="1:2">
      <c r="A2575" s="218"/>
      <c r="B2575" s="214"/>
    </row>
    <row r="2576" spans="1:2">
      <c r="A2576" s="218"/>
      <c r="B2576" s="214"/>
    </row>
    <row r="2577" spans="1:2">
      <c r="A2577" s="218"/>
      <c r="B2577" s="214"/>
    </row>
    <row r="2578" spans="1:2">
      <c r="A2578" s="218"/>
      <c r="B2578" s="214"/>
    </row>
    <row r="2579" spans="1:2">
      <c r="A2579" s="218"/>
      <c r="B2579" s="214"/>
    </row>
    <row r="2580" spans="1:2">
      <c r="A2580" s="218"/>
      <c r="B2580" s="214"/>
    </row>
    <row r="2581" spans="1:2">
      <c r="A2581" s="218"/>
      <c r="B2581" s="214"/>
    </row>
    <row r="2582" spans="1:2">
      <c r="A2582" s="218"/>
      <c r="B2582" s="214"/>
    </row>
    <row r="2583" spans="1:2">
      <c r="A2583" s="218"/>
      <c r="B2583" s="214"/>
    </row>
    <row r="2584" spans="1:2">
      <c r="A2584" s="218"/>
      <c r="B2584" s="214"/>
    </row>
    <row r="2585" spans="1:2">
      <c r="A2585" s="218"/>
      <c r="B2585" s="214"/>
    </row>
    <row r="2586" spans="1:2">
      <c r="A2586" s="218"/>
      <c r="B2586" s="214"/>
    </row>
    <row r="2587" spans="1:2">
      <c r="A2587" s="218"/>
      <c r="B2587" s="214"/>
    </row>
    <row r="2588" spans="1:2">
      <c r="A2588" s="218"/>
      <c r="B2588" s="214"/>
    </row>
    <row r="2589" spans="1:2">
      <c r="A2589" s="218"/>
      <c r="B2589" s="214"/>
    </row>
    <row r="2590" spans="1:2">
      <c r="A2590" s="218"/>
      <c r="B2590" s="214"/>
    </row>
    <row r="2591" spans="1:2">
      <c r="A2591" s="218"/>
      <c r="B2591" s="214"/>
    </row>
    <row r="2592" spans="1:2">
      <c r="A2592" s="218"/>
      <c r="B2592" s="214"/>
    </row>
    <row r="2593" spans="1:2">
      <c r="A2593" s="218"/>
      <c r="B2593" s="214"/>
    </row>
    <row r="2594" spans="1:2">
      <c r="A2594" s="218"/>
      <c r="B2594" s="214"/>
    </row>
    <row r="2595" spans="1:2">
      <c r="A2595" s="218"/>
      <c r="B2595" s="214"/>
    </row>
    <row r="2596" spans="1:2">
      <c r="A2596" s="218"/>
      <c r="B2596" s="214"/>
    </row>
    <row r="2597" spans="1:2">
      <c r="A2597" s="218"/>
      <c r="B2597" s="214"/>
    </row>
    <row r="2598" spans="1:2">
      <c r="A2598" s="218"/>
      <c r="B2598" s="214"/>
    </row>
    <row r="2599" spans="1:2">
      <c r="A2599" s="218"/>
      <c r="B2599" s="214"/>
    </row>
    <row r="2600" spans="1:2">
      <c r="A2600" s="218"/>
      <c r="B2600" s="214"/>
    </row>
    <row r="2601" spans="1:2">
      <c r="A2601" s="218"/>
      <c r="B2601" s="214"/>
    </row>
    <row r="2602" spans="1:2">
      <c r="A2602" s="218"/>
      <c r="B2602" s="214"/>
    </row>
    <row r="2603" spans="1:2">
      <c r="A2603" s="218"/>
      <c r="B2603" s="214"/>
    </row>
    <row r="2604" spans="1:2">
      <c r="A2604" s="218"/>
      <c r="B2604" s="214"/>
    </row>
    <row r="2605" spans="1:2">
      <c r="A2605" s="218"/>
      <c r="B2605" s="214"/>
    </row>
    <row r="2606" spans="1:2">
      <c r="A2606" s="218"/>
      <c r="B2606" s="214"/>
    </row>
    <row r="2607" spans="1:2">
      <c r="A2607" s="218"/>
      <c r="B2607" s="214"/>
    </row>
    <row r="2608" spans="1:2">
      <c r="A2608" s="218"/>
      <c r="B2608" s="214"/>
    </row>
    <row r="2609" spans="1:2">
      <c r="A2609" s="218"/>
      <c r="B2609" s="214"/>
    </row>
    <row r="2610" spans="1:2">
      <c r="A2610" s="218"/>
      <c r="B2610" s="214"/>
    </row>
    <row r="2611" spans="1:2">
      <c r="A2611" s="218"/>
      <c r="B2611" s="214"/>
    </row>
    <row r="2612" spans="1:2">
      <c r="A2612" s="218"/>
      <c r="B2612" s="214"/>
    </row>
    <row r="2613" spans="1:2">
      <c r="A2613" s="218"/>
      <c r="B2613" s="214"/>
    </row>
    <row r="2614" spans="1:2">
      <c r="A2614" s="218"/>
      <c r="B2614" s="214"/>
    </row>
    <row r="2615" spans="1:2">
      <c r="A2615" s="218"/>
      <c r="B2615" s="214"/>
    </row>
    <row r="2616" spans="1:2">
      <c r="A2616" s="218"/>
      <c r="B2616" s="214"/>
    </row>
    <row r="2617" spans="1:2">
      <c r="A2617" s="218"/>
      <c r="B2617" s="214"/>
    </row>
    <row r="2618" spans="1:2">
      <c r="A2618" s="218"/>
      <c r="B2618" s="214"/>
    </row>
    <row r="2619" spans="1:2">
      <c r="A2619" s="218"/>
      <c r="B2619" s="214"/>
    </row>
    <row r="2620" spans="1:2">
      <c r="A2620" s="218"/>
      <c r="B2620" s="214"/>
    </row>
    <row r="2621" spans="1:2">
      <c r="A2621" s="218"/>
      <c r="B2621" s="214"/>
    </row>
    <row r="2622" spans="1:2">
      <c r="A2622" s="218"/>
      <c r="B2622" s="214"/>
    </row>
    <row r="2623" spans="1:2">
      <c r="A2623" s="218"/>
      <c r="B2623" s="214"/>
    </row>
    <row r="2624" spans="1:2">
      <c r="A2624" s="218"/>
      <c r="B2624" s="214"/>
    </row>
    <row r="2625" spans="1:2">
      <c r="A2625" s="218"/>
      <c r="B2625" s="214"/>
    </row>
    <row r="2626" spans="1:2">
      <c r="A2626" s="218"/>
      <c r="B2626" s="214"/>
    </row>
    <row r="2627" spans="1:2">
      <c r="A2627" s="218"/>
      <c r="B2627" s="214"/>
    </row>
    <row r="2628" spans="1:2">
      <c r="A2628" s="218"/>
      <c r="B2628" s="214"/>
    </row>
    <row r="2629" spans="1:2">
      <c r="A2629" s="218"/>
      <c r="B2629" s="214"/>
    </row>
    <row r="2630" spans="1:2">
      <c r="A2630" s="218"/>
      <c r="B2630" s="214"/>
    </row>
    <row r="2631" spans="1:2">
      <c r="A2631" s="218"/>
      <c r="B2631" s="214"/>
    </row>
    <row r="2632" spans="1:2">
      <c r="A2632" s="218"/>
      <c r="B2632" s="214"/>
    </row>
    <row r="2633" spans="1:2">
      <c r="A2633" s="218"/>
      <c r="B2633" s="214"/>
    </row>
    <row r="2634" spans="1:2">
      <c r="A2634" s="218"/>
      <c r="B2634" s="214"/>
    </row>
    <row r="2635" spans="1:2">
      <c r="A2635" s="218"/>
      <c r="B2635" s="214"/>
    </row>
    <row r="2636" spans="1:2">
      <c r="A2636" s="218"/>
      <c r="B2636" s="214"/>
    </row>
    <row r="2637" spans="1:2">
      <c r="A2637" s="218"/>
      <c r="B2637" s="214"/>
    </row>
    <row r="2638" spans="1:2">
      <c r="A2638" s="218"/>
      <c r="B2638" s="214"/>
    </row>
    <row r="2639" spans="1:2">
      <c r="A2639" s="218"/>
      <c r="B2639" s="214"/>
    </row>
    <row r="2640" spans="1:2">
      <c r="A2640" s="218"/>
      <c r="B2640" s="214"/>
    </row>
    <row r="2641" spans="1:2">
      <c r="A2641" s="218"/>
      <c r="B2641" s="214"/>
    </row>
    <row r="2642" spans="1:2">
      <c r="A2642" s="218"/>
      <c r="B2642" s="214"/>
    </row>
    <row r="2643" spans="1:2">
      <c r="A2643" s="218"/>
      <c r="B2643" s="214"/>
    </row>
    <row r="2644" spans="1:2">
      <c r="A2644" s="218"/>
      <c r="B2644" s="214"/>
    </row>
    <row r="2645" spans="1:2">
      <c r="A2645" s="218"/>
      <c r="B2645" s="214"/>
    </row>
    <row r="2646" spans="1:2">
      <c r="A2646" s="218"/>
      <c r="B2646" s="214"/>
    </row>
    <row r="2647" spans="1:2">
      <c r="A2647" s="218"/>
      <c r="B2647" s="214"/>
    </row>
    <row r="2648" spans="1:2">
      <c r="A2648" s="218"/>
      <c r="B2648" s="214"/>
    </row>
    <row r="2649" spans="1:2">
      <c r="A2649" s="218"/>
      <c r="B2649" s="214"/>
    </row>
    <row r="2650" spans="1:2">
      <c r="A2650" s="218"/>
      <c r="B2650" s="214"/>
    </row>
    <row r="2651" spans="1:2">
      <c r="A2651" s="218"/>
      <c r="B2651" s="214"/>
    </row>
    <row r="2652" spans="1:2">
      <c r="A2652" s="218"/>
      <c r="B2652" s="214"/>
    </row>
    <row r="2653" spans="1:2">
      <c r="A2653" s="218"/>
      <c r="B2653" s="214"/>
    </row>
    <row r="2654" spans="1:2">
      <c r="A2654" s="218"/>
      <c r="B2654" s="214"/>
    </row>
    <row r="2655" spans="1:2">
      <c r="A2655" s="218"/>
      <c r="B2655" s="214"/>
    </row>
    <row r="2656" spans="1:2">
      <c r="A2656" s="218"/>
      <c r="B2656" s="214"/>
    </row>
    <row r="2657" spans="1:2">
      <c r="A2657" s="218"/>
      <c r="B2657" s="214"/>
    </row>
    <row r="2658" spans="1:2">
      <c r="A2658" s="218"/>
      <c r="B2658" s="214"/>
    </row>
    <row r="2659" spans="1:2">
      <c r="A2659" s="218"/>
      <c r="B2659" s="214"/>
    </row>
    <row r="2660" spans="1:2">
      <c r="A2660" s="218"/>
      <c r="B2660" s="214"/>
    </row>
    <row r="2661" spans="1:2">
      <c r="A2661" s="218"/>
      <c r="B2661" s="214"/>
    </row>
    <row r="2662" spans="1:2">
      <c r="A2662" s="218"/>
      <c r="B2662" s="214"/>
    </row>
    <row r="2663" spans="1:2">
      <c r="A2663" s="218"/>
      <c r="B2663" s="214"/>
    </row>
    <row r="2664" spans="1:2">
      <c r="A2664" s="218"/>
      <c r="B2664" s="214"/>
    </row>
    <row r="2665" spans="1:2">
      <c r="A2665" s="218"/>
      <c r="B2665" s="214"/>
    </row>
    <row r="2666" spans="1:2">
      <c r="A2666" s="218"/>
      <c r="B2666" s="214"/>
    </row>
    <row r="2667" spans="1:2">
      <c r="A2667" s="218"/>
      <c r="B2667" s="214"/>
    </row>
    <row r="2668" spans="1:2">
      <c r="A2668" s="218"/>
      <c r="B2668" s="214"/>
    </row>
    <row r="2669" spans="1:2">
      <c r="A2669" s="218"/>
      <c r="B2669" s="214"/>
    </row>
    <row r="2670" spans="1:2">
      <c r="A2670" s="218"/>
      <c r="B2670" s="214"/>
    </row>
    <row r="2671" spans="1:2">
      <c r="A2671" s="218"/>
      <c r="B2671" s="214"/>
    </row>
    <row r="2672" spans="1:2">
      <c r="A2672" s="218"/>
      <c r="B2672" s="214"/>
    </row>
    <row r="2673" spans="1:2">
      <c r="A2673" s="218"/>
      <c r="B2673" s="214"/>
    </row>
    <row r="2674" spans="1:2">
      <c r="A2674" s="218"/>
      <c r="B2674" s="214"/>
    </row>
    <row r="2675" spans="1:2">
      <c r="A2675" s="218"/>
      <c r="B2675" s="214"/>
    </row>
    <row r="2676" spans="1:2">
      <c r="A2676" s="218"/>
      <c r="B2676" s="214"/>
    </row>
    <row r="2677" spans="1:2">
      <c r="A2677" s="218"/>
      <c r="B2677" s="214"/>
    </row>
    <row r="2678" spans="1:2">
      <c r="A2678" s="218"/>
      <c r="B2678" s="214"/>
    </row>
    <row r="2679" spans="1:2">
      <c r="A2679" s="218"/>
      <c r="B2679" s="214"/>
    </row>
    <row r="2680" spans="1:2">
      <c r="A2680" s="218"/>
      <c r="B2680" s="214"/>
    </row>
    <row r="2681" spans="1:2">
      <c r="A2681" s="218"/>
      <c r="B2681" s="214"/>
    </row>
    <row r="2682" spans="1:2">
      <c r="A2682" s="218"/>
      <c r="B2682" s="214"/>
    </row>
    <row r="2683" spans="1:2">
      <c r="A2683" s="218"/>
      <c r="B2683" s="214"/>
    </row>
    <row r="2684" spans="1:2">
      <c r="A2684" s="218"/>
      <c r="B2684" s="214"/>
    </row>
    <row r="2685" spans="1:2">
      <c r="A2685" s="218"/>
      <c r="B2685" s="214"/>
    </row>
    <row r="2686" spans="1:2">
      <c r="A2686" s="218"/>
      <c r="B2686" s="214"/>
    </row>
    <row r="2687" spans="1:2">
      <c r="A2687" s="218"/>
      <c r="B2687" s="214"/>
    </row>
    <row r="2688" spans="1:2">
      <c r="A2688" s="218"/>
      <c r="B2688" s="214"/>
    </row>
    <row r="2689" spans="1:2">
      <c r="A2689" s="218"/>
      <c r="B2689" s="214"/>
    </row>
    <row r="2690" spans="1:2">
      <c r="A2690" s="218"/>
      <c r="B2690" s="214"/>
    </row>
    <row r="2691" spans="1:2">
      <c r="A2691" s="218"/>
      <c r="B2691" s="214"/>
    </row>
    <row r="2692" spans="1:2">
      <c r="A2692" s="218"/>
      <c r="B2692" s="214"/>
    </row>
    <row r="2693" spans="1:2">
      <c r="A2693" s="218"/>
      <c r="B2693" s="214"/>
    </row>
    <row r="2694" spans="1:2">
      <c r="A2694" s="218"/>
      <c r="B2694" s="214"/>
    </row>
    <row r="2695" spans="1:2">
      <c r="A2695" s="218"/>
      <c r="B2695" s="214"/>
    </row>
    <row r="2696" spans="1:2">
      <c r="A2696" s="218"/>
      <c r="B2696" s="214"/>
    </row>
    <row r="2697" spans="1:2">
      <c r="A2697" s="218"/>
      <c r="B2697" s="214"/>
    </row>
    <row r="2698" spans="1:2">
      <c r="A2698" s="218"/>
      <c r="B2698" s="214"/>
    </row>
    <row r="2699" spans="1:2">
      <c r="A2699" s="218"/>
      <c r="B2699" s="214"/>
    </row>
    <row r="2700" spans="1:2">
      <c r="A2700" s="218"/>
      <c r="B2700" s="214"/>
    </row>
    <row r="2701" spans="1:2">
      <c r="A2701" s="218"/>
      <c r="B2701" s="214"/>
    </row>
    <row r="2702" spans="1:2">
      <c r="A2702" s="218"/>
      <c r="B2702" s="214"/>
    </row>
    <row r="2703" spans="1:2">
      <c r="A2703" s="218"/>
      <c r="B2703" s="214"/>
    </row>
    <row r="2704" spans="1:2">
      <c r="A2704" s="218"/>
      <c r="B2704" s="214"/>
    </row>
    <row r="2705" spans="1:2">
      <c r="A2705" s="218"/>
      <c r="B2705" s="214"/>
    </row>
    <row r="2706" spans="1:2">
      <c r="A2706" s="218"/>
      <c r="B2706" s="214"/>
    </row>
    <row r="2707" spans="1:2">
      <c r="A2707" s="218"/>
      <c r="B2707" s="214"/>
    </row>
    <row r="2708" spans="1:2">
      <c r="A2708" s="218"/>
      <c r="B2708" s="214"/>
    </row>
    <row r="2709" spans="1:2">
      <c r="A2709" s="218"/>
      <c r="B2709" s="214"/>
    </row>
    <row r="2710" spans="1:2">
      <c r="A2710" s="218"/>
      <c r="B2710" s="214"/>
    </row>
    <row r="2711" spans="1:2">
      <c r="A2711" s="218"/>
      <c r="B2711" s="214"/>
    </row>
    <row r="2712" spans="1:2">
      <c r="A2712" s="218"/>
      <c r="B2712" s="214"/>
    </row>
    <row r="2713" spans="1:2">
      <c r="A2713" s="218"/>
      <c r="B2713" s="214"/>
    </row>
    <row r="2714" spans="1:2">
      <c r="A2714" s="218"/>
      <c r="B2714" s="214"/>
    </row>
    <row r="2715" spans="1:2">
      <c r="A2715" s="218"/>
      <c r="B2715" s="214"/>
    </row>
    <row r="2716" spans="1:2">
      <c r="A2716" s="218"/>
      <c r="B2716" s="214"/>
    </row>
    <row r="2717" spans="1:2">
      <c r="A2717" s="218"/>
      <c r="B2717" s="214"/>
    </row>
    <row r="2718" spans="1:2">
      <c r="A2718" s="218"/>
      <c r="B2718" s="214"/>
    </row>
    <row r="2719" spans="1:2">
      <c r="A2719" s="218"/>
      <c r="B2719" s="214"/>
    </row>
    <row r="2720" spans="1:2">
      <c r="A2720" s="218"/>
      <c r="B2720" s="214"/>
    </row>
    <row r="2721" spans="1:2">
      <c r="A2721" s="218"/>
      <c r="B2721" s="214"/>
    </row>
    <row r="2722" spans="1:2">
      <c r="A2722" s="218"/>
      <c r="B2722" s="214"/>
    </row>
    <row r="2723" spans="1:2">
      <c r="A2723" s="218"/>
      <c r="B2723" s="214"/>
    </row>
    <row r="2724" spans="1:2">
      <c r="A2724" s="218"/>
      <c r="B2724" s="214"/>
    </row>
    <row r="2725" spans="1:2">
      <c r="A2725" s="218"/>
      <c r="B2725" s="214"/>
    </row>
    <row r="2726" spans="1:2">
      <c r="A2726" s="218"/>
      <c r="B2726" s="214"/>
    </row>
    <row r="2727" spans="1:2">
      <c r="A2727" s="218"/>
      <c r="B2727" s="214"/>
    </row>
    <row r="2728" spans="1:2">
      <c r="A2728" s="218"/>
      <c r="B2728" s="214"/>
    </row>
    <row r="2729" spans="1:2">
      <c r="A2729" s="218"/>
      <c r="B2729" s="214"/>
    </row>
    <row r="2730" spans="1:2">
      <c r="A2730" s="218"/>
      <c r="B2730" s="214"/>
    </row>
    <row r="2731" spans="1:2">
      <c r="A2731" s="218"/>
      <c r="B2731" s="214"/>
    </row>
    <row r="2732" spans="1:2">
      <c r="A2732" s="218"/>
      <c r="B2732" s="214"/>
    </row>
    <row r="2733" spans="1:2">
      <c r="A2733" s="218"/>
      <c r="B2733" s="214"/>
    </row>
    <row r="2734" spans="1:2">
      <c r="A2734" s="218"/>
      <c r="B2734" s="214"/>
    </row>
    <row r="2735" spans="1:2">
      <c r="A2735" s="218"/>
      <c r="B2735" s="214"/>
    </row>
    <row r="2736" spans="1:2">
      <c r="A2736" s="218"/>
      <c r="B2736" s="214"/>
    </row>
    <row r="2737" spans="1:2">
      <c r="A2737" s="218"/>
      <c r="B2737" s="214"/>
    </row>
    <row r="2738" spans="1:2">
      <c r="A2738" s="218"/>
      <c r="B2738" s="214"/>
    </row>
    <row r="2739" spans="1:2">
      <c r="A2739" s="218"/>
      <c r="B2739" s="214"/>
    </row>
    <row r="2740" spans="1:2">
      <c r="A2740" s="218"/>
      <c r="B2740" s="214"/>
    </row>
    <row r="2741" spans="1:2">
      <c r="A2741" s="218"/>
      <c r="B2741" s="214"/>
    </row>
    <row r="2742" spans="1:2">
      <c r="A2742" s="218"/>
      <c r="B2742" s="214"/>
    </row>
    <row r="2743" spans="1:2">
      <c r="A2743" s="218"/>
      <c r="B2743" s="214"/>
    </row>
    <row r="2744" spans="1:2">
      <c r="A2744" s="218"/>
      <c r="B2744" s="214"/>
    </row>
    <row r="2745" spans="1:2">
      <c r="A2745" s="218"/>
      <c r="B2745" s="214"/>
    </row>
    <row r="2746" spans="1:2">
      <c r="A2746" s="218"/>
      <c r="B2746" s="214"/>
    </row>
    <row r="2747" spans="1:2">
      <c r="A2747" s="218"/>
      <c r="B2747" s="214"/>
    </row>
    <row r="2748" spans="1:2">
      <c r="A2748" s="218"/>
      <c r="B2748" s="214"/>
    </row>
    <row r="2749" spans="1:2">
      <c r="A2749" s="218"/>
      <c r="B2749" s="214"/>
    </row>
    <row r="2750" spans="1:2">
      <c r="A2750" s="218"/>
      <c r="B2750" s="214"/>
    </row>
    <row r="2751" spans="1:2">
      <c r="A2751" s="218"/>
      <c r="B2751" s="214"/>
    </row>
    <row r="2752" spans="1:2">
      <c r="A2752" s="218"/>
      <c r="B2752" s="214"/>
    </row>
    <row r="2753" spans="1:2">
      <c r="A2753" s="218"/>
      <c r="B2753" s="214"/>
    </row>
    <row r="2754" spans="1:2">
      <c r="A2754" s="218"/>
      <c r="B2754" s="214"/>
    </row>
    <row r="2755" spans="1:2">
      <c r="A2755" s="218"/>
      <c r="B2755" s="214"/>
    </row>
    <row r="2756" spans="1:2">
      <c r="A2756" s="218"/>
      <c r="B2756" s="214"/>
    </row>
    <row r="2757" spans="1:2">
      <c r="A2757" s="218"/>
      <c r="B2757" s="214"/>
    </row>
    <row r="2758" spans="1:2">
      <c r="A2758" s="218"/>
      <c r="B2758" s="214"/>
    </row>
    <row r="2759" spans="1:2">
      <c r="A2759" s="218"/>
      <c r="B2759" s="214"/>
    </row>
    <row r="2760" spans="1:2">
      <c r="A2760" s="218"/>
      <c r="B2760" s="214"/>
    </row>
    <row r="2761" spans="1:2">
      <c r="A2761" s="218"/>
      <c r="B2761" s="214"/>
    </row>
    <row r="2762" spans="1:2">
      <c r="A2762" s="218"/>
      <c r="B2762" s="214"/>
    </row>
    <row r="2763" spans="1:2">
      <c r="A2763" s="218"/>
      <c r="B2763" s="214"/>
    </row>
    <row r="2764" spans="1:2">
      <c r="A2764" s="218"/>
      <c r="B2764" s="214"/>
    </row>
    <row r="2765" spans="1:2">
      <c r="A2765" s="218"/>
      <c r="B2765" s="214"/>
    </row>
    <row r="2766" spans="1:2">
      <c r="A2766" s="218"/>
      <c r="B2766" s="214"/>
    </row>
    <row r="2767" spans="1:2">
      <c r="A2767" s="218"/>
      <c r="B2767" s="214"/>
    </row>
    <row r="2768" spans="1:2">
      <c r="A2768" s="218"/>
      <c r="B2768" s="214"/>
    </row>
    <row r="2769" spans="1:2">
      <c r="A2769" s="218"/>
      <c r="B2769" s="214"/>
    </row>
    <row r="2770" spans="1:2">
      <c r="A2770" s="218"/>
      <c r="B2770" s="214"/>
    </row>
    <row r="2771" spans="1:2">
      <c r="A2771" s="218"/>
      <c r="B2771" s="214"/>
    </row>
    <row r="2772" spans="1:2">
      <c r="A2772" s="218"/>
      <c r="B2772" s="214"/>
    </row>
    <row r="2773" spans="1:2">
      <c r="A2773" s="218"/>
      <c r="B2773" s="214"/>
    </row>
    <row r="2774" spans="1:2">
      <c r="A2774" s="218"/>
      <c r="B2774" s="214"/>
    </row>
    <row r="2775" spans="1:2">
      <c r="A2775" s="218"/>
      <c r="B2775" s="214"/>
    </row>
    <row r="2776" spans="1:2">
      <c r="A2776" s="218"/>
      <c r="B2776" s="214"/>
    </row>
    <row r="2777" spans="1:2">
      <c r="A2777" s="218"/>
      <c r="B2777" s="214"/>
    </row>
    <row r="2778" spans="1:2">
      <c r="A2778" s="218"/>
      <c r="B2778" s="214"/>
    </row>
    <row r="2779" spans="1:2">
      <c r="A2779" s="218"/>
      <c r="B2779" s="214"/>
    </row>
    <row r="2780" spans="1:2">
      <c r="A2780" s="218"/>
      <c r="B2780" s="214"/>
    </row>
    <row r="2781" spans="1:2">
      <c r="A2781" s="218"/>
      <c r="B2781" s="214"/>
    </row>
    <row r="2782" spans="1:2">
      <c r="A2782" s="218"/>
      <c r="B2782" s="214"/>
    </row>
    <row r="2783" spans="1:2">
      <c r="A2783" s="218"/>
      <c r="B2783" s="214"/>
    </row>
    <row r="2784" spans="1:2">
      <c r="A2784" s="218"/>
      <c r="B2784" s="214"/>
    </row>
    <row r="2785" spans="1:2">
      <c r="A2785" s="218"/>
      <c r="B2785" s="214"/>
    </row>
    <row r="2786" spans="1:2">
      <c r="A2786" s="218"/>
      <c r="B2786" s="214"/>
    </row>
    <row r="2787" spans="1:2">
      <c r="A2787" s="218"/>
      <c r="B2787" s="214"/>
    </row>
    <row r="2788" spans="1:2">
      <c r="A2788" s="218"/>
      <c r="B2788" s="214"/>
    </row>
    <row r="2789" spans="1:2">
      <c r="A2789" s="218"/>
      <c r="B2789" s="214"/>
    </row>
    <row r="2790" spans="1:2">
      <c r="A2790" s="218"/>
      <c r="B2790" s="214"/>
    </row>
    <row r="2791" spans="1:2">
      <c r="A2791" s="218"/>
      <c r="B2791" s="214"/>
    </row>
    <row r="2792" spans="1:2">
      <c r="A2792" s="218"/>
      <c r="B2792" s="214"/>
    </row>
    <row r="2793" spans="1:2">
      <c r="A2793" s="218"/>
      <c r="B2793" s="214"/>
    </row>
    <row r="2794" spans="1:2">
      <c r="A2794" s="218"/>
      <c r="B2794" s="214"/>
    </row>
    <row r="2795" spans="1:2">
      <c r="A2795" s="218"/>
      <c r="B2795" s="214"/>
    </row>
    <row r="2796" spans="1:2">
      <c r="A2796" s="218"/>
      <c r="B2796" s="214"/>
    </row>
    <row r="2797" spans="1:2">
      <c r="A2797" s="218"/>
      <c r="B2797" s="214"/>
    </row>
    <row r="2798" spans="1:2">
      <c r="A2798" s="218"/>
      <c r="B2798" s="214"/>
    </row>
    <row r="2799" spans="1:2">
      <c r="A2799" s="218"/>
      <c r="B2799" s="214"/>
    </row>
    <row r="2800" spans="1:2">
      <c r="A2800" s="218"/>
      <c r="B2800" s="214"/>
    </row>
    <row r="2801" spans="1:2">
      <c r="A2801" s="218"/>
      <c r="B2801" s="214"/>
    </row>
    <row r="2802" spans="1:2">
      <c r="A2802" s="218"/>
      <c r="B2802" s="214"/>
    </row>
    <row r="2803" spans="1:2">
      <c r="A2803" s="218"/>
      <c r="B2803" s="214"/>
    </row>
    <row r="2804" spans="1:2">
      <c r="A2804" s="218"/>
      <c r="B2804" s="214"/>
    </row>
    <row r="2805" spans="1:2">
      <c r="A2805" s="218"/>
      <c r="B2805" s="214"/>
    </row>
    <row r="2806" spans="1:2">
      <c r="A2806" s="218"/>
      <c r="B2806" s="214"/>
    </row>
    <row r="2807" spans="1:2">
      <c r="A2807" s="218"/>
      <c r="B2807" s="214"/>
    </row>
    <row r="2808" spans="1:2">
      <c r="A2808" s="218"/>
      <c r="B2808" s="214"/>
    </row>
    <row r="2809" spans="1:2">
      <c r="A2809" s="218"/>
      <c r="B2809" s="214"/>
    </row>
    <row r="2810" spans="1:2">
      <c r="A2810" s="218"/>
      <c r="B2810" s="214"/>
    </row>
    <row r="2811" spans="1:2">
      <c r="A2811" s="218"/>
      <c r="B2811" s="214"/>
    </row>
    <row r="2812" spans="1:2">
      <c r="A2812" s="218"/>
      <c r="B2812" s="214"/>
    </row>
    <row r="2813" spans="1:2">
      <c r="A2813" s="218"/>
      <c r="B2813" s="214"/>
    </row>
    <row r="2814" spans="1:2">
      <c r="A2814" s="218"/>
      <c r="B2814" s="214"/>
    </row>
    <row r="2815" spans="1:2">
      <c r="A2815" s="218"/>
      <c r="B2815" s="214"/>
    </row>
    <row r="2816" spans="1:2">
      <c r="A2816" s="218"/>
      <c r="B2816" s="214"/>
    </row>
    <row r="2817" spans="1:2">
      <c r="A2817" s="218"/>
      <c r="B2817" s="214"/>
    </row>
    <row r="2818" spans="1:2">
      <c r="A2818" s="218"/>
      <c r="B2818" s="214"/>
    </row>
    <row r="2819" spans="1:2">
      <c r="A2819" s="218"/>
      <c r="B2819" s="214"/>
    </row>
    <row r="2820" spans="1:2">
      <c r="A2820" s="218"/>
      <c r="B2820" s="214"/>
    </row>
    <row r="2821" spans="1:2">
      <c r="A2821" s="218"/>
      <c r="B2821" s="214"/>
    </row>
    <row r="2822" spans="1:2">
      <c r="A2822" s="218"/>
      <c r="B2822" s="214"/>
    </row>
    <row r="2823" spans="1:2">
      <c r="A2823" s="218"/>
      <c r="B2823" s="214"/>
    </row>
    <row r="2824" spans="1:2">
      <c r="A2824" s="218"/>
      <c r="B2824" s="214"/>
    </row>
    <row r="2825" spans="1:2">
      <c r="A2825" s="218"/>
      <c r="B2825" s="214"/>
    </row>
    <row r="2826" spans="1:2">
      <c r="A2826" s="218"/>
      <c r="B2826" s="214"/>
    </row>
    <row r="2827" spans="1:2">
      <c r="A2827" s="218"/>
      <c r="B2827" s="214"/>
    </row>
    <row r="2828" spans="1:2">
      <c r="A2828" s="218"/>
      <c r="B2828" s="214"/>
    </row>
    <row r="2829" spans="1:2">
      <c r="A2829" s="218"/>
      <c r="B2829" s="214"/>
    </row>
    <row r="2830" spans="1:2">
      <c r="A2830" s="218"/>
      <c r="B2830" s="214"/>
    </row>
    <row r="2831" spans="1:2">
      <c r="A2831" s="218"/>
      <c r="B2831" s="214"/>
    </row>
    <row r="2832" spans="1:2">
      <c r="A2832" s="218"/>
      <c r="B2832" s="214"/>
    </row>
    <row r="2833" spans="1:2">
      <c r="A2833" s="218"/>
      <c r="B2833" s="214"/>
    </row>
    <row r="2834" spans="1:2">
      <c r="A2834" s="218"/>
      <c r="B2834" s="214"/>
    </row>
    <row r="2835" spans="1:2">
      <c r="A2835" s="218"/>
      <c r="B2835" s="214"/>
    </row>
    <row r="2836" spans="1:2">
      <c r="A2836" s="218"/>
      <c r="B2836" s="214"/>
    </row>
    <row r="2837" spans="1:2">
      <c r="A2837" s="218"/>
      <c r="B2837" s="214"/>
    </row>
    <row r="2838" spans="1:2">
      <c r="A2838" s="218"/>
      <c r="B2838" s="214"/>
    </row>
    <row r="2839" spans="1:2">
      <c r="A2839" s="218"/>
      <c r="B2839" s="214"/>
    </row>
    <row r="2840" spans="1:2">
      <c r="A2840" s="218"/>
      <c r="B2840" s="214"/>
    </row>
    <row r="2841" spans="1:2">
      <c r="A2841" s="218"/>
      <c r="B2841" s="214"/>
    </row>
    <row r="2842" spans="1:2">
      <c r="A2842" s="218"/>
      <c r="B2842" s="214"/>
    </row>
    <row r="2843" spans="1:2">
      <c r="A2843" s="218"/>
      <c r="B2843" s="214"/>
    </row>
    <row r="2844" spans="1:2">
      <c r="A2844" s="218"/>
      <c r="B2844" s="214"/>
    </row>
    <row r="2845" spans="1:2">
      <c r="A2845" s="218"/>
      <c r="B2845" s="214"/>
    </row>
    <row r="2846" spans="1:2">
      <c r="A2846" s="218"/>
      <c r="B2846" s="214"/>
    </row>
    <row r="2847" spans="1:2">
      <c r="A2847" s="218"/>
      <c r="B2847" s="214"/>
    </row>
    <row r="2848" spans="1:2">
      <c r="A2848" s="218"/>
      <c r="B2848" s="214"/>
    </row>
    <row r="2849" spans="1:2">
      <c r="A2849" s="218"/>
      <c r="B2849" s="214"/>
    </row>
    <row r="2850" spans="1:2">
      <c r="A2850" s="218"/>
      <c r="B2850" s="214"/>
    </row>
    <row r="2851" spans="1:2">
      <c r="A2851" s="218"/>
      <c r="B2851" s="214"/>
    </row>
    <row r="2852" spans="1:2">
      <c r="A2852" s="218"/>
      <c r="B2852" s="214"/>
    </row>
    <row r="2853" spans="1:2">
      <c r="A2853" s="218"/>
      <c r="B2853" s="214"/>
    </row>
    <row r="2854" spans="1:2">
      <c r="A2854" s="218"/>
      <c r="B2854" s="214"/>
    </row>
    <row r="2855" spans="1:2">
      <c r="A2855" s="218"/>
      <c r="B2855" s="214"/>
    </row>
    <row r="2856" spans="1:2">
      <c r="A2856" s="218"/>
      <c r="B2856" s="214"/>
    </row>
    <row r="2857" spans="1:2">
      <c r="A2857" s="218"/>
      <c r="B2857" s="214"/>
    </row>
    <row r="2858" spans="1:2">
      <c r="A2858" s="218"/>
      <c r="B2858" s="214"/>
    </row>
    <row r="2859" spans="1:2">
      <c r="A2859" s="218"/>
      <c r="B2859" s="214"/>
    </row>
    <row r="2860" spans="1:2">
      <c r="A2860" s="218"/>
      <c r="B2860" s="214"/>
    </row>
    <row r="2861" spans="1:2">
      <c r="A2861" s="218"/>
      <c r="B2861" s="214"/>
    </row>
    <row r="2862" spans="1:2">
      <c r="A2862" s="218"/>
      <c r="B2862" s="214"/>
    </row>
    <row r="2863" spans="1:2">
      <c r="A2863" s="218"/>
      <c r="B2863" s="214"/>
    </row>
    <row r="2864" spans="1:2">
      <c r="A2864" s="218"/>
      <c r="B2864" s="214"/>
    </row>
    <row r="2865" spans="1:2">
      <c r="A2865" s="218"/>
      <c r="B2865" s="214"/>
    </row>
    <row r="2866" spans="1:2">
      <c r="A2866" s="218"/>
      <c r="B2866" s="214"/>
    </row>
    <row r="2867" spans="1:2">
      <c r="A2867" s="218"/>
      <c r="B2867" s="214"/>
    </row>
    <row r="2868" spans="1:2">
      <c r="A2868" s="218"/>
      <c r="B2868" s="214"/>
    </row>
    <row r="2869" spans="1:2">
      <c r="A2869" s="218"/>
      <c r="B2869" s="214"/>
    </row>
    <row r="2870" spans="1:2">
      <c r="A2870" s="218"/>
      <c r="B2870" s="214"/>
    </row>
    <row r="2871" spans="1:2">
      <c r="A2871" s="218"/>
      <c r="B2871" s="214"/>
    </row>
    <row r="2872" spans="1:2">
      <c r="A2872" s="218"/>
      <c r="B2872" s="214"/>
    </row>
    <row r="2873" spans="1:2">
      <c r="A2873" s="218"/>
      <c r="B2873" s="214"/>
    </row>
    <row r="2874" spans="1:2">
      <c r="A2874" s="218"/>
      <c r="B2874" s="214"/>
    </row>
    <row r="2875" spans="1:2">
      <c r="A2875" s="218"/>
      <c r="B2875" s="214"/>
    </row>
    <row r="2876" spans="1:2">
      <c r="A2876" s="218"/>
      <c r="B2876" s="214"/>
    </row>
    <row r="2877" spans="1:2">
      <c r="A2877" s="218"/>
      <c r="B2877" s="214"/>
    </row>
    <row r="2878" spans="1:2">
      <c r="A2878" s="218"/>
      <c r="B2878" s="214"/>
    </row>
    <row r="2879" spans="1:2">
      <c r="A2879" s="218"/>
      <c r="B2879" s="214"/>
    </row>
    <row r="2880" spans="1:2">
      <c r="A2880" s="218"/>
      <c r="B2880" s="214"/>
    </row>
    <row r="2881" spans="1:2">
      <c r="A2881" s="218"/>
      <c r="B2881" s="214"/>
    </row>
    <row r="2882" spans="1:2">
      <c r="A2882" s="218"/>
      <c r="B2882" s="214"/>
    </row>
    <row r="2883" spans="1:2">
      <c r="A2883" s="218"/>
      <c r="B2883" s="214"/>
    </row>
    <row r="2884" spans="1:2">
      <c r="A2884" s="218"/>
      <c r="B2884" s="214"/>
    </row>
    <row r="2885" spans="1:2">
      <c r="A2885" s="218"/>
      <c r="B2885" s="214"/>
    </row>
    <row r="2886" spans="1:2">
      <c r="A2886" s="218"/>
      <c r="B2886" s="214"/>
    </row>
    <row r="2887" spans="1:2">
      <c r="A2887" s="218"/>
      <c r="B2887" s="214"/>
    </row>
    <row r="2888" spans="1:2">
      <c r="A2888" s="218"/>
      <c r="B2888" s="214"/>
    </row>
    <row r="2889" spans="1:2">
      <c r="A2889" s="218"/>
      <c r="B2889" s="214"/>
    </row>
    <row r="2890" spans="1:2">
      <c r="A2890" s="218"/>
      <c r="B2890" s="214"/>
    </row>
    <row r="2891" spans="1:2">
      <c r="A2891" s="218"/>
      <c r="B2891" s="214"/>
    </row>
    <row r="2892" spans="1:2">
      <c r="A2892" s="218"/>
      <c r="B2892" s="214"/>
    </row>
    <row r="2893" spans="1:2">
      <c r="A2893" s="218"/>
      <c r="B2893" s="214"/>
    </row>
    <row r="2894" spans="1:2">
      <c r="A2894" s="218"/>
      <c r="B2894" s="214"/>
    </row>
    <row r="2895" spans="1:2">
      <c r="A2895" s="218"/>
      <c r="B2895" s="214"/>
    </row>
    <row r="2896" spans="1:2">
      <c r="A2896" s="218"/>
      <c r="B2896" s="214"/>
    </row>
    <row r="2897" spans="1:2">
      <c r="A2897" s="218"/>
      <c r="B2897" s="214"/>
    </row>
    <row r="2898" spans="1:2">
      <c r="A2898" s="218"/>
      <c r="B2898" s="214"/>
    </row>
    <row r="2899" spans="1:2">
      <c r="A2899" s="218"/>
      <c r="B2899" s="214"/>
    </row>
    <row r="2900" spans="1:2">
      <c r="A2900" s="218"/>
      <c r="B2900" s="214"/>
    </row>
    <row r="2901" spans="1:2">
      <c r="A2901" s="218"/>
      <c r="B2901" s="214"/>
    </row>
    <row r="2902" spans="1:2">
      <c r="A2902" s="218"/>
      <c r="B2902" s="214"/>
    </row>
    <row r="2903" spans="1:2">
      <c r="A2903" s="218"/>
      <c r="B2903" s="214"/>
    </row>
    <row r="2904" spans="1:2">
      <c r="A2904" s="218"/>
      <c r="B2904" s="214"/>
    </row>
    <row r="2905" spans="1:2">
      <c r="A2905" s="218"/>
      <c r="B2905" s="214"/>
    </row>
    <row r="2906" spans="1:2">
      <c r="A2906" s="218"/>
      <c r="B2906" s="214"/>
    </row>
    <row r="2907" spans="1:2">
      <c r="A2907" s="218"/>
      <c r="B2907" s="214"/>
    </row>
    <row r="2908" spans="1:2">
      <c r="A2908" s="218"/>
      <c r="B2908" s="214"/>
    </row>
    <row r="2909" spans="1:2">
      <c r="A2909" s="218"/>
      <c r="B2909" s="214"/>
    </row>
    <row r="2910" spans="1:2">
      <c r="A2910" s="218"/>
      <c r="B2910" s="214"/>
    </row>
    <row r="2911" spans="1:2">
      <c r="A2911" s="218"/>
      <c r="B2911" s="214"/>
    </row>
    <row r="2912" spans="1:2">
      <c r="A2912" s="218"/>
      <c r="B2912" s="214"/>
    </row>
    <row r="2913" spans="1:2">
      <c r="A2913" s="218"/>
      <c r="B2913" s="214"/>
    </row>
    <row r="2914" spans="1:2">
      <c r="A2914" s="218"/>
      <c r="B2914" s="214"/>
    </row>
    <row r="2915" spans="1:2">
      <c r="A2915" s="218"/>
      <c r="B2915" s="214"/>
    </row>
    <row r="2916" spans="1:2">
      <c r="A2916" s="218"/>
      <c r="B2916" s="214"/>
    </row>
    <row r="2917" spans="1:2">
      <c r="A2917" s="218"/>
      <c r="B2917" s="214"/>
    </row>
    <row r="2918" spans="1:2">
      <c r="A2918" s="218"/>
      <c r="B2918" s="214"/>
    </row>
    <row r="2919" spans="1:2">
      <c r="A2919" s="218"/>
      <c r="B2919" s="214"/>
    </row>
    <row r="2920" spans="1:2">
      <c r="A2920" s="218"/>
      <c r="B2920" s="214"/>
    </row>
    <row r="2921" spans="1:2">
      <c r="A2921" s="218"/>
      <c r="B2921" s="214"/>
    </row>
    <row r="2922" spans="1:2">
      <c r="A2922" s="218"/>
      <c r="B2922" s="214"/>
    </row>
    <row r="2923" spans="1:2">
      <c r="A2923" s="218"/>
      <c r="B2923" s="214"/>
    </row>
    <row r="2924" spans="1:2">
      <c r="A2924" s="218"/>
      <c r="B2924" s="214"/>
    </row>
    <row r="2925" spans="1:2">
      <c r="A2925" s="218"/>
      <c r="B2925" s="214"/>
    </row>
    <row r="2926" spans="1:2">
      <c r="A2926" s="218"/>
      <c r="B2926" s="214"/>
    </row>
    <row r="2927" spans="1:2">
      <c r="A2927" s="218"/>
      <c r="B2927" s="214"/>
    </row>
    <row r="2928" spans="1:2">
      <c r="A2928" s="218"/>
      <c r="B2928" s="214"/>
    </row>
    <row r="2929" spans="1:2">
      <c r="A2929" s="218"/>
      <c r="B2929" s="214"/>
    </row>
    <row r="2930" spans="1:2">
      <c r="A2930" s="218"/>
      <c r="B2930" s="214"/>
    </row>
    <row r="2931" spans="1:2">
      <c r="A2931" s="218"/>
      <c r="B2931" s="214"/>
    </row>
    <row r="2932" spans="1:2">
      <c r="A2932" s="218"/>
      <c r="B2932" s="214"/>
    </row>
    <row r="2933" spans="1:2">
      <c r="A2933" s="218"/>
      <c r="B2933" s="214"/>
    </row>
    <row r="2934" spans="1:2">
      <c r="A2934" s="218"/>
      <c r="B2934" s="214"/>
    </row>
    <row r="2935" spans="1:2">
      <c r="A2935" s="218"/>
      <c r="B2935" s="214"/>
    </row>
    <row r="2936" spans="1:2">
      <c r="A2936" s="218"/>
      <c r="B2936" s="214"/>
    </row>
    <row r="2937" spans="1:2">
      <c r="A2937" s="218"/>
      <c r="B2937" s="214"/>
    </row>
    <row r="2938" spans="1:2">
      <c r="A2938" s="218"/>
      <c r="B2938" s="214"/>
    </row>
    <row r="2939" spans="1:2">
      <c r="A2939" s="218"/>
      <c r="B2939" s="214"/>
    </row>
    <row r="2940" spans="1:2">
      <c r="A2940" s="218"/>
      <c r="B2940" s="214"/>
    </row>
    <row r="2941" spans="1:2">
      <c r="A2941" s="218"/>
      <c r="B2941" s="214"/>
    </row>
    <row r="2942" spans="1:2">
      <c r="A2942" s="218"/>
      <c r="B2942" s="214"/>
    </row>
    <row r="2943" spans="1:2">
      <c r="A2943" s="218"/>
      <c r="B2943" s="214"/>
    </row>
    <row r="2944" spans="1:2">
      <c r="A2944" s="218"/>
      <c r="B2944" s="214"/>
    </row>
    <row r="2945" spans="1:2">
      <c r="A2945" s="218"/>
      <c r="B2945" s="214"/>
    </row>
    <row r="2946" spans="1:2">
      <c r="A2946" s="218"/>
      <c r="B2946" s="214"/>
    </row>
    <row r="2947" spans="1:2">
      <c r="A2947" s="218"/>
      <c r="B2947" s="214"/>
    </row>
    <row r="2948" spans="1:2">
      <c r="A2948" s="218"/>
      <c r="B2948" s="214"/>
    </row>
    <row r="2949" spans="1:2">
      <c r="A2949" s="218"/>
      <c r="B2949" s="214"/>
    </row>
    <row r="2950" spans="1:2">
      <c r="A2950" s="218"/>
      <c r="B2950" s="214"/>
    </row>
    <row r="2951" spans="1:2">
      <c r="A2951" s="218"/>
      <c r="B2951" s="214"/>
    </row>
    <row r="2952" spans="1:2">
      <c r="A2952" s="218"/>
      <c r="B2952" s="214"/>
    </row>
    <row r="2953" spans="1:2">
      <c r="A2953" s="218"/>
      <c r="B2953" s="214"/>
    </row>
    <row r="2954" spans="1:2">
      <c r="A2954" s="218"/>
      <c r="B2954" s="214"/>
    </row>
    <row r="2955" spans="1:2">
      <c r="A2955" s="218"/>
      <c r="B2955" s="214"/>
    </row>
    <row r="2956" spans="1:2">
      <c r="A2956" s="218"/>
      <c r="B2956" s="214"/>
    </row>
    <row r="2957" spans="1:2">
      <c r="A2957" s="218"/>
      <c r="B2957" s="214"/>
    </row>
    <row r="2958" spans="1:2">
      <c r="A2958" s="218"/>
      <c r="B2958" s="214"/>
    </row>
    <row r="2959" spans="1:2">
      <c r="A2959" s="218"/>
      <c r="B2959" s="214"/>
    </row>
    <row r="2960" spans="1:2">
      <c r="A2960" s="218"/>
      <c r="B2960" s="214"/>
    </row>
    <row r="2961" spans="1:2">
      <c r="A2961" s="218"/>
      <c r="B2961" s="214"/>
    </row>
    <row r="2962" spans="1:2">
      <c r="A2962" s="218"/>
      <c r="B2962" s="214"/>
    </row>
    <row r="2963" spans="1:2">
      <c r="A2963" s="218"/>
      <c r="B2963" s="214"/>
    </row>
    <row r="2964" spans="1:2">
      <c r="A2964" s="218"/>
      <c r="B2964" s="214"/>
    </row>
    <row r="2965" spans="1:2">
      <c r="A2965" s="218"/>
      <c r="B2965" s="214"/>
    </row>
    <row r="2966" spans="1:2">
      <c r="A2966" s="218"/>
      <c r="B2966" s="214"/>
    </row>
    <row r="2967" spans="1:2">
      <c r="A2967" s="218"/>
      <c r="B2967" s="214"/>
    </row>
    <row r="2968" spans="1:2">
      <c r="A2968" s="218"/>
      <c r="B2968" s="214"/>
    </row>
    <row r="2969" spans="1:2">
      <c r="A2969" s="218"/>
      <c r="B2969" s="214"/>
    </row>
    <row r="2970" spans="1:2">
      <c r="A2970" s="218"/>
      <c r="B2970" s="214"/>
    </row>
    <row r="2971" spans="1:2">
      <c r="A2971" s="218"/>
      <c r="B2971" s="214"/>
    </row>
    <row r="2972" spans="1:2">
      <c r="A2972" s="218"/>
      <c r="B2972" s="214"/>
    </row>
    <row r="2973" spans="1:2">
      <c r="A2973" s="218"/>
      <c r="B2973" s="214"/>
    </row>
    <row r="2974" spans="1:2">
      <c r="A2974" s="218"/>
      <c r="B2974" s="214"/>
    </row>
    <row r="2975" spans="1:2">
      <c r="A2975" s="218"/>
      <c r="B2975" s="214"/>
    </row>
    <row r="2976" spans="1:2">
      <c r="A2976" s="218"/>
      <c r="B2976" s="214"/>
    </row>
    <row r="2977" spans="1:2">
      <c r="A2977" s="218"/>
      <c r="B2977" s="214"/>
    </row>
    <row r="2978" spans="1:2">
      <c r="A2978" s="218"/>
      <c r="B2978" s="214"/>
    </row>
    <row r="2979" spans="1:2">
      <c r="A2979" s="218"/>
      <c r="B2979" s="214"/>
    </row>
    <row r="2980" spans="1:2">
      <c r="A2980" s="218"/>
      <c r="B2980" s="214"/>
    </row>
    <row r="2981" spans="1:2">
      <c r="A2981" s="218"/>
      <c r="B2981" s="214"/>
    </row>
    <row r="2982" spans="1:2">
      <c r="A2982" s="218"/>
      <c r="B2982" s="214"/>
    </row>
    <row r="2983" spans="1:2">
      <c r="A2983" s="218"/>
      <c r="B2983" s="214"/>
    </row>
    <row r="2984" spans="1:2">
      <c r="A2984" s="218"/>
      <c r="B2984" s="214"/>
    </row>
    <row r="2985" spans="1:2">
      <c r="A2985" s="218"/>
      <c r="B2985" s="214"/>
    </row>
    <row r="2986" spans="1:2">
      <c r="A2986" s="218"/>
      <c r="B2986" s="214"/>
    </row>
    <row r="2987" spans="1:2">
      <c r="A2987" s="218"/>
      <c r="B2987" s="214"/>
    </row>
    <row r="2988" spans="1:2">
      <c r="A2988" s="218"/>
      <c r="B2988" s="214"/>
    </row>
    <row r="2989" spans="1:2">
      <c r="A2989" s="218"/>
      <c r="B2989" s="214"/>
    </row>
    <row r="2990" spans="1:2">
      <c r="A2990" s="218"/>
      <c r="B2990" s="214"/>
    </row>
    <row r="2991" spans="1:2">
      <c r="A2991" s="218"/>
      <c r="B2991" s="214"/>
    </row>
    <row r="2992" spans="1:2">
      <c r="A2992" s="218"/>
      <c r="B2992" s="214"/>
    </row>
    <row r="2993" spans="1:2">
      <c r="A2993" s="218"/>
      <c r="B2993" s="214"/>
    </row>
    <row r="2994" spans="1:2">
      <c r="A2994" s="218"/>
      <c r="B2994" s="214"/>
    </row>
    <row r="2995" spans="1:2">
      <c r="A2995" s="218"/>
      <c r="B2995" s="214"/>
    </row>
    <row r="2996" spans="1:2">
      <c r="A2996" s="218"/>
      <c r="B2996" s="214"/>
    </row>
    <row r="2997" spans="1:2">
      <c r="A2997" s="218"/>
      <c r="B2997" s="214"/>
    </row>
    <row r="2998" spans="1:2">
      <c r="A2998" s="218"/>
      <c r="B2998" s="214"/>
    </row>
    <row r="2999" spans="1:2">
      <c r="A2999" s="218"/>
      <c r="B2999" s="214"/>
    </row>
    <row r="3000" spans="1:2">
      <c r="A3000" s="218"/>
      <c r="B3000" s="214"/>
    </row>
    <row r="3001" spans="1:2">
      <c r="A3001" s="218"/>
      <c r="B3001" s="214"/>
    </row>
    <row r="3002" spans="1:2">
      <c r="A3002" s="218"/>
      <c r="B3002" s="214"/>
    </row>
    <row r="3003" spans="1:2">
      <c r="A3003" s="218"/>
      <c r="B3003" s="214"/>
    </row>
    <row r="3004" spans="1:2">
      <c r="A3004" s="218"/>
      <c r="B3004" s="214"/>
    </row>
    <row r="3005" spans="1:2">
      <c r="A3005" s="218"/>
      <c r="B3005" s="214"/>
    </row>
    <row r="3006" spans="1:2">
      <c r="A3006" s="218"/>
      <c r="B3006" s="214"/>
    </row>
    <row r="3007" spans="1:2">
      <c r="A3007" s="218"/>
      <c r="B3007" s="214"/>
    </row>
    <row r="3008" spans="1:2">
      <c r="A3008" s="218"/>
      <c r="B3008" s="214"/>
    </row>
    <row r="3009" spans="1:2">
      <c r="A3009" s="218"/>
      <c r="B3009" s="214"/>
    </row>
    <row r="3010" spans="1:2">
      <c r="A3010" s="218"/>
      <c r="B3010" s="214"/>
    </row>
    <row r="3011" spans="1:2">
      <c r="A3011" s="218"/>
      <c r="B3011" s="214"/>
    </row>
    <row r="3012" spans="1:2">
      <c r="A3012" s="218"/>
      <c r="B3012" s="214"/>
    </row>
    <row r="3013" spans="1:2">
      <c r="A3013" s="218"/>
      <c r="B3013" s="214"/>
    </row>
    <row r="3014" spans="1:2">
      <c r="A3014" s="218"/>
      <c r="B3014" s="214"/>
    </row>
    <row r="3015" spans="1:2">
      <c r="A3015" s="218"/>
      <c r="B3015" s="214"/>
    </row>
    <row r="3016" spans="1:2">
      <c r="A3016" s="218"/>
      <c r="B3016" s="214"/>
    </row>
    <row r="3017" spans="1:2">
      <c r="A3017" s="218"/>
      <c r="B3017" s="214"/>
    </row>
    <row r="3018" spans="1:2">
      <c r="A3018" s="218"/>
      <c r="B3018" s="214"/>
    </row>
    <row r="3019" spans="1:2">
      <c r="A3019" s="218"/>
      <c r="B3019" s="214"/>
    </row>
    <row r="3020" spans="1:2">
      <c r="A3020" s="218"/>
      <c r="B3020" s="214"/>
    </row>
    <row r="3021" spans="1:2">
      <c r="A3021" s="218"/>
      <c r="B3021" s="214"/>
    </row>
    <row r="3022" spans="1:2">
      <c r="A3022" s="218"/>
      <c r="B3022" s="214"/>
    </row>
    <row r="3023" spans="1:2">
      <c r="A3023" s="218"/>
      <c r="B3023" s="214"/>
    </row>
    <row r="3024" spans="1:2">
      <c r="A3024" s="218"/>
      <c r="B3024" s="214"/>
    </row>
    <row r="3025" spans="1:2">
      <c r="A3025" s="218"/>
      <c r="B3025" s="214"/>
    </row>
    <row r="3026" spans="1:2">
      <c r="A3026" s="218"/>
      <c r="B3026" s="214"/>
    </row>
    <row r="3027" spans="1:2">
      <c r="A3027" s="218"/>
      <c r="B3027" s="214"/>
    </row>
    <row r="3028" spans="1:2">
      <c r="A3028" s="218"/>
      <c r="B3028" s="214"/>
    </row>
    <row r="3029" spans="1:2">
      <c r="A3029" s="218"/>
      <c r="B3029" s="214"/>
    </row>
    <row r="3030" spans="1:2">
      <c r="A3030" s="218"/>
      <c r="B3030" s="214"/>
    </row>
    <row r="3031" spans="1:2">
      <c r="A3031" s="218"/>
      <c r="B3031" s="214"/>
    </row>
    <row r="3032" spans="1:2">
      <c r="A3032" s="218"/>
      <c r="B3032" s="214"/>
    </row>
    <row r="3033" spans="1:2">
      <c r="A3033" s="218"/>
      <c r="B3033" s="214"/>
    </row>
    <row r="3034" spans="1:2">
      <c r="A3034" s="218"/>
      <c r="B3034" s="214"/>
    </row>
    <row r="3035" spans="1:2">
      <c r="A3035" s="218"/>
      <c r="B3035" s="214"/>
    </row>
    <row r="3036" spans="1:2">
      <c r="A3036" s="218"/>
      <c r="B3036" s="214"/>
    </row>
    <row r="3037" spans="1:2">
      <c r="A3037" s="218"/>
      <c r="B3037" s="214"/>
    </row>
    <row r="3038" spans="1:2">
      <c r="A3038" s="218"/>
      <c r="B3038" s="214"/>
    </row>
    <row r="3039" spans="1:2">
      <c r="A3039" s="218"/>
      <c r="B3039" s="214"/>
    </row>
    <row r="3040" spans="1:2">
      <c r="A3040" s="218"/>
      <c r="B3040" s="214"/>
    </row>
    <row r="3041" spans="1:2">
      <c r="A3041" s="218"/>
      <c r="B3041" s="214"/>
    </row>
    <row r="3042" spans="1:2">
      <c r="A3042" s="218"/>
      <c r="B3042" s="214"/>
    </row>
    <row r="3043" spans="1:2">
      <c r="A3043" s="218"/>
      <c r="B3043" s="214"/>
    </row>
    <row r="3044" spans="1:2">
      <c r="A3044" s="218"/>
      <c r="B3044" s="214"/>
    </row>
    <row r="3045" spans="1:2">
      <c r="A3045" s="218"/>
      <c r="B3045" s="214"/>
    </row>
    <row r="3046" spans="1:2">
      <c r="A3046" s="218"/>
      <c r="B3046" s="214"/>
    </row>
    <row r="3047" spans="1:2">
      <c r="A3047" s="218"/>
      <c r="B3047" s="214"/>
    </row>
    <row r="3048" spans="1:2">
      <c r="A3048" s="218"/>
      <c r="B3048" s="214"/>
    </row>
    <row r="3049" spans="1:2">
      <c r="A3049" s="218"/>
      <c r="B3049" s="214"/>
    </row>
    <row r="3050" spans="1:2">
      <c r="A3050" s="218"/>
      <c r="B3050" s="214"/>
    </row>
    <row r="3051" spans="1:2">
      <c r="A3051" s="218"/>
      <c r="B3051" s="214"/>
    </row>
    <row r="3052" spans="1:2">
      <c r="A3052" s="218"/>
      <c r="B3052" s="214"/>
    </row>
    <row r="3053" spans="1:2">
      <c r="A3053" s="218"/>
      <c r="B3053" s="214"/>
    </row>
    <row r="3054" spans="1:2">
      <c r="A3054" s="218"/>
      <c r="B3054" s="214"/>
    </row>
    <row r="3055" spans="1:2">
      <c r="A3055" s="218"/>
      <c r="B3055" s="214"/>
    </row>
    <row r="3056" spans="1:2">
      <c r="A3056" s="218"/>
      <c r="B3056" s="214"/>
    </row>
    <row r="3057" spans="1:2">
      <c r="A3057" s="218"/>
      <c r="B3057" s="214"/>
    </row>
    <row r="3058" spans="1:2">
      <c r="A3058" s="218"/>
      <c r="B3058" s="214"/>
    </row>
    <row r="3059" spans="1:2">
      <c r="A3059" s="218"/>
      <c r="B3059" s="214"/>
    </row>
    <row r="3060" spans="1:2">
      <c r="A3060" s="218"/>
      <c r="B3060" s="214"/>
    </row>
    <row r="3061" spans="1:2">
      <c r="A3061" s="218"/>
      <c r="B3061" s="214"/>
    </row>
    <row r="3062" spans="1:2">
      <c r="A3062" s="218"/>
      <c r="B3062" s="214"/>
    </row>
    <row r="3063" spans="1:2">
      <c r="A3063" s="218"/>
      <c r="B3063" s="214"/>
    </row>
    <row r="3064" spans="1:2">
      <c r="A3064" s="218"/>
      <c r="B3064" s="214"/>
    </row>
    <row r="3065" spans="1:2">
      <c r="A3065" s="218"/>
      <c r="B3065" s="214"/>
    </row>
    <row r="3066" spans="1:2">
      <c r="A3066" s="218"/>
      <c r="B3066" s="214"/>
    </row>
    <row r="3067" spans="1:2">
      <c r="A3067" s="218"/>
      <c r="B3067" s="214"/>
    </row>
    <row r="3068" spans="1:2">
      <c r="A3068" s="218"/>
      <c r="B3068" s="214"/>
    </row>
    <row r="3069" spans="1:2">
      <c r="A3069" s="218"/>
      <c r="B3069" s="214"/>
    </row>
    <row r="3070" spans="1:2">
      <c r="A3070" s="218"/>
      <c r="B3070" s="214"/>
    </row>
    <row r="3071" spans="1:2">
      <c r="A3071" s="218"/>
      <c r="B3071" s="214"/>
    </row>
    <row r="3072" spans="1:2">
      <c r="A3072" s="218"/>
      <c r="B3072" s="214"/>
    </row>
    <row r="3073" spans="1:2">
      <c r="A3073" s="218"/>
      <c r="B3073" s="214"/>
    </row>
    <row r="3074" spans="1:2">
      <c r="A3074" s="218"/>
      <c r="B3074" s="214"/>
    </row>
    <row r="3075" spans="1:2">
      <c r="A3075" s="218"/>
      <c r="B3075" s="214"/>
    </row>
    <row r="3076" spans="1:2">
      <c r="A3076" s="218"/>
      <c r="B3076" s="214"/>
    </row>
    <row r="3077" spans="1:2">
      <c r="A3077" s="218"/>
      <c r="B3077" s="214"/>
    </row>
    <row r="3078" spans="1:2">
      <c r="A3078" s="218"/>
      <c r="B3078" s="214"/>
    </row>
    <row r="3079" spans="1:2">
      <c r="A3079" s="218"/>
      <c r="B3079" s="214"/>
    </row>
    <row r="3080" spans="1:2">
      <c r="A3080" s="218"/>
      <c r="B3080" s="214"/>
    </row>
    <row r="3081" spans="1:2">
      <c r="A3081" s="218"/>
      <c r="B3081" s="214"/>
    </row>
    <row r="3082" spans="1:2">
      <c r="A3082" s="218"/>
      <c r="B3082" s="214"/>
    </row>
    <row r="3083" spans="1:2">
      <c r="A3083" s="218"/>
      <c r="B3083" s="214"/>
    </row>
    <row r="3084" spans="1:2">
      <c r="A3084" s="218"/>
      <c r="B3084" s="214"/>
    </row>
    <row r="3085" spans="1:2">
      <c r="A3085" s="218"/>
      <c r="B3085" s="214"/>
    </row>
    <row r="3086" spans="1:2">
      <c r="A3086" s="218"/>
      <c r="B3086" s="214"/>
    </row>
    <row r="3087" spans="1:2">
      <c r="A3087" s="218"/>
      <c r="B3087" s="214"/>
    </row>
    <row r="3088" spans="1:2">
      <c r="A3088" s="218"/>
      <c r="B3088" s="214"/>
    </row>
    <row r="3089" spans="1:2">
      <c r="A3089" s="218"/>
      <c r="B3089" s="214"/>
    </row>
    <row r="3090" spans="1:2">
      <c r="A3090" s="218"/>
      <c r="B3090" s="214"/>
    </row>
    <row r="3091" spans="1:2">
      <c r="A3091" s="218"/>
      <c r="B3091" s="214"/>
    </row>
    <row r="3092" spans="1:2">
      <c r="A3092" s="218"/>
      <c r="B3092" s="214"/>
    </row>
    <row r="3093" spans="1:2">
      <c r="A3093" s="218"/>
      <c r="B3093" s="214"/>
    </row>
    <row r="3094" spans="1:2">
      <c r="A3094" s="218"/>
      <c r="B3094" s="214"/>
    </row>
    <row r="3095" spans="1:2">
      <c r="A3095" s="218"/>
      <c r="B3095" s="214"/>
    </row>
    <row r="3096" spans="1:2">
      <c r="A3096" s="218"/>
      <c r="B3096" s="214"/>
    </row>
    <row r="3097" spans="1:2">
      <c r="A3097" s="218"/>
      <c r="B3097" s="214"/>
    </row>
    <row r="3098" spans="1:2">
      <c r="A3098" s="218"/>
      <c r="B3098" s="214"/>
    </row>
    <row r="3099" spans="1:2">
      <c r="A3099" s="218"/>
      <c r="B3099" s="214"/>
    </row>
    <row r="3100" spans="1:2">
      <c r="A3100" s="218"/>
      <c r="B3100" s="214"/>
    </row>
    <row r="3101" spans="1:2">
      <c r="A3101" s="218"/>
      <c r="B3101" s="214"/>
    </row>
    <row r="3102" spans="1:2">
      <c r="A3102" s="218"/>
      <c r="B3102" s="214"/>
    </row>
    <row r="3103" spans="1:2">
      <c r="A3103" s="218"/>
      <c r="B3103" s="214"/>
    </row>
    <row r="3104" spans="1:2">
      <c r="A3104" s="218"/>
      <c r="B3104" s="214"/>
    </row>
    <row r="3105" spans="1:2">
      <c r="A3105" s="218"/>
      <c r="B3105" s="214"/>
    </row>
    <row r="3106" spans="1:2">
      <c r="A3106" s="218"/>
      <c r="B3106" s="214"/>
    </row>
    <row r="3107" spans="1:2">
      <c r="A3107" s="218"/>
      <c r="B3107" s="214"/>
    </row>
    <row r="3108" spans="1:2">
      <c r="A3108" s="218"/>
      <c r="B3108" s="214"/>
    </row>
    <row r="3109" spans="1:2">
      <c r="A3109" s="218"/>
      <c r="B3109" s="214"/>
    </row>
    <row r="3110" spans="1:2">
      <c r="A3110" s="218"/>
      <c r="B3110" s="214"/>
    </row>
    <row r="3111" spans="1:2">
      <c r="A3111" s="218"/>
      <c r="B3111" s="214"/>
    </row>
    <row r="3112" spans="1:2">
      <c r="A3112" s="218"/>
      <c r="B3112" s="214"/>
    </row>
    <row r="3113" spans="1:2">
      <c r="A3113" s="218"/>
      <c r="B3113" s="214"/>
    </row>
    <row r="3114" spans="1:2">
      <c r="A3114" s="218"/>
      <c r="B3114" s="214"/>
    </row>
    <row r="3115" spans="1:2">
      <c r="A3115" s="218"/>
      <c r="B3115" s="214"/>
    </row>
    <row r="3116" spans="1:2">
      <c r="A3116" s="218"/>
      <c r="B3116" s="214"/>
    </row>
    <row r="3117" spans="1:2">
      <c r="A3117" s="218"/>
      <c r="B3117" s="214"/>
    </row>
    <row r="3118" spans="1:2">
      <c r="A3118" s="218"/>
      <c r="B3118" s="214"/>
    </row>
    <row r="3119" spans="1:2">
      <c r="A3119" s="218"/>
      <c r="B3119" s="214"/>
    </row>
    <row r="3120" spans="1:2">
      <c r="A3120" s="218"/>
      <c r="B3120" s="214"/>
    </row>
    <row r="3121" spans="1:2">
      <c r="A3121" s="218"/>
      <c r="B3121" s="214"/>
    </row>
    <row r="3122" spans="1:2">
      <c r="A3122" s="218"/>
      <c r="B3122" s="214"/>
    </row>
    <row r="3123" spans="1:2">
      <c r="A3123" s="218"/>
      <c r="B3123" s="214"/>
    </row>
    <row r="3124" spans="1:2">
      <c r="A3124" s="218"/>
      <c r="B3124" s="214"/>
    </row>
    <row r="3125" spans="1:2">
      <c r="A3125" s="218"/>
      <c r="B3125" s="214"/>
    </row>
    <row r="3126" spans="1:2">
      <c r="A3126" s="218"/>
      <c r="B3126" s="214"/>
    </row>
    <row r="3127" spans="1:2">
      <c r="A3127" s="218"/>
      <c r="B3127" s="214"/>
    </row>
    <row r="3128" spans="1:2">
      <c r="A3128" s="218"/>
      <c r="B3128" s="214"/>
    </row>
    <row r="3129" spans="1:2">
      <c r="A3129" s="218"/>
      <c r="B3129" s="214"/>
    </row>
    <row r="3130" spans="1:2">
      <c r="A3130" s="218"/>
      <c r="B3130" s="214"/>
    </row>
    <row r="3131" spans="1:2">
      <c r="A3131" s="218"/>
      <c r="B3131" s="214"/>
    </row>
    <row r="3132" spans="1:2">
      <c r="A3132" s="218"/>
      <c r="B3132" s="214"/>
    </row>
    <row r="3133" spans="1:2">
      <c r="A3133" s="218"/>
      <c r="B3133" s="214"/>
    </row>
    <row r="3134" spans="1:2">
      <c r="A3134" s="218"/>
      <c r="B3134" s="214"/>
    </row>
    <row r="3135" spans="1:2">
      <c r="A3135" s="218"/>
      <c r="B3135" s="214"/>
    </row>
    <row r="3136" spans="1:2">
      <c r="A3136" s="218"/>
      <c r="B3136" s="214"/>
    </row>
    <row r="3137" spans="1:2">
      <c r="A3137" s="218"/>
      <c r="B3137" s="214"/>
    </row>
    <row r="3138" spans="1:2">
      <c r="A3138" s="218"/>
      <c r="B3138" s="214"/>
    </row>
    <row r="3139" spans="1:2">
      <c r="A3139" s="218"/>
      <c r="B3139" s="214"/>
    </row>
    <row r="3140" spans="1:2">
      <c r="A3140" s="218"/>
      <c r="B3140" s="214"/>
    </row>
    <row r="3141" spans="1:2">
      <c r="A3141" s="218"/>
      <c r="B3141" s="214"/>
    </row>
    <row r="3142" spans="1:2">
      <c r="A3142" s="218"/>
      <c r="B3142" s="214"/>
    </row>
    <row r="3143" spans="1:2">
      <c r="A3143" s="218"/>
      <c r="B3143" s="214"/>
    </row>
    <row r="3144" spans="1:2">
      <c r="A3144" s="218"/>
      <c r="B3144" s="214"/>
    </row>
    <row r="3145" spans="1:2">
      <c r="A3145" s="218"/>
      <c r="B3145" s="214"/>
    </row>
    <row r="3146" spans="1:2">
      <c r="A3146" s="218"/>
      <c r="B3146" s="214"/>
    </row>
    <row r="3147" spans="1:2">
      <c r="A3147" s="218"/>
      <c r="B3147" s="214"/>
    </row>
    <row r="3148" spans="1:2">
      <c r="A3148" s="218"/>
      <c r="B3148" s="214"/>
    </row>
    <row r="3149" spans="1:2">
      <c r="A3149" s="218"/>
      <c r="B3149" s="214"/>
    </row>
    <row r="3150" spans="1:2">
      <c r="A3150" s="218"/>
      <c r="B3150" s="214"/>
    </row>
    <row r="3151" spans="1:2">
      <c r="A3151" s="218"/>
      <c r="B3151" s="214"/>
    </row>
    <row r="3152" spans="1:2">
      <c r="A3152" s="218"/>
      <c r="B3152" s="214"/>
    </row>
    <row r="3153" spans="1:2">
      <c r="A3153" s="218"/>
      <c r="B3153" s="214"/>
    </row>
    <row r="3154" spans="1:2">
      <c r="A3154" s="218"/>
      <c r="B3154" s="214"/>
    </row>
    <row r="3155" spans="1:2">
      <c r="A3155" s="218"/>
      <c r="B3155" s="214"/>
    </row>
    <row r="3156" spans="1:2">
      <c r="A3156" s="218"/>
      <c r="B3156" s="214"/>
    </row>
    <row r="3157" spans="1:2">
      <c r="A3157" s="218"/>
      <c r="B3157" s="214"/>
    </row>
    <row r="3158" spans="1:2">
      <c r="A3158" s="218"/>
      <c r="B3158" s="214"/>
    </row>
    <row r="3159" spans="1:2">
      <c r="A3159" s="218"/>
      <c r="B3159" s="214"/>
    </row>
    <row r="3160" spans="1:2">
      <c r="A3160" s="218"/>
      <c r="B3160" s="214"/>
    </row>
    <row r="3161" spans="1:2">
      <c r="A3161" s="218"/>
      <c r="B3161" s="214"/>
    </row>
    <row r="3162" spans="1:2">
      <c r="A3162" s="218"/>
      <c r="B3162" s="214"/>
    </row>
    <row r="3163" spans="1:2">
      <c r="A3163" s="218"/>
      <c r="B3163" s="214"/>
    </row>
    <row r="3164" spans="1:2">
      <c r="A3164" s="218"/>
      <c r="B3164" s="214"/>
    </row>
    <row r="3165" spans="1:2">
      <c r="A3165" s="218"/>
      <c r="B3165" s="214"/>
    </row>
    <row r="3166" spans="1:2">
      <c r="A3166" s="218"/>
      <c r="B3166" s="214"/>
    </row>
    <row r="3167" spans="1:2">
      <c r="A3167" s="218"/>
      <c r="B3167" s="214"/>
    </row>
    <row r="3168" spans="1:2">
      <c r="A3168" s="218"/>
      <c r="B3168" s="214"/>
    </row>
    <row r="3169" spans="1:2">
      <c r="A3169" s="218"/>
      <c r="B3169" s="214"/>
    </row>
    <row r="3170" spans="1:2">
      <c r="A3170" s="218"/>
      <c r="B3170" s="214"/>
    </row>
    <row r="3171" spans="1:2">
      <c r="A3171" s="218"/>
      <c r="B3171" s="214"/>
    </row>
    <row r="3172" spans="1:2">
      <c r="A3172" s="218"/>
      <c r="B3172" s="214"/>
    </row>
    <row r="3173" spans="1:2">
      <c r="A3173" s="218"/>
      <c r="B3173" s="214"/>
    </row>
    <row r="3174" spans="1:2">
      <c r="A3174" s="218"/>
      <c r="B3174" s="214"/>
    </row>
    <row r="3175" spans="1:2">
      <c r="A3175" s="218"/>
      <c r="B3175" s="214"/>
    </row>
    <row r="3176" spans="1:2">
      <c r="A3176" s="218"/>
      <c r="B3176" s="214"/>
    </row>
    <row r="3177" spans="1:2">
      <c r="A3177" s="218"/>
      <c r="B3177" s="214"/>
    </row>
    <row r="3178" spans="1:2">
      <c r="A3178" s="218"/>
      <c r="B3178" s="214"/>
    </row>
    <row r="3179" spans="1:2">
      <c r="A3179" s="218"/>
      <c r="B3179" s="214"/>
    </row>
    <row r="3180" spans="1:2">
      <c r="A3180" s="218"/>
      <c r="B3180" s="214"/>
    </row>
    <row r="3181" spans="1:2">
      <c r="A3181" s="218"/>
      <c r="B3181" s="214"/>
    </row>
    <row r="3182" spans="1:2">
      <c r="A3182" s="218"/>
      <c r="B3182" s="214"/>
    </row>
    <row r="3183" spans="1:2">
      <c r="A3183" s="218"/>
      <c r="B3183" s="214"/>
    </row>
    <row r="3184" spans="1:2">
      <c r="A3184" s="218"/>
      <c r="B3184" s="214"/>
    </row>
    <row r="3185" spans="1:2">
      <c r="A3185" s="218"/>
      <c r="B3185" s="214"/>
    </row>
    <row r="3186" spans="1:2">
      <c r="A3186" s="218"/>
      <c r="B3186" s="214"/>
    </row>
    <row r="3187" spans="1:2">
      <c r="A3187" s="218"/>
      <c r="B3187" s="214"/>
    </row>
    <row r="3188" spans="1:2">
      <c r="A3188" s="218"/>
      <c r="B3188" s="214"/>
    </row>
    <row r="3189" spans="1:2">
      <c r="A3189" s="218"/>
      <c r="B3189" s="214"/>
    </row>
    <row r="3190" spans="1:2">
      <c r="A3190" s="218"/>
      <c r="B3190" s="214"/>
    </row>
    <row r="3191" spans="1:2">
      <c r="A3191" s="218"/>
      <c r="B3191" s="214"/>
    </row>
    <row r="3192" spans="1:2">
      <c r="A3192" s="218"/>
      <c r="B3192" s="214"/>
    </row>
    <row r="3193" spans="1:2">
      <c r="A3193" s="218"/>
      <c r="B3193" s="214"/>
    </row>
    <row r="3194" spans="1:2">
      <c r="A3194" s="218"/>
      <c r="B3194" s="214"/>
    </row>
    <row r="3195" spans="1:2">
      <c r="A3195" s="218"/>
      <c r="B3195" s="214"/>
    </row>
    <row r="3196" spans="1:2">
      <c r="A3196" s="218"/>
      <c r="B3196" s="214"/>
    </row>
    <row r="3197" spans="1:2">
      <c r="A3197" s="218"/>
      <c r="B3197" s="214"/>
    </row>
    <row r="3198" spans="1:2">
      <c r="A3198" s="218"/>
      <c r="B3198" s="214"/>
    </row>
    <row r="3199" spans="1:2">
      <c r="A3199" s="218"/>
      <c r="B3199" s="214"/>
    </row>
    <row r="3200" spans="1:2">
      <c r="A3200" s="218"/>
      <c r="B3200" s="214"/>
    </row>
    <row r="3201" spans="1:2">
      <c r="A3201" s="218"/>
      <c r="B3201" s="214"/>
    </row>
    <row r="3202" spans="1:2">
      <c r="A3202" s="218"/>
      <c r="B3202" s="214"/>
    </row>
    <row r="3203" spans="1:2">
      <c r="A3203" s="218"/>
      <c r="B3203" s="214"/>
    </row>
    <row r="3204" spans="1:2">
      <c r="A3204" s="218"/>
      <c r="B3204" s="214"/>
    </row>
    <row r="3205" spans="1:2">
      <c r="A3205" s="218"/>
      <c r="B3205" s="214"/>
    </row>
    <row r="3206" spans="1:2">
      <c r="A3206" s="218"/>
      <c r="B3206" s="214"/>
    </row>
    <row r="3207" spans="1:2">
      <c r="A3207" s="218"/>
      <c r="B3207" s="214"/>
    </row>
    <row r="3208" spans="1:2">
      <c r="A3208" s="218"/>
      <c r="B3208" s="214"/>
    </row>
    <row r="3209" spans="1:2">
      <c r="A3209" s="218"/>
      <c r="B3209" s="214"/>
    </row>
    <row r="3210" spans="1:2">
      <c r="A3210" s="218"/>
      <c r="B3210" s="214"/>
    </row>
    <row r="3211" spans="1:2">
      <c r="A3211" s="218"/>
      <c r="B3211" s="214"/>
    </row>
    <row r="3212" spans="1:2">
      <c r="A3212" s="218"/>
      <c r="B3212" s="214"/>
    </row>
    <row r="3213" spans="1:2">
      <c r="A3213" s="218"/>
      <c r="B3213" s="214"/>
    </row>
    <row r="3214" spans="1:2">
      <c r="A3214" s="218"/>
      <c r="B3214" s="214"/>
    </row>
    <row r="3215" spans="1:2">
      <c r="A3215" s="218"/>
      <c r="B3215" s="214"/>
    </row>
    <row r="3216" spans="1:2">
      <c r="A3216" s="218"/>
      <c r="B3216" s="214"/>
    </row>
    <row r="3217" spans="1:2">
      <c r="A3217" s="218"/>
      <c r="B3217" s="214"/>
    </row>
    <row r="3218" spans="1:2">
      <c r="A3218" s="218"/>
      <c r="B3218" s="214"/>
    </row>
    <row r="3219" spans="1:2">
      <c r="A3219" s="218"/>
      <c r="B3219" s="214"/>
    </row>
    <row r="3220" spans="1:2">
      <c r="A3220" s="218"/>
      <c r="B3220" s="214"/>
    </row>
    <row r="3221" spans="1:2">
      <c r="A3221" s="218"/>
      <c r="B3221" s="214"/>
    </row>
    <row r="3222" spans="1:2">
      <c r="A3222" s="218"/>
      <c r="B3222" s="214"/>
    </row>
    <row r="3223" spans="1:2">
      <c r="A3223" s="218"/>
      <c r="B3223" s="214"/>
    </row>
    <row r="3224" spans="1:2">
      <c r="A3224" s="218"/>
      <c r="B3224" s="214"/>
    </row>
    <row r="3225" spans="1:2">
      <c r="A3225" s="218"/>
      <c r="B3225" s="214"/>
    </row>
    <row r="3226" spans="1:2">
      <c r="A3226" s="218"/>
      <c r="B3226" s="214"/>
    </row>
    <row r="3227" spans="1:2">
      <c r="A3227" s="218"/>
      <c r="B3227" s="214"/>
    </row>
    <row r="3228" spans="1:2">
      <c r="A3228" s="218"/>
      <c r="B3228" s="214"/>
    </row>
    <row r="3229" spans="1:2">
      <c r="A3229" s="218"/>
      <c r="B3229" s="214"/>
    </row>
    <row r="3230" spans="1:2">
      <c r="A3230" s="218"/>
      <c r="B3230" s="214"/>
    </row>
    <row r="3231" spans="1:2">
      <c r="A3231" s="218"/>
      <c r="B3231" s="214"/>
    </row>
    <row r="3232" spans="1:2">
      <c r="A3232" s="218"/>
      <c r="B3232" s="214"/>
    </row>
    <row r="3233" spans="1:2">
      <c r="A3233" s="218"/>
      <c r="B3233" s="214"/>
    </row>
    <row r="3234" spans="1:2">
      <c r="A3234" s="218"/>
      <c r="B3234" s="214"/>
    </row>
    <row r="3235" spans="1:2">
      <c r="A3235" s="218"/>
      <c r="B3235" s="214"/>
    </row>
    <row r="3236" spans="1:2">
      <c r="A3236" s="218"/>
      <c r="B3236" s="214"/>
    </row>
    <row r="3237" spans="1:2">
      <c r="A3237" s="218"/>
      <c r="B3237" s="214"/>
    </row>
    <row r="3238" spans="1:2">
      <c r="A3238" s="218"/>
      <c r="B3238" s="214"/>
    </row>
    <row r="3239" spans="1:2">
      <c r="A3239" s="218"/>
      <c r="B3239" s="214"/>
    </row>
    <row r="3240" spans="1:2">
      <c r="A3240" s="218"/>
      <c r="B3240" s="214"/>
    </row>
    <row r="3241" spans="1:2">
      <c r="A3241" s="218"/>
      <c r="B3241" s="214"/>
    </row>
    <row r="3242" spans="1:2">
      <c r="A3242" s="218"/>
      <c r="B3242" s="214"/>
    </row>
    <row r="3243" spans="1:2">
      <c r="A3243" s="218"/>
      <c r="B3243" s="214"/>
    </row>
    <row r="3244" spans="1:2">
      <c r="A3244" s="218"/>
      <c r="B3244" s="214"/>
    </row>
    <row r="3245" spans="1:2">
      <c r="A3245" s="218"/>
      <c r="B3245" s="214"/>
    </row>
    <row r="3246" spans="1:2">
      <c r="A3246" s="218"/>
      <c r="B3246" s="214"/>
    </row>
    <row r="3247" spans="1:2">
      <c r="A3247" s="218"/>
      <c r="B3247" s="214"/>
    </row>
    <row r="3248" spans="1:2">
      <c r="A3248" s="218"/>
      <c r="B3248" s="214"/>
    </row>
    <row r="3249" spans="1:2">
      <c r="A3249" s="218"/>
      <c r="B3249" s="214"/>
    </row>
    <row r="3250" spans="1:2">
      <c r="A3250" s="218"/>
      <c r="B3250" s="214"/>
    </row>
    <row r="3251" spans="1:2">
      <c r="A3251" s="218"/>
      <c r="B3251" s="214"/>
    </row>
    <row r="3252" spans="1:2">
      <c r="A3252" s="218"/>
      <c r="B3252" s="214"/>
    </row>
    <row r="3253" spans="1:2">
      <c r="A3253" s="218"/>
      <c r="B3253" s="214"/>
    </row>
    <row r="3254" spans="1:2">
      <c r="A3254" s="218"/>
      <c r="B3254" s="214"/>
    </row>
    <row r="3255" spans="1:2">
      <c r="A3255" s="218"/>
      <c r="B3255" s="214"/>
    </row>
    <row r="3256" spans="1:2">
      <c r="A3256" s="218"/>
      <c r="B3256" s="214"/>
    </row>
    <row r="3257" spans="1:2">
      <c r="A3257" s="218"/>
      <c r="B3257" s="214"/>
    </row>
    <row r="3258" spans="1:2">
      <c r="A3258" s="218"/>
      <c r="B3258" s="214"/>
    </row>
    <row r="3259" spans="1:2">
      <c r="A3259" s="218"/>
      <c r="B3259" s="214"/>
    </row>
    <row r="3260" spans="1:2">
      <c r="A3260" s="218"/>
      <c r="B3260" s="214"/>
    </row>
    <row r="3261" spans="1:2">
      <c r="A3261" s="218"/>
      <c r="B3261" s="214"/>
    </row>
    <row r="3262" spans="1:2">
      <c r="A3262" s="218"/>
      <c r="B3262" s="214"/>
    </row>
    <row r="3263" spans="1:2">
      <c r="A3263" s="218"/>
      <c r="B3263" s="214"/>
    </row>
    <row r="3264" spans="1:2">
      <c r="A3264" s="218"/>
      <c r="B3264" s="214"/>
    </row>
    <row r="3265" spans="1:2">
      <c r="A3265" s="218"/>
      <c r="B3265" s="214"/>
    </row>
    <row r="3266" spans="1:2">
      <c r="A3266" s="218"/>
      <c r="B3266" s="214"/>
    </row>
    <row r="3267" spans="1:2">
      <c r="A3267" s="218"/>
      <c r="B3267" s="214"/>
    </row>
    <row r="3268" spans="1:2">
      <c r="A3268" s="218"/>
      <c r="B3268" s="214"/>
    </row>
    <row r="3269" spans="1:2">
      <c r="A3269" s="218"/>
      <c r="B3269" s="214"/>
    </row>
    <row r="3270" spans="1:2">
      <c r="A3270" s="218"/>
      <c r="B3270" s="214"/>
    </row>
    <row r="3271" spans="1:2">
      <c r="A3271" s="218"/>
      <c r="B3271" s="214"/>
    </row>
    <row r="3272" spans="1:2">
      <c r="A3272" s="218"/>
      <c r="B3272" s="214"/>
    </row>
    <row r="3273" spans="1:2">
      <c r="A3273" s="218"/>
      <c r="B3273" s="214"/>
    </row>
    <row r="3274" spans="1:2">
      <c r="A3274" s="218"/>
      <c r="B3274" s="214"/>
    </row>
    <row r="3275" spans="1:2">
      <c r="A3275" s="218"/>
      <c r="B3275" s="214"/>
    </row>
    <row r="3276" spans="1:2">
      <c r="A3276" s="218"/>
      <c r="B3276" s="214"/>
    </row>
    <row r="3277" spans="1:2">
      <c r="A3277" s="218"/>
      <c r="B3277" s="214"/>
    </row>
    <row r="3278" spans="1:2">
      <c r="A3278" s="218"/>
      <c r="B3278" s="214"/>
    </row>
    <row r="3279" spans="1:2">
      <c r="A3279" s="218"/>
      <c r="B3279" s="214"/>
    </row>
    <row r="3280" spans="1:2">
      <c r="A3280" s="218"/>
      <c r="B3280" s="214"/>
    </row>
    <row r="3281" spans="1:2">
      <c r="A3281" s="218"/>
      <c r="B3281" s="214"/>
    </row>
    <row r="3282" spans="1:2">
      <c r="A3282" s="218"/>
      <c r="B3282" s="214"/>
    </row>
    <row r="3283" spans="1:2">
      <c r="A3283" s="218"/>
      <c r="B3283" s="214"/>
    </row>
    <row r="3284" spans="1:2">
      <c r="A3284" s="218"/>
      <c r="B3284" s="214"/>
    </row>
    <row r="3285" spans="1:2">
      <c r="A3285" s="218"/>
      <c r="B3285" s="214"/>
    </row>
    <row r="3286" spans="1:2">
      <c r="A3286" s="218"/>
      <c r="B3286" s="214"/>
    </row>
    <row r="3287" spans="1:2">
      <c r="A3287" s="218"/>
      <c r="B3287" s="214"/>
    </row>
    <row r="3288" spans="1:2">
      <c r="A3288" s="218"/>
      <c r="B3288" s="214"/>
    </row>
    <row r="3289" spans="1:2">
      <c r="A3289" s="218"/>
      <c r="B3289" s="214"/>
    </row>
    <row r="3290" spans="1:2">
      <c r="A3290" s="218"/>
      <c r="B3290" s="214"/>
    </row>
    <row r="3291" spans="1:2">
      <c r="A3291" s="218"/>
      <c r="B3291" s="214"/>
    </row>
    <row r="3292" spans="1:2">
      <c r="A3292" s="218"/>
      <c r="B3292" s="214"/>
    </row>
    <row r="3293" spans="1:2">
      <c r="A3293" s="218"/>
      <c r="B3293" s="214"/>
    </row>
    <row r="3294" spans="1:2">
      <c r="A3294" s="218"/>
      <c r="B3294" s="214"/>
    </row>
    <row r="3295" spans="1:2">
      <c r="A3295" s="218"/>
      <c r="B3295" s="214"/>
    </row>
    <row r="3296" spans="1:2">
      <c r="A3296" s="218"/>
      <c r="B3296" s="214"/>
    </row>
    <row r="3297" spans="1:2">
      <c r="A3297" s="218"/>
      <c r="B3297" s="214"/>
    </row>
    <row r="3298" spans="1:2">
      <c r="A3298" s="218"/>
      <c r="B3298" s="214"/>
    </row>
    <row r="3299" spans="1:2">
      <c r="A3299" s="218"/>
      <c r="B3299" s="214"/>
    </row>
    <row r="3300" spans="1:2">
      <c r="A3300" s="218"/>
      <c r="B3300" s="214"/>
    </row>
    <row r="3301" spans="1:2">
      <c r="A3301" s="218"/>
      <c r="B3301" s="214"/>
    </row>
    <row r="3302" spans="1:2">
      <c r="A3302" s="218"/>
      <c r="B3302" s="214"/>
    </row>
    <row r="3303" spans="1:2">
      <c r="A3303" s="218"/>
      <c r="B3303" s="214"/>
    </row>
    <row r="3304" spans="1:2">
      <c r="A3304" s="218"/>
      <c r="B3304" s="214"/>
    </row>
    <row r="3305" spans="1:2">
      <c r="A3305" s="218"/>
      <c r="B3305" s="214"/>
    </row>
    <row r="3306" spans="1:2">
      <c r="A3306" s="218"/>
      <c r="B3306" s="214"/>
    </row>
    <row r="3307" spans="1:2">
      <c r="A3307" s="218"/>
      <c r="B3307" s="214"/>
    </row>
    <row r="3308" spans="1:2">
      <c r="A3308" s="218"/>
      <c r="B3308" s="214"/>
    </row>
    <row r="3309" spans="1:2">
      <c r="A3309" s="218"/>
      <c r="B3309" s="214"/>
    </row>
    <row r="3310" spans="1:2">
      <c r="A3310" s="218"/>
      <c r="B3310" s="214"/>
    </row>
    <row r="3311" spans="1:2">
      <c r="A3311" s="218"/>
      <c r="B3311" s="214"/>
    </row>
    <row r="3312" spans="1:2">
      <c r="A3312" s="218"/>
      <c r="B3312" s="214"/>
    </row>
    <row r="3313" spans="1:2">
      <c r="A3313" s="218"/>
      <c r="B3313" s="214"/>
    </row>
    <row r="3314" spans="1:2">
      <c r="A3314" s="218"/>
      <c r="B3314" s="214"/>
    </row>
    <row r="3315" spans="1:2">
      <c r="A3315" s="218"/>
      <c r="B3315" s="214"/>
    </row>
    <row r="3316" spans="1:2">
      <c r="A3316" s="218"/>
      <c r="B3316" s="214"/>
    </row>
    <row r="3317" spans="1:2">
      <c r="A3317" s="218"/>
      <c r="B3317" s="214"/>
    </row>
    <row r="3318" spans="1:2">
      <c r="A3318" s="218"/>
      <c r="B3318" s="214"/>
    </row>
    <row r="3319" spans="1:2">
      <c r="A3319" s="218"/>
      <c r="B3319" s="214"/>
    </row>
    <row r="3320" spans="1:2">
      <c r="A3320" s="218"/>
      <c r="B3320" s="214"/>
    </row>
    <row r="3321" spans="1:2">
      <c r="A3321" s="218"/>
      <c r="B3321" s="214"/>
    </row>
    <row r="3322" spans="1:2">
      <c r="A3322" s="218"/>
      <c r="B3322" s="214"/>
    </row>
    <row r="3323" spans="1:2">
      <c r="A3323" s="218"/>
      <c r="B3323" s="214"/>
    </row>
    <row r="3324" spans="1:2">
      <c r="A3324" s="218"/>
      <c r="B3324" s="214"/>
    </row>
    <row r="3325" spans="1:2">
      <c r="A3325" s="218"/>
      <c r="B3325" s="214"/>
    </row>
    <row r="3326" spans="1:2">
      <c r="A3326" s="218"/>
      <c r="B3326" s="214"/>
    </row>
    <row r="3327" spans="1:2">
      <c r="A3327" s="218"/>
      <c r="B3327" s="214"/>
    </row>
    <row r="3328" spans="1:2">
      <c r="A3328" s="218"/>
      <c r="B3328" s="214"/>
    </row>
    <row r="3329" spans="1:2">
      <c r="A3329" s="218"/>
      <c r="B3329" s="214"/>
    </row>
    <row r="3330" spans="1:2">
      <c r="A3330" s="218"/>
      <c r="B3330" s="214"/>
    </row>
    <row r="3331" spans="1:2">
      <c r="A3331" s="218"/>
      <c r="B3331" s="214"/>
    </row>
    <row r="3332" spans="1:2">
      <c r="A3332" s="218"/>
      <c r="B3332" s="214"/>
    </row>
    <row r="3333" spans="1:2">
      <c r="A3333" s="218"/>
      <c r="B3333" s="214"/>
    </row>
    <row r="3334" spans="1:2">
      <c r="A3334" s="218"/>
      <c r="B3334" s="214"/>
    </row>
    <row r="3335" spans="1:2">
      <c r="A3335" s="218"/>
      <c r="B3335" s="214"/>
    </row>
    <row r="3336" spans="1:2">
      <c r="A3336" s="218"/>
      <c r="B3336" s="214"/>
    </row>
    <row r="3337" spans="1:2">
      <c r="A3337" s="218"/>
      <c r="B3337" s="214"/>
    </row>
    <row r="3338" spans="1:2">
      <c r="A3338" s="218"/>
      <c r="B3338" s="214"/>
    </row>
    <row r="3339" spans="1:2">
      <c r="A3339" s="218"/>
      <c r="B3339" s="214"/>
    </row>
    <row r="3340" spans="1:2">
      <c r="A3340" s="218"/>
      <c r="B3340" s="214"/>
    </row>
    <row r="3341" spans="1:2">
      <c r="A3341" s="218"/>
      <c r="B3341" s="214"/>
    </row>
    <row r="3342" spans="1:2">
      <c r="A3342" s="218"/>
      <c r="B3342" s="214"/>
    </row>
    <row r="3343" spans="1:2">
      <c r="A3343" s="218"/>
      <c r="B3343" s="214"/>
    </row>
    <row r="3344" spans="1:2">
      <c r="A3344" s="218"/>
      <c r="B3344" s="214"/>
    </row>
    <row r="3345" spans="1:2">
      <c r="A3345" s="218"/>
      <c r="B3345" s="214"/>
    </row>
    <row r="3346" spans="1:2">
      <c r="A3346" s="218"/>
      <c r="B3346" s="214"/>
    </row>
    <row r="3347" spans="1:2">
      <c r="A3347" s="218"/>
      <c r="B3347" s="214"/>
    </row>
    <row r="3348" spans="1:2">
      <c r="A3348" s="218"/>
      <c r="B3348" s="214"/>
    </row>
    <row r="3349" spans="1:2">
      <c r="A3349" s="218"/>
      <c r="B3349" s="214"/>
    </row>
    <row r="3350" spans="1:2">
      <c r="A3350" s="218"/>
      <c r="B3350" s="214"/>
    </row>
    <row r="3351" spans="1:2">
      <c r="A3351" s="218"/>
      <c r="B3351" s="214"/>
    </row>
    <row r="3352" spans="1:2">
      <c r="A3352" s="218"/>
      <c r="B3352" s="214"/>
    </row>
    <row r="3353" spans="1:2">
      <c r="A3353" s="218"/>
      <c r="B3353" s="214"/>
    </row>
    <row r="3354" spans="1:2">
      <c r="A3354" s="218"/>
      <c r="B3354" s="214"/>
    </row>
    <row r="3355" spans="1:2">
      <c r="A3355" s="218"/>
      <c r="B3355" s="214"/>
    </row>
    <row r="3356" spans="1:2">
      <c r="A3356" s="218"/>
      <c r="B3356" s="214"/>
    </row>
    <row r="3357" spans="1:2">
      <c r="A3357" s="218"/>
      <c r="B3357" s="214"/>
    </row>
    <row r="3358" spans="1:2">
      <c r="A3358" s="218"/>
      <c r="B3358" s="214"/>
    </row>
    <row r="3359" spans="1:2">
      <c r="A3359" s="218"/>
      <c r="B3359" s="214"/>
    </row>
    <row r="3360" spans="1:2">
      <c r="A3360" s="218"/>
      <c r="B3360" s="214"/>
    </row>
    <row r="3361" spans="1:2">
      <c r="A3361" s="218"/>
      <c r="B3361" s="214"/>
    </row>
    <row r="3362" spans="1:2">
      <c r="A3362" s="218"/>
      <c r="B3362" s="214"/>
    </row>
    <row r="3363" spans="1:2">
      <c r="A3363" s="218"/>
      <c r="B3363" s="214"/>
    </row>
    <row r="3364" spans="1:2">
      <c r="A3364" s="218"/>
      <c r="B3364" s="214"/>
    </row>
    <row r="3365" spans="1:2">
      <c r="A3365" s="218"/>
      <c r="B3365" s="214"/>
    </row>
    <row r="3366" spans="1:2">
      <c r="A3366" s="218"/>
      <c r="B3366" s="214"/>
    </row>
    <row r="3367" spans="1:2">
      <c r="A3367" s="218"/>
      <c r="B3367" s="214"/>
    </row>
    <row r="3368" spans="1:2">
      <c r="A3368" s="218"/>
      <c r="B3368" s="214"/>
    </row>
    <row r="3369" spans="1:2">
      <c r="A3369" s="218"/>
      <c r="B3369" s="214"/>
    </row>
    <row r="3370" spans="1:2">
      <c r="A3370" s="218"/>
      <c r="B3370" s="214"/>
    </row>
    <row r="3371" spans="1:2">
      <c r="A3371" s="218"/>
      <c r="B3371" s="214"/>
    </row>
    <row r="3372" spans="1:2">
      <c r="A3372" s="218"/>
      <c r="B3372" s="214"/>
    </row>
    <row r="3373" spans="1:2">
      <c r="A3373" s="218"/>
      <c r="B3373" s="214"/>
    </row>
    <row r="3374" spans="1:2">
      <c r="A3374" s="218"/>
      <c r="B3374" s="214"/>
    </row>
    <row r="3375" spans="1:2">
      <c r="A3375" s="218"/>
      <c r="B3375" s="214"/>
    </row>
    <row r="3376" spans="1:2">
      <c r="A3376" s="218"/>
      <c r="B3376" s="214"/>
    </row>
    <row r="3377" spans="1:2">
      <c r="A3377" s="218"/>
      <c r="B3377" s="214"/>
    </row>
    <row r="3378" spans="1:2">
      <c r="A3378" s="218"/>
      <c r="B3378" s="214"/>
    </row>
    <row r="3379" spans="1:2">
      <c r="A3379" s="218"/>
      <c r="B3379" s="214"/>
    </row>
    <row r="3380" spans="1:2">
      <c r="A3380" s="218"/>
      <c r="B3380" s="214"/>
    </row>
    <row r="3381" spans="1:2">
      <c r="A3381" s="218"/>
      <c r="B3381" s="214"/>
    </row>
    <row r="3382" spans="1:2">
      <c r="A3382" s="218"/>
      <c r="B3382" s="214"/>
    </row>
    <row r="3383" spans="1:2">
      <c r="A3383" s="218"/>
      <c r="B3383" s="214"/>
    </row>
    <row r="3384" spans="1:2">
      <c r="A3384" s="218"/>
      <c r="B3384" s="214"/>
    </row>
    <row r="3385" spans="1:2">
      <c r="A3385" s="218"/>
      <c r="B3385" s="214"/>
    </row>
    <row r="3386" spans="1:2">
      <c r="A3386" s="218"/>
      <c r="B3386" s="214"/>
    </row>
    <row r="3387" spans="1:2">
      <c r="A3387" s="218"/>
      <c r="B3387" s="214"/>
    </row>
    <row r="3388" spans="1:2">
      <c r="A3388" s="218"/>
      <c r="B3388" s="214"/>
    </row>
    <row r="3389" spans="1:2">
      <c r="A3389" s="218"/>
      <c r="B3389" s="214"/>
    </row>
    <row r="3390" spans="1:2">
      <c r="A3390" s="218"/>
      <c r="B3390" s="214"/>
    </row>
    <row r="3391" spans="1:2">
      <c r="A3391" s="218"/>
      <c r="B3391" s="214"/>
    </row>
    <row r="3392" spans="1:2">
      <c r="A3392" s="218"/>
      <c r="B3392" s="214"/>
    </row>
    <row r="3393" spans="1:2">
      <c r="A3393" s="218"/>
      <c r="B3393" s="214"/>
    </row>
    <row r="3394" spans="1:2">
      <c r="A3394" s="218"/>
      <c r="B3394" s="214"/>
    </row>
    <row r="3395" spans="1:2">
      <c r="A3395" s="218"/>
      <c r="B3395" s="214"/>
    </row>
    <row r="3396" spans="1:2">
      <c r="A3396" s="218"/>
      <c r="B3396" s="214"/>
    </row>
    <row r="3397" spans="1:2">
      <c r="A3397" s="218"/>
      <c r="B3397" s="214"/>
    </row>
    <row r="3398" spans="1:2">
      <c r="A3398" s="218"/>
      <c r="B3398" s="214"/>
    </row>
    <row r="3399" spans="1:2">
      <c r="A3399" s="218"/>
      <c r="B3399" s="214"/>
    </row>
    <row r="3400" spans="1:2">
      <c r="A3400" s="218"/>
      <c r="B3400" s="214"/>
    </row>
    <row r="3401" spans="1:2">
      <c r="A3401" s="218"/>
      <c r="B3401" s="214"/>
    </row>
    <row r="3402" spans="1:2">
      <c r="A3402" s="218"/>
      <c r="B3402" s="214"/>
    </row>
    <row r="3403" spans="1:2">
      <c r="A3403" s="218"/>
      <c r="B3403" s="214"/>
    </row>
    <row r="3404" spans="1:2">
      <c r="A3404" s="218"/>
      <c r="B3404" s="214"/>
    </row>
    <row r="3405" spans="1:2">
      <c r="A3405" s="218"/>
      <c r="B3405" s="214"/>
    </row>
    <row r="3406" spans="1:2">
      <c r="A3406" s="218"/>
      <c r="B3406" s="214"/>
    </row>
    <row r="3407" spans="1:2">
      <c r="A3407" s="218"/>
      <c r="B3407" s="214"/>
    </row>
    <row r="3408" spans="1:2">
      <c r="A3408" s="218"/>
      <c r="B3408" s="214"/>
    </row>
    <row r="3409" spans="1:2">
      <c r="A3409" s="218"/>
      <c r="B3409" s="214"/>
    </row>
    <row r="3410" spans="1:2">
      <c r="A3410" s="218"/>
      <c r="B3410" s="214"/>
    </row>
    <row r="3411" spans="1:2">
      <c r="A3411" s="218"/>
      <c r="B3411" s="214"/>
    </row>
    <row r="3412" spans="1:2">
      <c r="A3412" s="218"/>
      <c r="B3412" s="214"/>
    </row>
    <row r="3413" spans="1:2">
      <c r="A3413" s="218"/>
      <c r="B3413" s="214"/>
    </row>
    <row r="3414" spans="1:2">
      <c r="A3414" s="218"/>
      <c r="B3414" s="214"/>
    </row>
    <row r="3415" spans="1:2">
      <c r="A3415" s="218"/>
      <c r="B3415" s="214"/>
    </row>
    <row r="3416" spans="1:2">
      <c r="A3416" s="218"/>
      <c r="B3416" s="214"/>
    </row>
    <row r="3417" spans="1:2">
      <c r="A3417" s="218"/>
      <c r="B3417" s="214"/>
    </row>
    <row r="3418" spans="1:2">
      <c r="A3418" s="218"/>
      <c r="B3418" s="214"/>
    </row>
    <row r="3419" spans="1:2">
      <c r="A3419" s="218"/>
      <c r="B3419" s="214"/>
    </row>
    <row r="3420" spans="1:2">
      <c r="A3420" s="218"/>
      <c r="B3420" s="214"/>
    </row>
    <row r="3421" spans="1:2">
      <c r="A3421" s="218"/>
      <c r="B3421" s="214"/>
    </row>
    <row r="3422" spans="1:2">
      <c r="A3422" s="218"/>
      <c r="B3422" s="214"/>
    </row>
    <row r="3423" spans="1:2">
      <c r="A3423" s="218"/>
      <c r="B3423" s="214"/>
    </row>
    <row r="3424" spans="1:2">
      <c r="A3424" s="218"/>
      <c r="B3424" s="214"/>
    </row>
    <row r="3425" spans="1:2">
      <c r="A3425" s="218"/>
      <c r="B3425" s="214"/>
    </row>
    <row r="3426" spans="1:2">
      <c r="A3426" s="218"/>
      <c r="B3426" s="214"/>
    </row>
    <row r="3427" spans="1:2">
      <c r="A3427" s="218"/>
      <c r="B3427" s="214"/>
    </row>
    <row r="3428" spans="1:2">
      <c r="A3428" s="218"/>
      <c r="B3428" s="214"/>
    </row>
    <row r="3429" spans="1:2">
      <c r="A3429" s="218"/>
      <c r="B3429" s="214"/>
    </row>
    <row r="3430" spans="1:2">
      <c r="A3430" s="218"/>
      <c r="B3430" s="214"/>
    </row>
    <row r="3431" spans="1:2">
      <c r="A3431" s="218"/>
      <c r="B3431" s="214"/>
    </row>
    <row r="3432" spans="1:2">
      <c r="A3432" s="218"/>
      <c r="B3432" s="214"/>
    </row>
    <row r="3433" spans="1:2">
      <c r="A3433" s="218"/>
      <c r="B3433" s="214"/>
    </row>
    <row r="3434" spans="1:2">
      <c r="A3434" s="218"/>
      <c r="B3434" s="214"/>
    </row>
    <row r="3435" spans="1:2">
      <c r="A3435" s="218"/>
      <c r="B3435" s="214"/>
    </row>
    <row r="3436" spans="1:2">
      <c r="A3436" s="218"/>
      <c r="B3436" s="214"/>
    </row>
    <row r="3437" spans="1:2">
      <c r="A3437" s="218"/>
      <c r="B3437" s="214"/>
    </row>
    <row r="3438" spans="1:2">
      <c r="A3438" s="218"/>
      <c r="B3438" s="214"/>
    </row>
    <row r="3439" spans="1:2">
      <c r="A3439" s="218"/>
      <c r="B3439" s="214"/>
    </row>
    <row r="3440" spans="1:2">
      <c r="A3440" s="218"/>
      <c r="B3440" s="214"/>
    </row>
    <row r="3441" spans="1:2">
      <c r="A3441" s="218"/>
      <c r="B3441" s="214"/>
    </row>
    <row r="3442" spans="1:2">
      <c r="A3442" s="218"/>
      <c r="B3442" s="214"/>
    </row>
    <row r="3443" spans="1:2">
      <c r="A3443" s="218"/>
      <c r="B3443" s="214"/>
    </row>
    <row r="3444" spans="1:2">
      <c r="A3444" s="218"/>
      <c r="B3444" s="214"/>
    </row>
    <row r="3445" spans="1:2">
      <c r="A3445" s="218"/>
      <c r="B3445" s="214"/>
    </row>
    <row r="3446" spans="1:2">
      <c r="A3446" s="218"/>
      <c r="B3446" s="214"/>
    </row>
    <row r="3447" spans="1:2">
      <c r="A3447" s="218"/>
      <c r="B3447" s="214"/>
    </row>
    <row r="3448" spans="1:2">
      <c r="A3448" s="218"/>
      <c r="B3448" s="214"/>
    </row>
    <row r="3449" spans="1:2">
      <c r="A3449" s="218"/>
      <c r="B3449" s="214"/>
    </row>
    <row r="3450" spans="1:2">
      <c r="A3450" s="218"/>
      <c r="B3450" s="214"/>
    </row>
    <row r="3451" spans="1:2">
      <c r="A3451" s="218"/>
      <c r="B3451" s="214"/>
    </row>
    <row r="3452" spans="1:2">
      <c r="A3452" s="218"/>
      <c r="B3452" s="214"/>
    </row>
    <row r="3453" spans="1:2">
      <c r="A3453" s="218"/>
      <c r="B3453" s="214"/>
    </row>
    <row r="3454" spans="1:2">
      <c r="A3454" s="218"/>
      <c r="B3454" s="214"/>
    </row>
    <row r="3455" spans="1:2">
      <c r="A3455" s="218"/>
      <c r="B3455" s="214"/>
    </row>
    <row r="3456" spans="1:2">
      <c r="A3456" s="218"/>
      <c r="B3456" s="214"/>
    </row>
    <row r="3457" spans="1:2">
      <c r="A3457" s="218"/>
      <c r="B3457" s="214"/>
    </row>
    <row r="3458" spans="1:2">
      <c r="A3458" s="218"/>
      <c r="B3458" s="214"/>
    </row>
    <row r="3459" spans="1:2">
      <c r="A3459" s="218"/>
      <c r="B3459" s="214"/>
    </row>
    <row r="3460" spans="1:2">
      <c r="A3460" s="218"/>
      <c r="B3460" s="214"/>
    </row>
    <row r="3461" spans="1:2">
      <c r="A3461" s="218"/>
      <c r="B3461" s="214"/>
    </row>
    <row r="3462" spans="1:2">
      <c r="A3462" s="218"/>
      <c r="B3462" s="214"/>
    </row>
    <row r="3463" spans="1:2">
      <c r="A3463" s="218"/>
      <c r="B3463" s="214"/>
    </row>
    <row r="3464" spans="1:2">
      <c r="A3464" s="218"/>
      <c r="B3464" s="214"/>
    </row>
    <row r="3465" spans="1:2">
      <c r="A3465" s="218"/>
      <c r="B3465" s="214"/>
    </row>
    <row r="3466" spans="1:2">
      <c r="A3466" s="218"/>
      <c r="B3466" s="214"/>
    </row>
    <row r="3467" spans="1:2">
      <c r="A3467" s="218"/>
      <c r="B3467" s="214"/>
    </row>
    <row r="3468" spans="1:2">
      <c r="A3468" s="218"/>
      <c r="B3468" s="214"/>
    </row>
    <row r="3469" spans="1:2">
      <c r="A3469" s="218"/>
      <c r="B3469" s="214"/>
    </row>
    <row r="3470" spans="1:2">
      <c r="A3470" s="218"/>
      <c r="B3470" s="214"/>
    </row>
    <row r="3471" spans="1:2">
      <c r="A3471" s="218"/>
      <c r="B3471" s="214"/>
    </row>
    <row r="3472" spans="1:2">
      <c r="A3472" s="218"/>
      <c r="B3472" s="214"/>
    </row>
    <row r="3473" spans="1:2">
      <c r="A3473" s="218"/>
      <c r="B3473" s="214"/>
    </row>
    <row r="3474" spans="1:2">
      <c r="A3474" s="218"/>
      <c r="B3474" s="214"/>
    </row>
    <row r="3475" spans="1:2">
      <c r="A3475" s="218"/>
      <c r="B3475" s="214"/>
    </row>
    <row r="3476" spans="1:2">
      <c r="A3476" s="218"/>
      <c r="B3476" s="214"/>
    </row>
    <row r="3477" spans="1:2">
      <c r="A3477" s="218"/>
      <c r="B3477" s="214"/>
    </row>
    <row r="3478" spans="1:2">
      <c r="A3478" s="218"/>
      <c r="B3478" s="214"/>
    </row>
    <row r="3479" spans="1:2">
      <c r="A3479" s="218"/>
      <c r="B3479" s="214"/>
    </row>
    <row r="3480" spans="1:2">
      <c r="A3480" s="218"/>
      <c r="B3480" s="214"/>
    </row>
    <row r="3481" spans="1:2">
      <c r="A3481" s="218"/>
      <c r="B3481" s="214"/>
    </row>
    <row r="3482" spans="1:2">
      <c r="A3482" s="218"/>
      <c r="B3482" s="214"/>
    </row>
    <row r="3483" spans="1:2">
      <c r="A3483" s="218"/>
      <c r="B3483" s="214"/>
    </row>
    <row r="3484" spans="1:2">
      <c r="A3484" s="218"/>
      <c r="B3484" s="214"/>
    </row>
    <row r="3485" spans="1:2">
      <c r="A3485" s="218"/>
      <c r="B3485" s="214"/>
    </row>
    <row r="3486" spans="1:2">
      <c r="A3486" s="218"/>
      <c r="B3486" s="214"/>
    </row>
    <row r="3487" spans="1:2">
      <c r="A3487" s="218"/>
      <c r="B3487" s="214"/>
    </row>
    <row r="3488" spans="1:2">
      <c r="A3488" s="218"/>
      <c r="B3488" s="214"/>
    </row>
    <row r="3489" spans="1:2">
      <c r="A3489" s="218"/>
      <c r="B3489" s="214"/>
    </row>
    <row r="3490" spans="1:2">
      <c r="A3490" s="218"/>
      <c r="B3490" s="214"/>
    </row>
    <row r="3491" spans="1:2">
      <c r="A3491" s="218"/>
      <c r="B3491" s="214"/>
    </row>
    <row r="3492" spans="1:2">
      <c r="A3492" s="218"/>
      <c r="B3492" s="214"/>
    </row>
    <row r="3493" spans="1:2">
      <c r="A3493" s="218"/>
      <c r="B3493" s="214"/>
    </row>
    <row r="3494" spans="1:2">
      <c r="A3494" s="218"/>
      <c r="B3494" s="214"/>
    </row>
    <row r="3495" spans="1:2">
      <c r="A3495" s="218"/>
      <c r="B3495" s="214"/>
    </row>
    <row r="3496" spans="1:2">
      <c r="A3496" s="218"/>
      <c r="B3496" s="214"/>
    </row>
    <row r="3497" spans="1:2">
      <c r="A3497" s="218"/>
      <c r="B3497" s="214"/>
    </row>
    <row r="3498" spans="1:2">
      <c r="A3498" s="218"/>
      <c r="B3498" s="214"/>
    </row>
    <row r="3499" spans="1:2">
      <c r="A3499" s="218"/>
      <c r="B3499" s="214"/>
    </row>
    <row r="3500" spans="1:2">
      <c r="A3500" s="218"/>
      <c r="B3500" s="214"/>
    </row>
    <row r="3501" spans="1:2">
      <c r="A3501" s="218"/>
      <c r="B3501" s="214"/>
    </row>
    <row r="3502" spans="1:2">
      <c r="A3502" s="218"/>
      <c r="B3502" s="214"/>
    </row>
    <row r="3503" spans="1:2">
      <c r="A3503" s="218"/>
      <c r="B3503" s="214"/>
    </row>
    <row r="3504" spans="1:2">
      <c r="A3504" s="218"/>
      <c r="B3504" s="214"/>
    </row>
    <row r="3505" spans="1:2">
      <c r="A3505" s="218"/>
      <c r="B3505" s="214"/>
    </row>
    <row r="3506" spans="1:2">
      <c r="A3506" s="218"/>
      <c r="B3506" s="214"/>
    </row>
    <row r="3507" spans="1:2">
      <c r="A3507" s="218"/>
      <c r="B3507" s="214"/>
    </row>
    <row r="3508" spans="1:2">
      <c r="A3508" s="218"/>
      <c r="B3508" s="214"/>
    </row>
    <row r="3509" spans="1:2">
      <c r="A3509" s="218"/>
      <c r="B3509" s="214"/>
    </row>
    <row r="3510" spans="1:2">
      <c r="A3510" s="218"/>
      <c r="B3510" s="214"/>
    </row>
    <row r="3511" spans="1:2">
      <c r="A3511" s="218"/>
      <c r="B3511" s="214"/>
    </row>
    <row r="3512" spans="1:2">
      <c r="A3512" s="218"/>
      <c r="B3512" s="214"/>
    </row>
    <row r="3513" spans="1:2">
      <c r="A3513" s="218"/>
      <c r="B3513" s="214"/>
    </row>
    <row r="3514" spans="1:2">
      <c r="A3514" s="218"/>
      <c r="B3514" s="214"/>
    </row>
    <row r="3515" spans="1:2">
      <c r="A3515" s="218"/>
      <c r="B3515" s="214"/>
    </row>
    <row r="3516" spans="1:2">
      <c r="A3516" s="218"/>
      <c r="B3516" s="214"/>
    </row>
    <row r="3517" spans="1:2">
      <c r="A3517" s="218"/>
      <c r="B3517" s="214"/>
    </row>
    <row r="3518" spans="1:2">
      <c r="A3518" s="218"/>
      <c r="B3518" s="214"/>
    </row>
    <row r="3519" spans="1:2">
      <c r="A3519" s="218"/>
      <c r="B3519" s="214"/>
    </row>
    <row r="3520" spans="1:2">
      <c r="A3520" s="218"/>
      <c r="B3520" s="214"/>
    </row>
    <row r="3521" spans="1:2">
      <c r="A3521" s="218"/>
      <c r="B3521" s="214"/>
    </row>
    <row r="3522" spans="1:2">
      <c r="A3522" s="218"/>
      <c r="B3522" s="214"/>
    </row>
    <row r="3523" spans="1:2">
      <c r="A3523" s="218"/>
      <c r="B3523" s="214"/>
    </row>
    <row r="3524" spans="1:2">
      <c r="A3524" s="218"/>
      <c r="B3524" s="214"/>
    </row>
    <row r="3525" spans="1:2">
      <c r="A3525" s="218"/>
      <c r="B3525" s="214"/>
    </row>
    <row r="3526" spans="1:2">
      <c r="A3526" s="218"/>
      <c r="B3526" s="214"/>
    </row>
    <row r="3527" spans="1:2">
      <c r="A3527" s="218"/>
      <c r="B3527" s="214"/>
    </row>
    <row r="3528" spans="1:2">
      <c r="A3528" s="218"/>
      <c r="B3528" s="214"/>
    </row>
    <row r="3529" spans="1:2">
      <c r="A3529" s="218"/>
      <c r="B3529" s="214"/>
    </row>
    <row r="3530" spans="1:2">
      <c r="A3530" s="218"/>
      <c r="B3530" s="214"/>
    </row>
    <row r="3531" spans="1:2">
      <c r="A3531" s="218"/>
      <c r="B3531" s="214"/>
    </row>
    <row r="3532" spans="1:2">
      <c r="A3532" s="218"/>
      <c r="B3532" s="214"/>
    </row>
    <row r="3533" spans="1:2">
      <c r="A3533" s="218"/>
      <c r="B3533" s="214"/>
    </row>
    <row r="3534" spans="1:2">
      <c r="A3534" s="218"/>
      <c r="B3534" s="214"/>
    </row>
    <row r="3535" spans="1:2">
      <c r="A3535" s="218"/>
      <c r="B3535" s="214"/>
    </row>
    <row r="3536" spans="1:2">
      <c r="A3536" s="218"/>
      <c r="B3536" s="214"/>
    </row>
    <row r="3537" spans="1:2">
      <c r="A3537" s="218"/>
      <c r="B3537" s="214"/>
    </row>
    <row r="3538" spans="1:2">
      <c r="A3538" s="218"/>
      <c r="B3538" s="214"/>
    </row>
    <row r="3539" spans="1:2">
      <c r="A3539" s="218"/>
      <c r="B3539" s="214"/>
    </row>
    <row r="3540" spans="1:2">
      <c r="A3540" s="218"/>
      <c r="B3540" s="214"/>
    </row>
    <row r="3541" spans="1:2">
      <c r="A3541" s="218"/>
      <c r="B3541" s="214"/>
    </row>
    <row r="3542" spans="1:2">
      <c r="A3542" s="218"/>
      <c r="B3542" s="214"/>
    </row>
    <row r="3543" spans="1:2">
      <c r="A3543" s="218"/>
      <c r="B3543" s="214"/>
    </row>
    <row r="3544" spans="1:2">
      <c r="A3544" s="218"/>
      <c r="B3544" s="214"/>
    </row>
    <row r="3545" spans="1:2">
      <c r="A3545" s="218"/>
      <c r="B3545" s="214"/>
    </row>
    <row r="3546" spans="1:2">
      <c r="A3546" s="218"/>
      <c r="B3546" s="214"/>
    </row>
    <row r="3547" spans="1:2">
      <c r="A3547" s="218"/>
      <c r="B3547" s="214"/>
    </row>
    <row r="3548" spans="1:2">
      <c r="A3548" s="218"/>
      <c r="B3548" s="214"/>
    </row>
    <row r="3549" spans="1:2">
      <c r="A3549" s="218"/>
      <c r="B3549" s="214"/>
    </row>
    <row r="3550" spans="1:2">
      <c r="A3550" s="218"/>
      <c r="B3550" s="214"/>
    </row>
    <row r="3551" spans="1:2">
      <c r="A3551" s="218"/>
      <c r="B3551" s="214"/>
    </row>
    <row r="3552" spans="1:2">
      <c r="A3552" s="218"/>
      <c r="B3552" s="214"/>
    </row>
    <row r="3553" spans="1:2">
      <c r="A3553" s="218"/>
      <c r="B3553" s="214"/>
    </row>
    <row r="3554" spans="1:2">
      <c r="A3554" s="218"/>
      <c r="B3554" s="214"/>
    </row>
    <row r="3555" spans="1:2">
      <c r="A3555" s="218"/>
      <c r="B3555" s="214"/>
    </row>
    <row r="3556" spans="1:2">
      <c r="A3556" s="218"/>
      <c r="B3556" s="214"/>
    </row>
    <row r="3557" spans="1:2">
      <c r="A3557" s="218"/>
      <c r="B3557" s="214"/>
    </row>
    <row r="3558" spans="1:2">
      <c r="A3558" s="218"/>
      <c r="B3558" s="214"/>
    </row>
    <row r="3559" spans="1:2">
      <c r="A3559" s="218"/>
      <c r="B3559" s="214"/>
    </row>
    <row r="3560" spans="1:2">
      <c r="A3560" s="218"/>
      <c r="B3560" s="214"/>
    </row>
    <row r="3561" spans="1:2">
      <c r="A3561" s="218"/>
      <c r="B3561" s="214"/>
    </row>
    <row r="3562" spans="1:2">
      <c r="A3562" s="218"/>
      <c r="B3562" s="214"/>
    </row>
    <row r="3563" spans="1:2">
      <c r="A3563" s="218"/>
      <c r="B3563" s="214"/>
    </row>
    <row r="3564" spans="1:2">
      <c r="A3564" s="218"/>
      <c r="B3564" s="214"/>
    </row>
    <row r="3565" spans="1:2">
      <c r="A3565" s="218"/>
      <c r="B3565" s="214"/>
    </row>
    <row r="3566" spans="1:2">
      <c r="A3566" s="218"/>
      <c r="B3566" s="214"/>
    </row>
    <row r="3567" spans="1:2">
      <c r="A3567" s="218"/>
      <c r="B3567" s="214"/>
    </row>
    <row r="3568" spans="1:2">
      <c r="A3568" s="218"/>
      <c r="B3568" s="214"/>
    </row>
    <row r="3569" spans="1:2">
      <c r="A3569" s="218"/>
      <c r="B3569" s="214"/>
    </row>
    <row r="3570" spans="1:2">
      <c r="A3570" s="218"/>
      <c r="B3570" s="214"/>
    </row>
    <row r="3571" spans="1:2">
      <c r="A3571" s="218"/>
      <c r="B3571" s="214"/>
    </row>
    <row r="3572" spans="1:2">
      <c r="A3572" s="218"/>
      <c r="B3572" s="214"/>
    </row>
    <row r="3573" spans="1:2">
      <c r="A3573" s="218"/>
      <c r="B3573" s="214"/>
    </row>
    <row r="3574" spans="1:2">
      <c r="A3574" s="218"/>
      <c r="B3574" s="214"/>
    </row>
    <row r="3575" spans="1:2">
      <c r="A3575" s="218"/>
      <c r="B3575" s="214"/>
    </row>
    <row r="3576" spans="1:2">
      <c r="A3576" s="218"/>
      <c r="B3576" s="214"/>
    </row>
    <row r="3577" spans="1:2">
      <c r="A3577" s="218"/>
      <c r="B3577" s="214"/>
    </row>
    <row r="3578" spans="1:2">
      <c r="A3578" s="218"/>
      <c r="B3578" s="214"/>
    </row>
    <row r="3579" spans="1:2">
      <c r="A3579" s="218"/>
      <c r="B3579" s="214"/>
    </row>
    <row r="3580" spans="1:2">
      <c r="A3580" s="218"/>
      <c r="B3580" s="214"/>
    </row>
    <row r="3581" spans="1:2">
      <c r="A3581" s="218"/>
      <c r="B3581" s="214"/>
    </row>
    <row r="3582" spans="1:2">
      <c r="A3582" s="218"/>
      <c r="B3582" s="214"/>
    </row>
    <row r="3583" spans="1:2">
      <c r="A3583" s="218"/>
      <c r="B3583" s="214"/>
    </row>
    <row r="3584" spans="1:2">
      <c r="A3584" s="218"/>
      <c r="B3584" s="214"/>
    </row>
    <row r="3585" spans="1:2">
      <c r="A3585" s="218"/>
      <c r="B3585" s="214"/>
    </row>
    <row r="3586" spans="1:2">
      <c r="A3586" s="218"/>
      <c r="B3586" s="214"/>
    </row>
    <row r="3587" spans="1:2">
      <c r="A3587" s="218"/>
      <c r="B3587" s="214"/>
    </row>
    <row r="3588" spans="1:2">
      <c r="A3588" s="218"/>
      <c r="B3588" s="214"/>
    </row>
    <row r="3589" spans="1:2">
      <c r="A3589" s="218"/>
      <c r="B3589" s="214"/>
    </row>
    <row r="3590" spans="1:2">
      <c r="A3590" s="218"/>
      <c r="B3590" s="214"/>
    </row>
    <row r="3591" spans="1:2">
      <c r="A3591" s="218"/>
      <c r="B3591" s="214"/>
    </row>
    <row r="3592" spans="1:2">
      <c r="A3592" s="218"/>
      <c r="B3592" s="214"/>
    </row>
    <row r="3593" spans="1:2">
      <c r="A3593" s="218"/>
      <c r="B3593" s="214"/>
    </row>
    <row r="3594" spans="1:2">
      <c r="A3594" s="218"/>
      <c r="B3594" s="214"/>
    </row>
    <row r="3595" spans="1:2">
      <c r="A3595" s="218"/>
      <c r="B3595" s="214"/>
    </row>
    <row r="3596" spans="1:2">
      <c r="A3596" s="218"/>
      <c r="B3596" s="214"/>
    </row>
    <row r="3597" spans="1:2">
      <c r="A3597" s="218"/>
      <c r="B3597" s="214"/>
    </row>
    <row r="3598" spans="1:2">
      <c r="A3598" s="218"/>
      <c r="B3598" s="214"/>
    </row>
    <row r="3599" spans="1:2">
      <c r="A3599" s="218"/>
      <c r="B3599" s="214"/>
    </row>
    <row r="3600" spans="1:2">
      <c r="A3600" s="218"/>
      <c r="B3600" s="214"/>
    </row>
    <row r="3601" spans="1:2">
      <c r="A3601" s="218"/>
      <c r="B3601" s="214"/>
    </row>
    <row r="3602" spans="1:2">
      <c r="A3602" s="218"/>
      <c r="B3602" s="214"/>
    </row>
    <row r="3603" spans="1:2">
      <c r="A3603" s="218"/>
      <c r="B3603" s="214"/>
    </row>
    <row r="3604" spans="1:2">
      <c r="A3604" s="218"/>
      <c r="B3604" s="214"/>
    </row>
    <row r="3605" spans="1:2">
      <c r="A3605" s="218"/>
      <c r="B3605" s="214"/>
    </row>
    <row r="3606" spans="1:2">
      <c r="A3606" s="218"/>
      <c r="B3606" s="214"/>
    </row>
    <row r="3607" spans="1:2">
      <c r="A3607" s="218"/>
      <c r="B3607" s="214"/>
    </row>
    <row r="3608" spans="1:2">
      <c r="A3608" s="218"/>
      <c r="B3608" s="214"/>
    </row>
    <row r="3609" spans="1:2">
      <c r="A3609" s="218"/>
      <c r="B3609" s="214"/>
    </row>
    <row r="3610" spans="1:2">
      <c r="A3610" s="218"/>
      <c r="B3610" s="214"/>
    </row>
    <row r="3611" spans="1:2">
      <c r="A3611" s="218"/>
      <c r="B3611" s="214"/>
    </row>
    <row r="3612" spans="1:2">
      <c r="A3612" s="218"/>
      <c r="B3612" s="214"/>
    </row>
    <row r="3613" spans="1:2">
      <c r="A3613" s="218"/>
      <c r="B3613" s="214"/>
    </row>
    <row r="3614" spans="1:2">
      <c r="A3614" s="218"/>
      <c r="B3614" s="214"/>
    </row>
    <row r="3615" spans="1:2">
      <c r="A3615" s="218"/>
      <c r="B3615" s="214"/>
    </row>
    <row r="3616" spans="1:2">
      <c r="A3616" s="218"/>
      <c r="B3616" s="214"/>
    </row>
    <row r="3617" spans="1:2">
      <c r="A3617" s="218"/>
      <c r="B3617" s="214"/>
    </row>
    <row r="3618" spans="1:2">
      <c r="A3618" s="218"/>
      <c r="B3618" s="214"/>
    </row>
    <row r="3619" spans="1:2">
      <c r="A3619" s="218"/>
      <c r="B3619" s="214"/>
    </row>
    <row r="3620" spans="1:2">
      <c r="A3620" s="218"/>
      <c r="B3620" s="214"/>
    </row>
    <row r="3621" spans="1:2">
      <c r="A3621" s="218"/>
      <c r="B3621" s="214"/>
    </row>
    <row r="3622" spans="1:2">
      <c r="A3622" s="218"/>
      <c r="B3622" s="214"/>
    </row>
    <row r="3623" spans="1:2">
      <c r="A3623" s="218"/>
      <c r="B3623" s="214"/>
    </row>
    <row r="3624" spans="1:2">
      <c r="A3624" s="218"/>
      <c r="B3624" s="214"/>
    </row>
    <row r="3625" spans="1:2">
      <c r="A3625" s="218"/>
      <c r="B3625" s="214"/>
    </row>
    <row r="3626" spans="1:2">
      <c r="A3626" s="218"/>
      <c r="B3626" s="214"/>
    </row>
    <row r="3627" spans="1:2">
      <c r="A3627" s="218"/>
      <c r="B3627" s="214"/>
    </row>
    <row r="3628" spans="1:2">
      <c r="A3628" s="218"/>
      <c r="B3628" s="214"/>
    </row>
    <row r="3629" spans="1:2">
      <c r="A3629" s="218"/>
      <c r="B3629" s="214"/>
    </row>
    <row r="3630" spans="1:2">
      <c r="A3630" s="218"/>
      <c r="B3630" s="214"/>
    </row>
    <row r="3631" spans="1:2">
      <c r="A3631" s="218"/>
      <c r="B3631" s="214"/>
    </row>
    <row r="3632" spans="1:2">
      <c r="A3632" s="218"/>
      <c r="B3632" s="214"/>
    </row>
    <row r="3633" spans="1:2">
      <c r="A3633" s="218"/>
      <c r="B3633" s="214"/>
    </row>
    <row r="3634" spans="1:2">
      <c r="A3634" s="218"/>
      <c r="B3634" s="214"/>
    </row>
    <row r="3635" spans="1:2">
      <c r="A3635" s="218"/>
      <c r="B3635" s="214"/>
    </row>
    <row r="3636" spans="1:2">
      <c r="A3636" s="218"/>
      <c r="B3636" s="214"/>
    </row>
    <row r="3637" spans="1:2">
      <c r="A3637" s="218"/>
      <c r="B3637" s="214"/>
    </row>
    <row r="3638" spans="1:2">
      <c r="A3638" s="218"/>
      <c r="B3638" s="214"/>
    </row>
    <row r="3639" spans="1:2">
      <c r="A3639" s="218"/>
      <c r="B3639" s="214"/>
    </row>
    <row r="3640" spans="1:2">
      <c r="A3640" s="218"/>
      <c r="B3640" s="214"/>
    </row>
    <row r="3641" spans="1:2">
      <c r="A3641" s="218"/>
      <c r="B3641" s="214"/>
    </row>
    <row r="3642" spans="1:2">
      <c r="A3642" s="218"/>
      <c r="B3642" s="214"/>
    </row>
    <row r="3643" spans="1:2">
      <c r="A3643" s="218"/>
      <c r="B3643" s="214"/>
    </row>
    <row r="3644" spans="1:2">
      <c r="A3644" s="218"/>
      <c r="B3644" s="214"/>
    </row>
    <row r="3645" spans="1:2">
      <c r="A3645" s="218"/>
      <c r="B3645" s="214"/>
    </row>
    <row r="3646" spans="1:2">
      <c r="A3646" s="218"/>
      <c r="B3646" s="214"/>
    </row>
    <row r="3647" spans="1:2">
      <c r="A3647" s="218"/>
      <c r="B3647" s="214"/>
    </row>
    <row r="3648" spans="1:2">
      <c r="A3648" s="218"/>
      <c r="B3648" s="214"/>
    </row>
    <row r="3649" spans="1:2">
      <c r="A3649" s="218"/>
      <c r="B3649" s="214"/>
    </row>
    <row r="3650" spans="1:2">
      <c r="A3650" s="218"/>
      <c r="B3650" s="214"/>
    </row>
    <row r="3651" spans="1:2">
      <c r="A3651" s="218"/>
      <c r="B3651" s="214"/>
    </row>
    <row r="3652" spans="1:2">
      <c r="A3652" s="218"/>
      <c r="B3652" s="214"/>
    </row>
    <row r="3653" spans="1:2">
      <c r="A3653" s="218"/>
      <c r="B3653" s="214"/>
    </row>
    <row r="3654" spans="1:2">
      <c r="A3654" s="218"/>
      <c r="B3654" s="214"/>
    </row>
    <row r="3655" spans="1:2">
      <c r="A3655" s="218"/>
      <c r="B3655" s="214"/>
    </row>
    <row r="3656" spans="1:2">
      <c r="A3656" s="218"/>
      <c r="B3656" s="214"/>
    </row>
    <row r="3657" spans="1:2">
      <c r="A3657" s="218"/>
      <c r="B3657" s="214"/>
    </row>
    <row r="3658" spans="1:2">
      <c r="A3658" s="218"/>
      <c r="B3658" s="214"/>
    </row>
    <row r="3659" spans="1:2">
      <c r="A3659" s="218"/>
      <c r="B3659" s="214"/>
    </row>
    <row r="3660" spans="1:2">
      <c r="A3660" s="218"/>
      <c r="B3660" s="214"/>
    </row>
    <row r="3661" spans="1:2">
      <c r="A3661" s="218"/>
      <c r="B3661" s="214"/>
    </row>
    <row r="3662" spans="1:2">
      <c r="A3662" s="218"/>
      <c r="B3662" s="214"/>
    </row>
    <row r="3663" spans="1:2">
      <c r="A3663" s="218"/>
      <c r="B3663" s="214"/>
    </row>
    <row r="3664" spans="1:2">
      <c r="A3664" s="218"/>
      <c r="B3664" s="214"/>
    </row>
    <row r="3665" spans="1:2">
      <c r="A3665" s="218"/>
      <c r="B3665" s="214"/>
    </row>
    <row r="3666" spans="1:2">
      <c r="A3666" s="218"/>
      <c r="B3666" s="214"/>
    </row>
    <row r="3667" spans="1:2">
      <c r="A3667" s="218"/>
      <c r="B3667" s="214"/>
    </row>
    <row r="3668" spans="1:2">
      <c r="A3668" s="218"/>
      <c r="B3668" s="214"/>
    </row>
    <row r="3669" spans="1:2">
      <c r="A3669" s="218"/>
      <c r="B3669" s="214"/>
    </row>
    <row r="3670" spans="1:2">
      <c r="A3670" s="218"/>
      <c r="B3670" s="214"/>
    </row>
    <row r="3671" spans="1:2">
      <c r="A3671" s="218"/>
      <c r="B3671" s="214"/>
    </row>
    <row r="3672" spans="1:2">
      <c r="A3672" s="218"/>
      <c r="B3672" s="214"/>
    </row>
    <row r="3673" spans="1:2">
      <c r="A3673" s="218"/>
      <c r="B3673" s="214"/>
    </row>
    <row r="3674" spans="1:2">
      <c r="A3674" s="218"/>
      <c r="B3674" s="214"/>
    </row>
    <row r="3675" spans="1:2">
      <c r="A3675" s="218"/>
      <c r="B3675" s="214"/>
    </row>
    <row r="3676" spans="1:2">
      <c r="A3676" s="218"/>
      <c r="B3676" s="214"/>
    </row>
    <row r="3677" spans="1:2">
      <c r="A3677" s="218"/>
      <c r="B3677" s="214"/>
    </row>
    <row r="3678" spans="1:2">
      <c r="A3678" s="218"/>
      <c r="B3678" s="214"/>
    </row>
    <row r="3679" spans="1:2">
      <c r="A3679" s="218"/>
      <c r="B3679" s="214"/>
    </row>
    <row r="3680" spans="1:2">
      <c r="A3680" s="218"/>
      <c r="B3680" s="214"/>
    </row>
    <row r="3681" spans="1:2">
      <c r="A3681" s="218"/>
      <c r="B3681" s="214"/>
    </row>
    <row r="3682" spans="1:2">
      <c r="A3682" s="218"/>
      <c r="B3682" s="214"/>
    </row>
    <row r="3683" spans="1:2">
      <c r="A3683" s="218"/>
      <c r="B3683" s="214"/>
    </row>
    <row r="3684" spans="1:2">
      <c r="A3684" s="218"/>
      <c r="B3684" s="214"/>
    </row>
    <row r="3685" spans="1:2">
      <c r="A3685" s="218"/>
      <c r="B3685" s="214"/>
    </row>
    <row r="3686" spans="1:2">
      <c r="A3686" s="218"/>
      <c r="B3686" s="214"/>
    </row>
    <row r="3687" spans="1:2">
      <c r="A3687" s="218"/>
      <c r="B3687" s="214"/>
    </row>
    <row r="3688" spans="1:2">
      <c r="A3688" s="218"/>
      <c r="B3688" s="214"/>
    </row>
    <row r="3689" spans="1:2">
      <c r="A3689" s="218"/>
      <c r="B3689" s="214"/>
    </row>
    <row r="3690" spans="1:2">
      <c r="A3690" s="218"/>
      <c r="B3690" s="214"/>
    </row>
    <row r="3691" spans="1:2">
      <c r="A3691" s="218"/>
      <c r="B3691" s="214"/>
    </row>
    <row r="3692" spans="1:2">
      <c r="A3692" s="218"/>
      <c r="B3692" s="214"/>
    </row>
    <row r="3693" spans="1:2">
      <c r="A3693" s="218"/>
      <c r="B3693" s="214"/>
    </row>
    <row r="3694" spans="1:2">
      <c r="A3694" s="218"/>
      <c r="B3694" s="214"/>
    </row>
    <row r="3695" spans="1:2">
      <c r="A3695" s="218"/>
      <c r="B3695" s="214"/>
    </row>
    <row r="3696" spans="1:2">
      <c r="A3696" s="218"/>
      <c r="B3696" s="214"/>
    </row>
    <row r="3697" spans="1:2">
      <c r="A3697" s="218"/>
      <c r="B3697" s="214"/>
    </row>
    <row r="3698" spans="1:2">
      <c r="A3698" s="218"/>
      <c r="B3698" s="214"/>
    </row>
    <row r="3699" spans="1:2">
      <c r="A3699" s="218"/>
      <c r="B3699" s="214"/>
    </row>
    <row r="3700" spans="1:2">
      <c r="A3700" s="218"/>
      <c r="B3700" s="214"/>
    </row>
    <row r="3701" spans="1:2">
      <c r="A3701" s="218"/>
      <c r="B3701" s="214"/>
    </row>
    <row r="3702" spans="1:2">
      <c r="A3702" s="218"/>
      <c r="B3702" s="214"/>
    </row>
    <row r="3703" spans="1:2">
      <c r="A3703" s="218"/>
      <c r="B3703" s="214"/>
    </row>
    <row r="3704" spans="1:2">
      <c r="A3704" s="218"/>
      <c r="B3704" s="214"/>
    </row>
    <row r="3705" spans="1:2">
      <c r="A3705" s="218"/>
      <c r="B3705" s="214"/>
    </row>
    <row r="3706" spans="1:2">
      <c r="A3706" s="218"/>
      <c r="B3706" s="214"/>
    </row>
    <row r="3707" spans="1:2">
      <c r="A3707" s="218"/>
      <c r="B3707" s="214"/>
    </row>
    <row r="3708" spans="1:2">
      <c r="A3708" s="218"/>
      <c r="B3708" s="214"/>
    </row>
    <row r="3709" spans="1:2">
      <c r="A3709" s="218"/>
      <c r="B3709" s="214"/>
    </row>
    <row r="3710" spans="1:2">
      <c r="A3710" s="218"/>
      <c r="B3710" s="214"/>
    </row>
    <row r="3711" spans="1:2">
      <c r="A3711" s="218"/>
      <c r="B3711" s="214"/>
    </row>
    <row r="3712" spans="1:2">
      <c r="A3712" s="218"/>
      <c r="B3712" s="214"/>
    </row>
    <row r="3713" spans="1:2">
      <c r="A3713" s="218"/>
      <c r="B3713" s="214"/>
    </row>
    <row r="3714" spans="1:2">
      <c r="A3714" s="218"/>
      <c r="B3714" s="214"/>
    </row>
    <row r="3715" spans="1:2">
      <c r="A3715" s="218"/>
      <c r="B3715" s="214"/>
    </row>
    <row r="3716" spans="1:2">
      <c r="A3716" s="218"/>
      <c r="B3716" s="214"/>
    </row>
    <row r="3717" spans="1:2">
      <c r="A3717" s="218"/>
      <c r="B3717" s="214"/>
    </row>
    <row r="3718" spans="1:2">
      <c r="A3718" s="218"/>
      <c r="B3718" s="214"/>
    </row>
    <row r="3719" spans="1:2">
      <c r="A3719" s="218"/>
      <c r="B3719" s="214"/>
    </row>
    <row r="3720" spans="1:2">
      <c r="A3720" s="218"/>
      <c r="B3720" s="214"/>
    </row>
    <row r="3721" spans="1:2">
      <c r="A3721" s="218"/>
      <c r="B3721" s="214"/>
    </row>
    <row r="3722" spans="1:2">
      <c r="A3722" s="218"/>
      <c r="B3722" s="214"/>
    </row>
    <row r="3723" spans="1:2">
      <c r="A3723" s="218"/>
      <c r="B3723" s="214"/>
    </row>
    <row r="3724" spans="1:2">
      <c r="A3724" s="218"/>
      <c r="B3724" s="214"/>
    </row>
    <row r="3725" spans="1:2">
      <c r="A3725" s="218"/>
      <c r="B3725" s="214"/>
    </row>
    <row r="3726" spans="1:2">
      <c r="A3726" s="218"/>
      <c r="B3726" s="214"/>
    </row>
    <row r="3727" spans="1:2">
      <c r="A3727" s="218"/>
      <c r="B3727" s="214"/>
    </row>
    <row r="3728" spans="1:2">
      <c r="A3728" s="218"/>
      <c r="B3728" s="214"/>
    </row>
    <row r="3729" spans="1:2">
      <c r="A3729" s="218"/>
      <c r="B3729" s="214"/>
    </row>
    <row r="3730" spans="1:2">
      <c r="A3730" s="218"/>
      <c r="B3730" s="214"/>
    </row>
    <row r="3731" spans="1:2">
      <c r="A3731" s="218"/>
      <c r="B3731" s="214"/>
    </row>
    <row r="3732" spans="1:2">
      <c r="A3732" s="218"/>
      <c r="B3732" s="214"/>
    </row>
    <row r="3733" spans="1:2">
      <c r="A3733" s="218"/>
      <c r="B3733" s="214"/>
    </row>
    <row r="3734" spans="1:2">
      <c r="A3734" s="218"/>
      <c r="B3734" s="214"/>
    </row>
    <row r="3735" spans="1:2">
      <c r="A3735" s="218"/>
      <c r="B3735" s="214"/>
    </row>
    <row r="3736" spans="1:2">
      <c r="A3736" s="218"/>
      <c r="B3736" s="214"/>
    </row>
    <row r="3737" spans="1:2">
      <c r="A3737" s="218"/>
      <c r="B3737" s="214"/>
    </row>
    <row r="3738" spans="1:2">
      <c r="A3738" s="218"/>
      <c r="B3738" s="214"/>
    </row>
    <row r="3739" spans="1:2">
      <c r="A3739" s="218"/>
      <c r="B3739" s="214"/>
    </row>
    <row r="3740" spans="1:2">
      <c r="A3740" s="218"/>
      <c r="B3740" s="214"/>
    </row>
    <row r="3741" spans="1:2">
      <c r="A3741" s="218"/>
      <c r="B3741" s="214"/>
    </row>
    <row r="3742" spans="1:2">
      <c r="A3742" s="218"/>
      <c r="B3742" s="214"/>
    </row>
    <row r="3743" spans="1:2">
      <c r="A3743" s="218"/>
      <c r="B3743" s="214"/>
    </row>
    <row r="3744" spans="1:2">
      <c r="A3744" s="218"/>
      <c r="B3744" s="214"/>
    </row>
    <row r="3745" spans="1:2">
      <c r="A3745" s="218"/>
      <c r="B3745" s="214"/>
    </row>
    <row r="3746" spans="1:2">
      <c r="A3746" s="218"/>
      <c r="B3746" s="214"/>
    </row>
    <row r="3747" spans="1:2">
      <c r="A3747" s="218"/>
      <c r="B3747" s="214"/>
    </row>
    <row r="3748" spans="1:2">
      <c r="A3748" s="218"/>
      <c r="B3748" s="214"/>
    </row>
    <row r="3749" spans="1:2">
      <c r="A3749" s="218"/>
      <c r="B3749" s="214"/>
    </row>
    <row r="3750" spans="1:2">
      <c r="A3750" s="218"/>
      <c r="B3750" s="214"/>
    </row>
    <row r="3751" spans="1:2">
      <c r="A3751" s="218"/>
      <c r="B3751" s="214"/>
    </row>
    <row r="3752" spans="1:2">
      <c r="A3752" s="218"/>
      <c r="B3752" s="214"/>
    </row>
    <row r="3753" spans="1:2">
      <c r="A3753" s="218"/>
      <c r="B3753" s="214"/>
    </row>
    <row r="3754" spans="1:2">
      <c r="A3754" s="218"/>
      <c r="B3754" s="214"/>
    </row>
    <row r="3755" spans="1:2">
      <c r="A3755" s="218"/>
      <c r="B3755" s="214"/>
    </row>
    <row r="3756" spans="1:2">
      <c r="A3756" s="218"/>
      <c r="B3756" s="214"/>
    </row>
    <row r="3757" spans="1:2">
      <c r="A3757" s="218"/>
      <c r="B3757" s="214"/>
    </row>
    <row r="3758" spans="1:2">
      <c r="A3758" s="218"/>
      <c r="B3758" s="214"/>
    </row>
    <row r="3759" spans="1:2">
      <c r="A3759" s="218"/>
      <c r="B3759" s="214"/>
    </row>
    <row r="3760" spans="1:2">
      <c r="A3760" s="218"/>
      <c r="B3760" s="214"/>
    </row>
    <row r="3761" spans="1:2">
      <c r="A3761" s="218"/>
      <c r="B3761" s="214"/>
    </row>
    <row r="3762" spans="1:2">
      <c r="A3762" s="218"/>
      <c r="B3762" s="214"/>
    </row>
    <row r="3763" spans="1:2">
      <c r="A3763" s="218"/>
      <c r="B3763" s="214"/>
    </row>
    <row r="3764" spans="1:2">
      <c r="A3764" s="218"/>
      <c r="B3764" s="214"/>
    </row>
    <row r="3765" spans="1:2">
      <c r="A3765" s="218"/>
      <c r="B3765" s="214"/>
    </row>
    <row r="3766" spans="1:2">
      <c r="A3766" s="218"/>
      <c r="B3766" s="214"/>
    </row>
    <row r="3767" spans="1:2">
      <c r="A3767" s="218"/>
      <c r="B3767" s="214"/>
    </row>
    <row r="3768" spans="1:2">
      <c r="A3768" s="218"/>
      <c r="B3768" s="214"/>
    </row>
    <row r="3769" spans="1:2">
      <c r="A3769" s="218"/>
      <c r="B3769" s="214"/>
    </row>
    <row r="3770" spans="1:2">
      <c r="A3770" s="218"/>
      <c r="B3770" s="214"/>
    </row>
    <row r="3771" spans="1:2">
      <c r="A3771" s="218"/>
      <c r="B3771" s="214"/>
    </row>
    <row r="3772" spans="1:2">
      <c r="A3772" s="218"/>
      <c r="B3772" s="214"/>
    </row>
    <row r="3773" spans="1:2">
      <c r="A3773" s="218"/>
      <c r="B3773" s="214"/>
    </row>
    <row r="3774" spans="1:2">
      <c r="A3774" s="218"/>
      <c r="B3774" s="214"/>
    </row>
    <row r="3775" spans="1:2">
      <c r="A3775" s="218"/>
      <c r="B3775" s="214"/>
    </row>
    <row r="3776" spans="1:2">
      <c r="A3776" s="218"/>
      <c r="B3776" s="214"/>
    </row>
    <row r="3777" spans="1:2">
      <c r="A3777" s="218"/>
      <c r="B3777" s="214"/>
    </row>
    <row r="3778" spans="1:2">
      <c r="A3778" s="218"/>
      <c r="B3778" s="214"/>
    </row>
    <row r="3779" spans="1:2">
      <c r="A3779" s="218"/>
      <c r="B3779" s="214"/>
    </row>
    <row r="3780" spans="1:2">
      <c r="A3780" s="218"/>
      <c r="B3780" s="214"/>
    </row>
    <row r="3781" spans="1:2">
      <c r="A3781" s="218"/>
      <c r="B3781" s="214"/>
    </row>
    <row r="3782" spans="1:2">
      <c r="A3782" s="218"/>
      <c r="B3782" s="214"/>
    </row>
    <row r="3783" spans="1:2">
      <c r="A3783" s="218"/>
      <c r="B3783" s="214"/>
    </row>
    <row r="3784" spans="1:2">
      <c r="A3784" s="218"/>
      <c r="B3784" s="214"/>
    </row>
    <row r="3785" spans="1:2">
      <c r="A3785" s="218"/>
      <c r="B3785" s="214"/>
    </row>
    <row r="3786" spans="1:2">
      <c r="A3786" s="218"/>
      <c r="B3786" s="214"/>
    </row>
    <row r="3787" spans="1:2">
      <c r="A3787" s="218"/>
      <c r="B3787" s="214"/>
    </row>
    <row r="3788" spans="1:2">
      <c r="A3788" s="218"/>
      <c r="B3788" s="214"/>
    </row>
    <row r="3789" spans="1:2">
      <c r="A3789" s="218"/>
      <c r="B3789" s="214"/>
    </row>
    <row r="3790" spans="1:2">
      <c r="A3790" s="218"/>
      <c r="B3790" s="214"/>
    </row>
    <row r="3791" spans="1:2">
      <c r="A3791" s="218"/>
      <c r="B3791" s="214"/>
    </row>
    <row r="3792" spans="1:2">
      <c r="A3792" s="218"/>
      <c r="B3792" s="214"/>
    </row>
    <row r="3793" spans="1:2">
      <c r="A3793" s="218"/>
      <c r="B3793" s="214"/>
    </row>
    <row r="3794" spans="1:2">
      <c r="A3794" s="218"/>
      <c r="B3794" s="214"/>
    </row>
    <row r="3795" spans="1:2">
      <c r="A3795" s="218"/>
      <c r="B3795" s="214"/>
    </row>
    <row r="3796" spans="1:2">
      <c r="A3796" s="218"/>
      <c r="B3796" s="214"/>
    </row>
    <row r="3797" spans="1:2">
      <c r="A3797" s="218"/>
      <c r="B3797" s="214"/>
    </row>
    <row r="3798" spans="1:2">
      <c r="A3798" s="218"/>
      <c r="B3798" s="214"/>
    </row>
    <row r="3799" spans="1:2">
      <c r="A3799" s="218"/>
      <c r="B3799" s="214"/>
    </row>
    <row r="3800" spans="1:2">
      <c r="A3800" s="218"/>
      <c r="B3800" s="214"/>
    </row>
    <row r="3801" spans="1:2">
      <c r="A3801" s="218"/>
      <c r="B3801" s="214"/>
    </row>
    <row r="3802" spans="1:2">
      <c r="A3802" s="218"/>
      <c r="B3802" s="214"/>
    </row>
    <row r="3803" spans="1:2">
      <c r="A3803" s="218"/>
      <c r="B3803" s="214"/>
    </row>
    <row r="3804" spans="1:2">
      <c r="A3804" s="218"/>
      <c r="B3804" s="214"/>
    </row>
    <row r="3805" spans="1:2">
      <c r="A3805" s="218"/>
      <c r="B3805" s="214"/>
    </row>
    <row r="3806" spans="1:2">
      <c r="A3806" s="218"/>
      <c r="B3806" s="214"/>
    </row>
    <row r="3807" spans="1:2">
      <c r="A3807" s="218"/>
      <c r="B3807" s="214"/>
    </row>
    <row r="3808" spans="1:2">
      <c r="A3808" s="218"/>
      <c r="B3808" s="214"/>
    </row>
    <row r="3809" spans="1:2">
      <c r="A3809" s="218"/>
      <c r="B3809" s="214"/>
    </row>
    <row r="3810" spans="1:2">
      <c r="A3810" s="218"/>
      <c r="B3810" s="214"/>
    </row>
    <row r="3811" spans="1:2">
      <c r="A3811" s="218"/>
      <c r="B3811" s="214"/>
    </row>
    <row r="3812" spans="1:2">
      <c r="A3812" s="218"/>
      <c r="B3812" s="214"/>
    </row>
    <row r="3813" spans="1:2">
      <c r="A3813" s="218"/>
      <c r="B3813" s="214"/>
    </row>
    <row r="3814" spans="1:2">
      <c r="A3814" s="218"/>
      <c r="B3814" s="214"/>
    </row>
    <row r="3815" spans="1:2">
      <c r="A3815" s="218"/>
      <c r="B3815" s="214"/>
    </row>
    <row r="3816" spans="1:2">
      <c r="A3816" s="218"/>
      <c r="B3816" s="214"/>
    </row>
    <row r="3817" spans="1:2">
      <c r="A3817" s="218"/>
      <c r="B3817" s="214"/>
    </row>
    <row r="3818" spans="1:2">
      <c r="A3818" s="218"/>
      <c r="B3818" s="214"/>
    </row>
    <row r="3819" spans="1:2">
      <c r="A3819" s="218"/>
      <c r="B3819" s="214"/>
    </row>
    <row r="3820" spans="1:2">
      <c r="A3820" s="218"/>
      <c r="B3820" s="214"/>
    </row>
    <row r="3821" spans="1:2">
      <c r="A3821" s="218"/>
      <c r="B3821" s="214"/>
    </row>
    <row r="3822" spans="1:2">
      <c r="A3822" s="218"/>
      <c r="B3822" s="214"/>
    </row>
    <row r="3823" spans="1:2">
      <c r="A3823" s="218"/>
      <c r="B3823" s="214"/>
    </row>
    <row r="3824" spans="1:2">
      <c r="A3824" s="218"/>
      <c r="B3824" s="214"/>
    </row>
    <row r="3825" spans="1:2">
      <c r="A3825" s="218"/>
      <c r="B3825" s="214"/>
    </row>
    <row r="3826" spans="1:2">
      <c r="A3826" s="218"/>
      <c r="B3826" s="214"/>
    </row>
    <row r="3827" spans="1:2">
      <c r="A3827" s="218"/>
      <c r="B3827" s="214"/>
    </row>
    <row r="3828" spans="1:2">
      <c r="A3828" s="218"/>
      <c r="B3828" s="214"/>
    </row>
    <row r="3829" spans="1:2">
      <c r="A3829" s="218"/>
      <c r="B3829" s="214"/>
    </row>
    <row r="3830" spans="1:2">
      <c r="A3830" s="218"/>
      <c r="B3830" s="214"/>
    </row>
    <row r="3831" spans="1:2">
      <c r="A3831" s="218"/>
      <c r="B3831" s="214"/>
    </row>
    <row r="3832" spans="1:2">
      <c r="A3832" s="218"/>
      <c r="B3832" s="214"/>
    </row>
    <row r="3833" spans="1:2">
      <c r="A3833" s="218"/>
      <c r="B3833" s="214"/>
    </row>
    <row r="3834" spans="1:2">
      <c r="A3834" s="218"/>
      <c r="B3834" s="214"/>
    </row>
    <row r="3835" spans="1:2">
      <c r="A3835" s="218"/>
      <c r="B3835" s="214"/>
    </row>
    <row r="3836" spans="1:2">
      <c r="A3836" s="218"/>
      <c r="B3836" s="214"/>
    </row>
    <row r="3837" spans="1:2">
      <c r="A3837" s="218"/>
      <c r="B3837" s="214"/>
    </row>
    <row r="3838" spans="1:2">
      <c r="A3838" s="218"/>
      <c r="B3838" s="214"/>
    </row>
    <row r="3839" spans="1:2">
      <c r="A3839" s="218"/>
      <c r="B3839" s="214"/>
    </row>
    <row r="3840" spans="1:2">
      <c r="A3840" s="218"/>
      <c r="B3840" s="214"/>
    </row>
    <row r="3841" spans="1:2">
      <c r="A3841" s="218"/>
      <c r="B3841" s="214"/>
    </row>
    <row r="3842" spans="1:2">
      <c r="A3842" s="218"/>
      <c r="B3842" s="214"/>
    </row>
    <row r="3843" spans="1:2">
      <c r="A3843" s="218"/>
      <c r="B3843" s="214"/>
    </row>
    <row r="3844" spans="1:2">
      <c r="A3844" s="218"/>
      <c r="B3844" s="214"/>
    </row>
    <row r="3845" spans="1:2">
      <c r="A3845" s="218"/>
      <c r="B3845" s="214"/>
    </row>
    <row r="3846" spans="1:2">
      <c r="A3846" s="218"/>
      <c r="B3846" s="214"/>
    </row>
    <row r="3847" spans="1:2">
      <c r="A3847" s="218"/>
      <c r="B3847" s="214"/>
    </row>
    <row r="3848" spans="1:2">
      <c r="A3848" s="218"/>
      <c r="B3848" s="214"/>
    </row>
    <row r="3849" spans="1:2">
      <c r="A3849" s="218"/>
      <c r="B3849" s="214"/>
    </row>
    <row r="3850" spans="1:2">
      <c r="A3850" s="218"/>
      <c r="B3850" s="214"/>
    </row>
    <row r="3851" spans="1:2">
      <c r="A3851" s="218"/>
      <c r="B3851" s="214"/>
    </row>
    <row r="3852" spans="1:2">
      <c r="A3852" s="218"/>
      <c r="B3852" s="214"/>
    </row>
    <row r="3853" spans="1:2">
      <c r="A3853" s="218"/>
      <c r="B3853" s="214"/>
    </row>
    <row r="3854" spans="1:2">
      <c r="A3854" s="218"/>
      <c r="B3854" s="214"/>
    </row>
    <row r="3855" spans="1:2">
      <c r="A3855" s="218"/>
      <c r="B3855" s="214"/>
    </row>
    <row r="3856" spans="1:2">
      <c r="A3856" s="218"/>
      <c r="B3856" s="214"/>
    </row>
    <row r="3857" spans="1:2">
      <c r="A3857" s="218"/>
      <c r="B3857" s="214"/>
    </row>
    <row r="3858" spans="1:2">
      <c r="A3858" s="218"/>
      <c r="B3858" s="214"/>
    </row>
    <row r="3859" spans="1:2">
      <c r="A3859" s="218"/>
      <c r="B3859" s="214"/>
    </row>
    <row r="3860" spans="1:2">
      <c r="A3860" s="218"/>
      <c r="B3860" s="214"/>
    </row>
    <row r="3861" spans="1:2">
      <c r="A3861" s="218"/>
      <c r="B3861" s="214"/>
    </row>
    <row r="3862" spans="1:2">
      <c r="A3862" s="218"/>
      <c r="B3862" s="214"/>
    </row>
    <row r="3863" spans="1:2">
      <c r="A3863" s="218"/>
      <c r="B3863" s="214"/>
    </row>
    <row r="3864" spans="1:2">
      <c r="A3864" s="218"/>
      <c r="B3864" s="214"/>
    </row>
    <row r="3865" spans="1:2">
      <c r="A3865" s="218"/>
      <c r="B3865" s="214"/>
    </row>
    <row r="3866" spans="1:2">
      <c r="A3866" s="218"/>
      <c r="B3866" s="214"/>
    </row>
    <row r="3867" spans="1:2">
      <c r="A3867" s="218"/>
      <c r="B3867" s="214"/>
    </row>
    <row r="3868" spans="1:2">
      <c r="A3868" s="218"/>
      <c r="B3868" s="214"/>
    </row>
    <row r="3869" spans="1:2">
      <c r="A3869" s="218"/>
      <c r="B3869" s="214"/>
    </row>
    <row r="3870" spans="1:2">
      <c r="A3870" s="218"/>
      <c r="B3870" s="214"/>
    </row>
    <row r="3871" spans="1:2">
      <c r="A3871" s="218"/>
      <c r="B3871" s="214"/>
    </row>
    <row r="3872" spans="1:2">
      <c r="A3872" s="218"/>
      <c r="B3872" s="214"/>
    </row>
    <row r="3873" spans="1:2">
      <c r="A3873" s="218"/>
      <c r="B3873" s="214"/>
    </row>
    <row r="3874" spans="1:2">
      <c r="A3874" s="218"/>
      <c r="B3874" s="214"/>
    </row>
    <row r="3875" spans="1:2">
      <c r="A3875" s="218"/>
      <c r="B3875" s="214"/>
    </row>
    <row r="3876" spans="1:2">
      <c r="A3876" s="218"/>
      <c r="B3876" s="214"/>
    </row>
    <row r="3877" spans="1:2">
      <c r="A3877" s="218"/>
      <c r="B3877" s="214"/>
    </row>
    <row r="3878" spans="1:2">
      <c r="A3878" s="218"/>
      <c r="B3878" s="214"/>
    </row>
    <row r="3879" spans="1:2">
      <c r="A3879" s="218"/>
      <c r="B3879" s="214"/>
    </row>
    <row r="3880" spans="1:2">
      <c r="A3880" s="218"/>
      <c r="B3880" s="214"/>
    </row>
    <row r="3881" spans="1:2">
      <c r="A3881" s="218"/>
      <c r="B3881" s="214"/>
    </row>
    <row r="3882" spans="1:2">
      <c r="A3882" s="218"/>
      <c r="B3882" s="214"/>
    </row>
    <row r="3883" spans="1:2">
      <c r="A3883" s="218"/>
      <c r="B3883" s="214"/>
    </row>
    <row r="3884" spans="1:2">
      <c r="A3884" s="218"/>
      <c r="B3884" s="214"/>
    </row>
    <row r="3885" spans="1:2">
      <c r="A3885" s="218"/>
      <c r="B3885" s="214"/>
    </row>
    <row r="3886" spans="1:2">
      <c r="A3886" s="218"/>
      <c r="B3886" s="214"/>
    </row>
    <row r="3887" spans="1:2">
      <c r="A3887" s="218"/>
      <c r="B3887" s="214"/>
    </row>
    <row r="3888" spans="1:2">
      <c r="A3888" s="218"/>
      <c r="B3888" s="214"/>
    </row>
    <row r="3889" spans="1:2">
      <c r="A3889" s="218"/>
      <c r="B3889" s="214"/>
    </row>
    <row r="3890" spans="1:2">
      <c r="A3890" s="218"/>
      <c r="B3890" s="214"/>
    </row>
    <row r="3891" spans="1:2">
      <c r="A3891" s="218"/>
      <c r="B3891" s="214"/>
    </row>
    <row r="3892" spans="1:2">
      <c r="A3892" s="218"/>
      <c r="B3892" s="214"/>
    </row>
    <row r="3893" spans="1:2">
      <c r="A3893" s="218"/>
      <c r="B3893" s="214"/>
    </row>
    <row r="3894" spans="1:2">
      <c r="A3894" s="218"/>
      <c r="B3894" s="214"/>
    </row>
    <row r="3895" spans="1:2">
      <c r="A3895" s="218"/>
      <c r="B3895" s="214"/>
    </row>
    <row r="3896" spans="1:2">
      <c r="A3896" s="218"/>
      <c r="B3896" s="214"/>
    </row>
    <row r="3897" spans="1:2">
      <c r="A3897" s="218"/>
      <c r="B3897" s="214"/>
    </row>
    <row r="3898" spans="1:2">
      <c r="A3898" s="218"/>
      <c r="B3898" s="214"/>
    </row>
    <row r="3899" spans="1:2">
      <c r="A3899" s="218"/>
      <c r="B3899" s="214"/>
    </row>
    <row r="3900" spans="1:2">
      <c r="A3900" s="218"/>
      <c r="B3900" s="214"/>
    </row>
    <row r="3901" spans="1:2">
      <c r="A3901" s="218"/>
      <c r="B3901" s="214"/>
    </row>
    <row r="3902" spans="1:2">
      <c r="A3902" s="218"/>
      <c r="B3902" s="214"/>
    </row>
    <row r="3903" spans="1:2">
      <c r="A3903" s="218"/>
      <c r="B3903" s="214"/>
    </row>
    <row r="3904" spans="1:2">
      <c r="A3904" s="218"/>
      <c r="B3904" s="214"/>
    </row>
    <row r="3905" spans="1:2">
      <c r="A3905" s="218"/>
      <c r="B3905" s="214"/>
    </row>
    <row r="3906" spans="1:2">
      <c r="A3906" s="218"/>
      <c r="B3906" s="214"/>
    </row>
    <row r="3907" spans="1:2">
      <c r="A3907" s="218"/>
      <c r="B3907" s="214"/>
    </row>
    <row r="3908" spans="1:2">
      <c r="A3908" s="218"/>
      <c r="B3908" s="214"/>
    </row>
    <row r="3909" spans="1:2">
      <c r="A3909" s="218"/>
      <c r="B3909" s="214"/>
    </row>
    <row r="3910" spans="1:2">
      <c r="A3910" s="218"/>
      <c r="B3910" s="214"/>
    </row>
    <row r="3911" spans="1:2">
      <c r="A3911" s="218"/>
      <c r="B3911" s="214"/>
    </row>
    <row r="3912" spans="1:2">
      <c r="A3912" s="218"/>
      <c r="B3912" s="214"/>
    </row>
    <row r="3913" spans="1:2">
      <c r="A3913" s="218"/>
      <c r="B3913" s="214"/>
    </row>
    <row r="3914" spans="1:2">
      <c r="A3914" s="218"/>
      <c r="B3914" s="214"/>
    </row>
    <row r="3915" spans="1:2">
      <c r="A3915" s="218"/>
      <c r="B3915" s="214"/>
    </row>
    <row r="3916" spans="1:2">
      <c r="A3916" s="218"/>
      <c r="B3916" s="214"/>
    </row>
    <row r="3917" spans="1:2">
      <c r="A3917" s="218"/>
      <c r="B3917" s="214"/>
    </row>
    <row r="3918" spans="1:2">
      <c r="A3918" s="218"/>
      <c r="B3918" s="214"/>
    </row>
    <row r="3919" spans="1:2">
      <c r="A3919" s="218"/>
      <c r="B3919" s="214"/>
    </row>
    <row r="3920" spans="1:2">
      <c r="A3920" s="218"/>
      <c r="B3920" s="214"/>
    </row>
    <row r="3921" spans="1:2">
      <c r="A3921" s="218"/>
      <c r="B3921" s="214"/>
    </row>
    <row r="3922" spans="1:2">
      <c r="A3922" s="218"/>
      <c r="B3922" s="214"/>
    </row>
    <row r="3923" spans="1:2">
      <c r="A3923" s="218"/>
      <c r="B3923" s="214"/>
    </row>
    <row r="3924" spans="1:2">
      <c r="A3924" s="218"/>
      <c r="B3924" s="214"/>
    </row>
    <row r="3925" spans="1:2">
      <c r="A3925" s="218"/>
      <c r="B3925" s="214"/>
    </row>
    <row r="3926" spans="1:2">
      <c r="A3926" s="218"/>
      <c r="B3926" s="214"/>
    </row>
    <row r="3927" spans="1:2">
      <c r="A3927" s="218"/>
      <c r="B3927" s="214"/>
    </row>
    <row r="3928" spans="1:2">
      <c r="A3928" s="218"/>
      <c r="B3928" s="214"/>
    </row>
    <row r="3929" spans="1:2">
      <c r="A3929" s="218"/>
      <c r="B3929" s="214"/>
    </row>
    <row r="3930" spans="1:2">
      <c r="A3930" s="218"/>
      <c r="B3930" s="214"/>
    </row>
    <row r="3931" spans="1:2">
      <c r="A3931" s="218"/>
      <c r="B3931" s="214"/>
    </row>
    <row r="3932" spans="1:2">
      <c r="A3932" s="218"/>
      <c r="B3932" s="214"/>
    </row>
    <row r="3933" spans="1:2">
      <c r="A3933" s="218"/>
      <c r="B3933" s="214"/>
    </row>
    <row r="3934" spans="1:2">
      <c r="A3934" s="218"/>
      <c r="B3934" s="214"/>
    </row>
    <row r="3935" spans="1:2">
      <c r="A3935" s="218"/>
      <c r="B3935" s="214"/>
    </row>
    <row r="3936" spans="1:2">
      <c r="A3936" s="218"/>
      <c r="B3936" s="214"/>
    </row>
    <row r="3937" spans="1:2">
      <c r="A3937" s="218"/>
      <c r="B3937" s="214"/>
    </row>
    <row r="3938" spans="1:2">
      <c r="A3938" s="218"/>
      <c r="B3938" s="214"/>
    </row>
    <row r="3939" spans="1:2">
      <c r="A3939" s="218"/>
      <c r="B3939" s="214"/>
    </row>
    <row r="3940" spans="1:2">
      <c r="A3940" s="218"/>
      <c r="B3940" s="214"/>
    </row>
    <row r="3941" spans="1:2">
      <c r="A3941" s="218"/>
      <c r="B3941" s="214"/>
    </row>
    <row r="3942" spans="1:2">
      <c r="A3942" s="218"/>
      <c r="B3942" s="214"/>
    </row>
    <row r="3943" spans="1:2">
      <c r="A3943" s="218"/>
      <c r="B3943" s="214"/>
    </row>
    <row r="3944" spans="1:2">
      <c r="A3944" s="218"/>
      <c r="B3944" s="214"/>
    </row>
    <row r="3945" spans="1:2">
      <c r="A3945" s="218"/>
      <c r="B3945" s="214"/>
    </row>
    <row r="3946" spans="1:2">
      <c r="A3946" s="218"/>
      <c r="B3946" s="214"/>
    </row>
    <row r="3947" spans="1:2">
      <c r="A3947" s="218"/>
      <c r="B3947" s="214"/>
    </row>
    <row r="3948" spans="1:2">
      <c r="A3948" s="218"/>
      <c r="B3948" s="214"/>
    </row>
    <row r="3949" spans="1:2">
      <c r="A3949" s="218"/>
      <c r="B3949" s="214"/>
    </row>
    <row r="3950" spans="1:2">
      <c r="A3950" s="218"/>
      <c r="B3950" s="214"/>
    </row>
    <row r="3951" spans="1:2">
      <c r="A3951" s="218"/>
      <c r="B3951" s="214"/>
    </row>
    <row r="3952" spans="1:2">
      <c r="A3952" s="218"/>
      <c r="B3952" s="214"/>
    </row>
    <row r="3953" spans="1:2">
      <c r="A3953" s="218"/>
      <c r="B3953" s="214"/>
    </row>
    <row r="3954" spans="1:2">
      <c r="A3954" s="218"/>
      <c r="B3954" s="214"/>
    </row>
    <row r="3955" spans="1:2">
      <c r="A3955" s="218"/>
      <c r="B3955" s="214"/>
    </row>
    <row r="3956" spans="1:2">
      <c r="A3956" s="218"/>
      <c r="B3956" s="214"/>
    </row>
    <row r="3957" spans="1:2">
      <c r="A3957" s="218"/>
      <c r="B3957" s="214"/>
    </row>
    <row r="3958" spans="1:2">
      <c r="A3958" s="218"/>
      <c r="B3958" s="214"/>
    </row>
    <row r="3959" spans="1:2">
      <c r="A3959" s="218"/>
      <c r="B3959" s="214"/>
    </row>
    <row r="3960" spans="1:2">
      <c r="A3960" s="218"/>
      <c r="B3960" s="214"/>
    </row>
    <row r="3961" spans="1:2">
      <c r="A3961" s="218"/>
      <c r="B3961" s="214"/>
    </row>
    <row r="3962" spans="1:2">
      <c r="A3962" s="218"/>
      <c r="B3962" s="214"/>
    </row>
    <row r="3963" spans="1:2">
      <c r="A3963" s="218"/>
      <c r="B3963" s="214"/>
    </row>
    <row r="3964" spans="1:2">
      <c r="A3964" s="218"/>
      <c r="B3964" s="214"/>
    </row>
    <row r="3965" spans="1:2">
      <c r="A3965" s="218"/>
      <c r="B3965" s="214"/>
    </row>
    <row r="3966" spans="1:2">
      <c r="A3966" s="218"/>
      <c r="B3966" s="214"/>
    </row>
    <row r="3967" spans="1:2">
      <c r="A3967" s="218"/>
      <c r="B3967" s="214"/>
    </row>
    <row r="3968" spans="1:2">
      <c r="A3968" s="218"/>
      <c r="B3968" s="214"/>
    </row>
    <row r="3969" spans="1:2">
      <c r="A3969" s="218"/>
      <c r="B3969" s="214"/>
    </row>
    <row r="3970" spans="1:2">
      <c r="A3970" s="218"/>
      <c r="B3970" s="214"/>
    </row>
    <row r="3971" spans="1:2">
      <c r="A3971" s="218"/>
      <c r="B3971" s="214"/>
    </row>
    <row r="3972" spans="1:2">
      <c r="A3972" s="218"/>
      <c r="B3972" s="214"/>
    </row>
    <row r="3973" spans="1:2">
      <c r="A3973" s="218"/>
      <c r="B3973" s="214"/>
    </row>
    <row r="3974" spans="1:2">
      <c r="A3974" s="218"/>
      <c r="B3974" s="214"/>
    </row>
    <row r="3975" spans="1:2">
      <c r="A3975" s="218"/>
      <c r="B3975" s="214"/>
    </row>
    <row r="3976" spans="1:2">
      <c r="A3976" s="218"/>
      <c r="B3976" s="214"/>
    </row>
    <row r="3977" spans="1:2">
      <c r="A3977" s="218"/>
      <c r="B3977" s="214"/>
    </row>
    <row r="3978" spans="1:2">
      <c r="A3978" s="218"/>
      <c r="B3978" s="214"/>
    </row>
    <row r="3979" spans="1:2">
      <c r="A3979" s="218"/>
      <c r="B3979" s="214"/>
    </row>
    <row r="3980" spans="1:2">
      <c r="A3980" s="218"/>
      <c r="B3980" s="214"/>
    </row>
    <row r="3981" spans="1:2">
      <c r="A3981" s="218"/>
      <c r="B3981" s="214"/>
    </row>
    <row r="3982" spans="1:2">
      <c r="A3982" s="218"/>
      <c r="B3982" s="214"/>
    </row>
    <row r="3983" spans="1:2">
      <c r="A3983" s="218"/>
      <c r="B3983" s="214"/>
    </row>
    <row r="3984" spans="1:2">
      <c r="A3984" s="218"/>
      <c r="B3984" s="214"/>
    </row>
    <row r="3985" spans="1:2">
      <c r="A3985" s="218"/>
      <c r="B3985" s="214"/>
    </row>
    <row r="3986" spans="1:2">
      <c r="A3986" s="218"/>
      <c r="B3986" s="214"/>
    </row>
    <row r="3987" spans="1:2">
      <c r="A3987" s="218"/>
      <c r="B3987" s="214"/>
    </row>
    <row r="3988" spans="1:2">
      <c r="A3988" s="218"/>
      <c r="B3988" s="214"/>
    </row>
    <row r="3989" spans="1:2">
      <c r="A3989" s="218"/>
      <c r="B3989" s="214"/>
    </row>
    <row r="3990" spans="1:2">
      <c r="A3990" s="218"/>
      <c r="B3990" s="214"/>
    </row>
    <row r="3991" spans="1:2">
      <c r="A3991" s="218"/>
      <c r="B3991" s="214"/>
    </row>
    <row r="3992" spans="1:2">
      <c r="A3992" s="218"/>
      <c r="B3992" s="214"/>
    </row>
    <row r="3993" spans="1:2">
      <c r="A3993" s="218"/>
      <c r="B3993" s="214"/>
    </row>
    <row r="3994" spans="1:2">
      <c r="A3994" s="218"/>
      <c r="B3994" s="214"/>
    </row>
    <row r="3995" spans="1:2">
      <c r="A3995" s="218"/>
      <c r="B3995" s="214"/>
    </row>
    <row r="3996" spans="1:2">
      <c r="A3996" s="218"/>
      <c r="B3996" s="214"/>
    </row>
    <row r="3997" spans="1:2">
      <c r="A3997" s="218"/>
      <c r="B3997" s="214"/>
    </row>
    <row r="3998" spans="1:2">
      <c r="A3998" s="218"/>
      <c r="B3998" s="214"/>
    </row>
    <row r="3999" spans="1:2">
      <c r="A3999" s="218"/>
      <c r="B3999" s="214"/>
    </row>
    <row r="4000" spans="1:2">
      <c r="A4000" s="218"/>
      <c r="B4000" s="214"/>
    </row>
    <row r="4001" spans="1:2">
      <c r="A4001" s="218"/>
      <c r="B4001" s="214"/>
    </row>
    <row r="4002" spans="1:2">
      <c r="A4002" s="218"/>
      <c r="B4002" s="214"/>
    </row>
    <row r="4003" spans="1:2">
      <c r="A4003" s="218"/>
      <c r="B4003" s="214"/>
    </row>
    <row r="4004" spans="1:2">
      <c r="A4004" s="218"/>
      <c r="B4004" s="214"/>
    </row>
    <row r="4005" spans="1:2">
      <c r="A4005" s="218"/>
      <c r="B4005" s="214"/>
    </row>
    <row r="4006" spans="1:2">
      <c r="A4006" s="218"/>
      <c r="B4006" s="214"/>
    </row>
    <row r="4007" spans="1:2">
      <c r="A4007" s="218"/>
      <c r="B4007" s="214"/>
    </row>
    <row r="4008" spans="1:2">
      <c r="A4008" s="218"/>
      <c r="B4008" s="214"/>
    </row>
    <row r="4009" spans="1:2">
      <c r="A4009" s="218"/>
      <c r="B4009" s="214"/>
    </row>
    <row r="4010" spans="1:2">
      <c r="A4010" s="218"/>
      <c r="B4010" s="214"/>
    </row>
    <row r="4011" spans="1:2">
      <c r="A4011" s="218"/>
      <c r="B4011" s="214"/>
    </row>
    <row r="4012" spans="1:2">
      <c r="A4012" s="218"/>
      <c r="B4012" s="214"/>
    </row>
    <row r="4013" spans="1:2">
      <c r="A4013" s="218"/>
      <c r="B4013" s="214"/>
    </row>
    <row r="4014" spans="1:2">
      <c r="A4014" s="218"/>
      <c r="B4014" s="214"/>
    </row>
    <row r="4015" spans="1:2">
      <c r="A4015" s="218"/>
      <c r="B4015" s="214"/>
    </row>
    <row r="4016" spans="1:2">
      <c r="A4016" s="218"/>
      <c r="B4016" s="214"/>
    </row>
    <row r="4017" spans="1:2">
      <c r="A4017" s="218"/>
      <c r="B4017" s="214"/>
    </row>
    <row r="4018" spans="1:2">
      <c r="A4018" s="218"/>
      <c r="B4018" s="214"/>
    </row>
    <row r="4019" spans="1:2">
      <c r="A4019" s="218"/>
      <c r="B4019" s="214"/>
    </row>
    <row r="4020" spans="1:2">
      <c r="A4020" s="218"/>
      <c r="B4020" s="214"/>
    </row>
    <row r="4021" spans="1:2">
      <c r="A4021" s="218"/>
      <c r="B4021" s="214"/>
    </row>
    <row r="4022" spans="1:2">
      <c r="A4022" s="218"/>
      <c r="B4022" s="214"/>
    </row>
    <row r="4023" spans="1:2">
      <c r="A4023" s="218"/>
      <c r="B4023" s="214"/>
    </row>
    <row r="4024" spans="1:2">
      <c r="A4024" s="218"/>
      <c r="B4024" s="214"/>
    </row>
    <row r="4025" spans="1:2">
      <c r="A4025" s="218"/>
      <c r="B4025" s="214"/>
    </row>
    <row r="4026" spans="1:2">
      <c r="A4026" s="218"/>
      <c r="B4026" s="214"/>
    </row>
    <row r="4027" spans="1:2">
      <c r="A4027" s="218"/>
      <c r="B4027" s="214"/>
    </row>
    <row r="4028" spans="1:2">
      <c r="A4028" s="218"/>
      <c r="B4028" s="214"/>
    </row>
    <row r="4029" spans="1:2">
      <c r="A4029" s="218"/>
      <c r="B4029" s="214"/>
    </row>
    <row r="4030" spans="1:2">
      <c r="A4030" s="218"/>
      <c r="B4030" s="214"/>
    </row>
    <row r="4031" spans="1:2">
      <c r="A4031" s="218"/>
      <c r="B4031" s="214"/>
    </row>
    <row r="4032" spans="1:2">
      <c r="A4032" s="218"/>
      <c r="B4032" s="214"/>
    </row>
    <row r="4033" spans="1:2">
      <c r="A4033" s="218"/>
      <c r="B4033" s="214"/>
    </row>
    <row r="4034" spans="1:2">
      <c r="A4034" s="218"/>
      <c r="B4034" s="214"/>
    </row>
    <row r="4035" spans="1:2">
      <c r="A4035" s="218"/>
      <c r="B4035" s="214"/>
    </row>
    <row r="4036" spans="1:2">
      <c r="A4036" s="218"/>
      <c r="B4036" s="214"/>
    </row>
    <row r="4037" spans="1:2">
      <c r="A4037" s="218"/>
      <c r="B4037" s="214"/>
    </row>
    <row r="4038" spans="1:2">
      <c r="A4038" s="218"/>
      <c r="B4038" s="214"/>
    </row>
    <row r="4039" spans="1:2">
      <c r="A4039" s="218"/>
      <c r="B4039" s="214"/>
    </row>
    <row r="4040" spans="1:2">
      <c r="A4040" s="218"/>
      <c r="B4040" s="214"/>
    </row>
    <row r="4041" spans="1:2">
      <c r="A4041" s="218"/>
      <c r="B4041" s="214"/>
    </row>
    <row r="4042" spans="1:2">
      <c r="A4042" s="218"/>
      <c r="B4042" s="214"/>
    </row>
    <row r="4043" spans="1:2">
      <c r="A4043" s="218"/>
      <c r="B4043" s="214"/>
    </row>
    <row r="4044" spans="1:2">
      <c r="A4044" s="218"/>
      <c r="B4044" s="214"/>
    </row>
    <row r="4045" spans="1:2">
      <c r="A4045" s="218"/>
      <c r="B4045" s="214"/>
    </row>
    <row r="4046" spans="1:2">
      <c r="A4046" s="218"/>
      <c r="B4046" s="214"/>
    </row>
    <row r="4047" spans="1:2">
      <c r="A4047" s="218"/>
      <c r="B4047" s="214"/>
    </row>
    <row r="4048" spans="1:2">
      <c r="A4048" s="218"/>
      <c r="B4048" s="214"/>
    </row>
    <row r="4049" spans="1:2">
      <c r="A4049" s="218"/>
      <c r="B4049" s="214"/>
    </row>
    <row r="4050" spans="1:2">
      <c r="A4050" s="218"/>
      <c r="B4050" s="214"/>
    </row>
    <row r="4051" spans="1:2">
      <c r="A4051" s="218"/>
      <c r="B4051" s="214"/>
    </row>
    <row r="4052" spans="1:2">
      <c r="A4052" s="218"/>
      <c r="B4052" s="214"/>
    </row>
    <row r="4053" spans="1:2">
      <c r="A4053" s="218"/>
      <c r="B4053" s="214"/>
    </row>
    <row r="4054" spans="1:2">
      <c r="A4054" s="218"/>
      <c r="B4054" s="214"/>
    </row>
    <row r="4055" spans="1:2">
      <c r="A4055" s="218"/>
      <c r="B4055" s="214"/>
    </row>
    <row r="4056" spans="1:2">
      <c r="A4056" s="218"/>
      <c r="B4056" s="214"/>
    </row>
    <row r="4057" spans="1:2">
      <c r="A4057" s="218"/>
      <c r="B4057" s="214"/>
    </row>
    <row r="4058" spans="1:2">
      <c r="A4058" s="218"/>
      <c r="B4058" s="214"/>
    </row>
    <row r="4059" spans="1:2">
      <c r="A4059" s="218"/>
      <c r="B4059" s="214"/>
    </row>
    <row r="4060" spans="1:2">
      <c r="A4060" s="218"/>
      <c r="B4060" s="214"/>
    </row>
    <row r="4061" spans="1:2">
      <c r="A4061" s="218"/>
      <c r="B4061" s="214"/>
    </row>
    <row r="4062" spans="1:2">
      <c r="A4062" s="218"/>
      <c r="B4062" s="214"/>
    </row>
    <row r="4063" spans="1:2">
      <c r="A4063" s="218"/>
      <c r="B4063" s="214"/>
    </row>
    <row r="4064" spans="1:2">
      <c r="A4064" s="218"/>
      <c r="B4064" s="214"/>
    </row>
    <row r="4065" spans="1:2">
      <c r="A4065" s="218"/>
      <c r="B4065" s="214"/>
    </row>
    <row r="4066" spans="1:2">
      <c r="A4066" s="218"/>
      <c r="B4066" s="214"/>
    </row>
    <row r="4067" spans="1:2">
      <c r="A4067" s="218"/>
      <c r="B4067" s="214"/>
    </row>
    <row r="4068" spans="1:2">
      <c r="A4068" s="218"/>
      <c r="B4068" s="214"/>
    </row>
    <row r="4069" spans="1:2">
      <c r="A4069" s="218"/>
      <c r="B4069" s="214"/>
    </row>
    <row r="4070" spans="1:2">
      <c r="A4070" s="218"/>
      <c r="B4070" s="214"/>
    </row>
    <row r="4071" spans="1:2">
      <c r="A4071" s="218"/>
      <c r="B4071" s="214"/>
    </row>
    <row r="4072" spans="1:2">
      <c r="A4072" s="218"/>
      <c r="B4072" s="214"/>
    </row>
    <row r="4073" spans="1:2">
      <c r="A4073" s="218"/>
      <c r="B4073" s="214"/>
    </row>
    <row r="4074" spans="1:2">
      <c r="A4074" s="218"/>
      <c r="B4074" s="214"/>
    </row>
    <row r="4075" spans="1:2">
      <c r="A4075" s="218"/>
      <c r="B4075" s="214"/>
    </row>
    <row r="4076" spans="1:2">
      <c r="A4076" s="218"/>
      <c r="B4076" s="214"/>
    </row>
    <row r="4077" spans="1:2">
      <c r="A4077" s="218"/>
      <c r="B4077" s="214"/>
    </row>
    <row r="4078" spans="1:2">
      <c r="A4078" s="218"/>
      <c r="B4078" s="214"/>
    </row>
    <row r="4079" spans="1:2">
      <c r="A4079" s="218"/>
      <c r="B4079" s="214"/>
    </row>
    <row r="4080" spans="1:2">
      <c r="A4080" s="218"/>
      <c r="B4080" s="214"/>
    </row>
    <row r="4081" spans="1:2">
      <c r="A4081" s="218"/>
      <c r="B4081" s="214"/>
    </row>
    <row r="4082" spans="1:2">
      <c r="A4082" s="218"/>
      <c r="B4082" s="214"/>
    </row>
    <row r="4083" spans="1:2">
      <c r="A4083" s="218"/>
      <c r="B4083" s="214"/>
    </row>
    <row r="4084" spans="1:2">
      <c r="A4084" s="218"/>
      <c r="B4084" s="214"/>
    </row>
    <row r="4085" spans="1:2">
      <c r="A4085" s="218"/>
      <c r="B4085" s="214"/>
    </row>
    <row r="4086" spans="1:2">
      <c r="A4086" s="218"/>
      <c r="B4086" s="214"/>
    </row>
    <row r="4087" spans="1:2">
      <c r="A4087" s="218"/>
      <c r="B4087" s="214"/>
    </row>
    <row r="4088" spans="1:2">
      <c r="A4088" s="218"/>
      <c r="B4088" s="214"/>
    </row>
    <row r="4089" spans="1:2">
      <c r="A4089" s="218"/>
      <c r="B4089" s="214"/>
    </row>
    <row r="4090" spans="1:2">
      <c r="A4090" s="218"/>
      <c r="B4090" s="214"/>
    </row>
    <row r="4091" spans="1:2">
      <c r="A4091" s="218"/>
      <c r="B4091" s="214"/>
    </row>
    <row r="4092" spans="1:2">
      <c r="A4092" s="218"/>
      <c r="B4092" s="214"/>
    </row>
    <row r="4093" spans="1:2">
      <c r="A4093" s="218"/>
      <c r="B4093" s="214"/>
    </row>
    <row r="4094" spans="1:2">
      <c r="A4094" s="218"/>
      <c r="B4094" s="214"/>
    </row>
    <row r="4095" spans="1:2">
      <c r="A4095" s="218"/>
      <c r="B4095" s="214"/>
    </row>
    <row r="4096" spans="1:2">
      <c r="A4096" s="218"/>
      <c r="B4096" s="214"/>
    </row>
    <row r="4097" spans="1:2">
      <c r="A4097" s="218"/>
      <c r="B4097" s="214"/>
    </row>
    <row r="4098" spans="1:2">
      <c r="A4098" s="218"/>
      <c r="B4098" s="214"/>
    </row>
    <row r="4099" spans="1:2">
      <c r="A4099" s="218"/>
      <c r="B4099" s="214"/>
    </row>
    <row r="4100" spans="1:2">
      <c r="A4100" s="218"/>
      <c r="B4100" s="214"/>
    </row>
    <row r="4101" spans="1:2">
      <c r="A4101" s="218"/>
      <c r="B4101" s="214"/>
    </row>
    <row r="4102" spans="1:2">
      <c r="A4102" s="218"/>
      <c r="B4102" s="214"/>
    </row>
    <row r="4103" spans="1:2">
      <c r="A4103" s="218"/>
      <c r="B4103" s="214"/>
    </row>
    <row r="4104" spans="1:2">
      <c r="A4104" s="218"/>
      <c r="B4104" s="214"/>
    </row>
    <row r="4105" spans="1:2">
      <c r="A4105" s="218"/>
      <c r="B4105" s="214"/>
    </row>
    <row r="4106" spans="1:2">
      <c r="A4106" s="218"/>
      <c r="B4106" s="214"/>
    </row>
    <row r="4107" spans="1:2">
      <c r="A4107" s="218"/>
      <c r="B4107" s="214"/>
    </row>
    <row r="4108" spans="1:2">
      <c r="A4108" s="218"/>
      <c r="B4108" s="214"/>
    </row>
    <row r="4109" spans="1:2">
      <c r="A4109" s="218"/>
      <c r="B4109" s="214"/>
    </row>
    <row r="4110" spans="1:2">
      <c r="A4110" s="218"/>
      <c r="B4110" s="214"/>
    </row>
    <row r="4111" spans="1:2">
      <c r="A4111" s="218"/>
      <c r="B4111" s="214"/>
    </row>
    <row r="4112" spans="1:2">
      <c r="A4112" s="218"/>
      <c r="B4112" s="214"/>
    </row>
    <row r="4113" spans="1:2">
      <c r="A4113" s="218"/>
      <c r="B4113" s="214"/>
    </row>
    <row r="4114" spans="1:2">
      <c r="A4114" s="218"/>
      <c r="B4114" s="214"/>
    </row>
    <row r="4115" spans="1:2">
      <c r="A4115" s="218"/>
      <c r="B4115" s="214"/>
    </row>
    <row r="4116" spans="1:2">
      <c r="A4116" s="218"/>
      <c r="B4116" s="214"/>
    </row>
    <row r="4117" spans="1:2">
      <c r="A4117" s="218"/>
      <c r="B4117" s="214"/>
    </row>
    <row r="4118" spans="1:2">
      <c r="A4118" s="218"/>
      <c r="B4118" s="214"/>
    </row>
    <row r="4119" spans="1:2">
      <c r="A4119" s="218"/>
      <c r="B4119" s="214"/>
    </row>
    <row r="4120" spans="1:2">
      <c r="A4120" s="218"/>
      <c r="B4120" s="214"/>
    </row>
    <row r="4121" spans="1:2">
      <c r="A4121" s="218"/>
      <c r="B4121" s="214"/>
    </row>
    <row r="4122" spans="1:2">
      <c r="A4122" s="218"/>
      <c r="B4122" s="214"/>
    </row>
    <row r="4123" spans="1:2">
      <c r="A4123" s="218"/>
      <c r="B4123" s="214"/>
    </row>
    <row r="4124" spans="1:2">
      <c r="A4124" s="218"/>
      <c r="B4124" s="214"/>
    </row>
    <row r="4125" spans="1:2">
      <c r="A4125" s="218"/>
      <c r="B4125" s="214"/>
    </row>
    <row r="4126" spans="1:2">
      <c r="A4126" s="218"/>
      <c r="B4126" s="214"/>
    </row>
    <row r="4127" spans="1:2">
      <c r="A4127" s="218"/>
      <c r="B4127" s="214"/>
    </row>
    <row r="4128" spans="1:2">
      <c r="A4128" s="218"/>
      <c r="B4128" s="214"/>
    </row>
    <row r="4129" spans="1:2">
      <c r="A4129" s="218"/>
      <c r="B4129" s="214"/>
    </row>
    <row r="4130" spans="1:2">
      <c r="A4130" s="218"/>
      <c r="B4130" s="214"/>
    </row>
    <row r="4131" spans="1:2">
      <c r="A4131" s="218"/>
      <c r="B4131" s="214"/>
    </row>
    <row r="4132" spans="1:2">
      <c r="A4132" s="218"/>
      <c r="B4132" s="214"/>
    </row>
    <row r="4133" spans="1:2">
      <c r="A4133" s="218"/>
      <c r="B4133" s="214"/>
    </row>
    <row r="4134" spans="1:2">
      <c r="A4134" s="218"/>
      <c r="B4134" s="214"/>
    </row>
    <row r="4135" spans="1:2">
      <c r="A4135" s="218"/>
      <c r="B4135" s="214"/>
    </row>
    <row r="4136" spans="1:2">
      <c r="A4136" s="218"/>
      <c r="B4136" s="214"/>
    </row>
    <row r="4137" spans="1:2">
      <c r="A4137" s="218"/>
      <c r="B4137" s="214"/>
    </row>
    <row r="4138" spans="1:2">
      <c r="A4138" s="218"/>
      <c r="B4138" s="214"/>
    </row>
    <row r="4139" spans="1:2">
      <c r="A4139" s="218"/>
      <c r="B4139" s="214"/>
    </row>
    <row r="4140" spans="1:2">
      <c r="A4140" s="218"/>
      <c r="B4140" s="214"/>
    </row>
    <row r="4141" spans="1:2">
      <c r="A4141" s="218"/>
      <c r="B4141" s="214"/>
    </row>
    <row r="4142" spans="1:2">
      <c r="A4142" s="218"/>
      <c r="B4142" s="214"/>
    </row>
    <row r="4143" spans="1:2">
      <c r="A4143" s="218"/>
      <c r="B4143" s="214"/>
    </row>
    <row r="4144" spans="1:2">
      <c r="A4144" s="218"/>
      <c r="B4144" s="214"/>
    </row>
    <row r="4145" spans="1:2">
      <c r="A4145" s="218"/>
      <c r="B4145" s="214"/>
    </row>
    <row r="4146" spans="1:2">
      <c r="A4146" s="218"/>
      <c r="B4146" s="214"/>
    </row>
    <row r="4147" spans="1:2">
      <c r="A4147" s="218"/>
      <c r="B4147" s="214"/>
    </row>
    <row r="4148" spans="1:2">
      <c r="A4148" s="218"/>
      <c r="B4148" s="214"/>
    </row>
    <row r="4149" spans="1:2">
      <c r="A4149" s="218"/>
      <c r="B4149" s="214"/>
    </row>
    <row r="4150" spans="1:2">
      <c r="A4150" s="218"/>
      <c r="B4150" s="214"/>
    </row>
    <row r="4151" spans="1:2">
      <c r="A4151" s="218"/>
      <c r="B4151" s="214"/>
    </row>
    <row r="4152" spans="1:2">
      <c r="A4152" s="218"/>
      <c r="B4152" s="214"/>
    </row>
    <row r="4153" spans="1:2">
      <c r="A4153" s="218"/>
      <c r="B4153" s="214"/>
    </row>
    <row r="4154" spans="1:2">
      <c r="A4154" s="218"/>
      <c r="B4154" s="214"/>
    </row>
    <row r="4155" spans="1:2">
      <c r="A4155" s="218"/>
      <c r="B4155" s="214"/>
    </row>
    <row r="4156" spans="1:2">
      <c r="A4156" s="218"/>
      <c r="B4156" s="214"/>
    </row>
    <row r="4157" spans="1:2">
      <c r="A4157" s="218"/>
      <c r="B4157" s="214"/>
    </row>
    <row r="4158" spans="1:2">
      <c r="A4158" s="218"/>
      <c r="B4158" s="214"/>
    </row>
    <row r="4159" spans="1:2">
      <c r="A4159" s="218"/>
      <c r="B4159" s="214"/>
    </row>
    <row r="4160" spans="1:2">
      <c r="A4160" s="218"/>
      <c r="B4160" s="214"/>
    </row>
    <row r="4161" spans="1:2">
      <c r="A4161" s="218"/>
      <c r="B4161" s="214"/>
    </row>
    <row r="4162" spans="1:2">
      <c r="A4162" s="218"/>
      <c r="B4162" s="214"/>
    </row>
    <row r="4163" spans="1:2">
      <c r="A4163" s="218"/>
      <c r="B4163" s="214"/>
    </row>
    <row r="4164" spans="1:2">
      <c r="A4164" s="218"/>
      <c r="B4164" s="214"/>
    </row>
    <row r="4165" spans="1:2">
      <c r="A4165" s="218"/>
      <c r="B4165" s="214"/>
    </row>
    <row r="4166" spans="1:2">
      <c r="A4166" s="218"/>
      <c r="B4166" s="214"/>
    </row>
    <row r="4167" spans="1:2">
      <c r="A4167" s="218"/>
      <c r="B4167" s="214"/>
    </row>
    <row r="4168" spans="1:2">
      <c r="A4168" s="218"/>
      <c r="B4168" s="214"/>
    </row>
    <row r="4169" spans="1:2">
      <c r="A4169" s="218"/>
      <c r="B4169" s="214"/>
    </row>
    <row r="4170" spans="1:2">
      <c r="A4170" s="218"/>
      <c r="B4170" s="214"/>
    </row>
    <row r="4171" spans="1:2">
      <c r="A4171" s="218"/>
      <c r="B4171" s="214"/>
    </row>
    <row r="4172" spans="1:2">
      <c r="A4172" s="218"/>
      <c r="B4172" s="214"/>
    </row>
    <row r="4173" spans="1:2">
      <c r="A4173" s="218"/>
      <c r="B4173" s="214"/>
    </row>
    <row r="4174" spans="1:2">
      <c r="A4174" s="218"/>
      <c r="B4174" s="214"/>
    </row>
    <row r="4175" spans="1:2">
      <c r="A4175" s="218"/>
      <c r="B4175" s="214"/>
    </row>
    <row r="4176" spans="1:2">
      <c r="A4176" s="218"/>
      <c r="B4176" s="214"/>
    </row>
    <row r="4177" spans="1:2">
      <c r="A4177" s="218"/>
      <c r="B4177" s="214"/>
    </row>
    <row r="4178" spans="1:2">
      <c r="A4178" s="218"/>
      <c r="B4178" s="214"/>
    </row>
    <row r="4179" spans="1:2">
      <c r="A4179" s="218"/>
      <c r="B4179" s="214"/>
    </row>
    <row r="4180" spans="1:2">
      <c r="A4180" s="218"/>
      <c r="B4180" s="214"/>
    </row>
    <row r="4181" spans="1:2">
      <c r="A4181" s="218"/>
      <c r="B4181" s="214"/>
    </row>
    <row r="4182" spans="1:2">
      <c r="A4182" s="218"/>
      <c r="B4182" s="214"/>
    </row>
    <row r="4183" spans="1:2">
      <c r="A4183" s="218"/>
      <c r="B4183" s="214"/>
    </row>
    <row r="4184" spans="1:2">
      <c r="A4184" s="218"/>
      <c r="B4184" s="214"/>
    </row>
    <row r="4185" spans="1:2">
      <c r="A4185" s="218"/>
      <c r="B4185" s="214"/>
    </row>
    <row r="4186" spans="1:2">
      <c r="A4186" s="218"/>
      <c r="B4186" s="214"/>
    </row>
    <row r="4187" spans="1:2">
      <c r="A4187" s="218"/>
      <c r="B4187" s="214"/>
    </row>
    <row r="4188" spans="1:2">
      <c r="A4188" s="218"/>
      <c r="B4188" s="214"/>
    </row>
    <row r="4189" spans="1:2">
      <c r="A4189" s="218"/>
      <c r="B4189" s="214"/>
    </row>
    <row r="4190" spans="1:2">
      <c r="A4190" s="218"/>
      <c r="B4190" s="214"/>
    </row>
    <row r="4191" spans="1:2">
      <c r="A4191" s="218"/>
      <c r="B4191" s="214"/>
    </row>
    <row r="4192" spans="1:2">
      <c r="A4192" s="218"/>
      <c r="B4192" s="214"/>
    </row>
    <row r="4193" spans="1:2">
      <c r="A4193" s="218"/>
      <c r="B4193" s="214"/>
    </row>
    <row r="4194" spans="1:2">
      <c r="A4194" s="218"/>
      <c r="B4194" s="214"/>
    </row>
    <row r="4195" spans="1:2">
      <c r="A4195" s="218"/>
      <c r="B4195" s="214"/>
    </row>
    <row r="4196" spans="1:2">
      <c r="A4196" s="218"/>
      <c r="B4196" s="214"/>
    </row>
    <row r="4197" spans="1:2">
      <c r="A4197" s="218"/>
      <c r="B4197" s="214"/>
    </row>
    <row r="4198" spans="1:2">
      <c r="A4198" s="218"/>
      <c r="B4198" s="214"/>
    </row>
    <row r="4199" spans="1:2">
      <c r="A4199" s="218"/>
      <c r="B4199" s="214"/>
    </row>
    <row r="4200" spans="1:2">
      <c r="A4200" s="218"/>
      <c r="B4200" s="214"/>
    </row>
    <row r="4201" spans="1:2">
      <c r="A4201" s="218"/>
      <c r="B4201" s="214"/>
    </row>
  </sheetData>
  <mergeCells count="6">
    <mergeCell ref="I37:J37"/>
    <mergeCell ref="A1:N1"/>
    <mergeCell ref="A2:N2"/>
    <mergeCell ref="A3:N3"/>
    <mergeCell ref="B5:F5"/>
    <mergeCell ref="H5:K5"/>
  </mergeCells>
  <printOptions horizontalCentered="1"/>
  <pageMargins left="0.70866141732283472" right="0.70866141732283472" top="0.74803149606299213" bottom="0.74803149606299213" header="0.31496062992125984" footer="0.31496062992125984"/>
  <pageSetup paperSize="9" scale="73" orientation="landscape" r:id="rId1"/>
  <headerFooter>
    <oddFooter>&amp;R&amp;P</oddFooter>
  </headerFooter>
</worksheet>
</file>

<file path=xl/worksheets/sheet26.xml><?xml version="1.0" encoding="utf-8"?>
<worksheet xmlns="http://schemas.openxmlformats.org/spreadsheetml/2006/main" xmlns:r="http://schemas.openxmlformats.org/officeDocument/2006/relationships">
  <sheetPr>
    <pageSetUpPr fitToPage="1"/>
  </sheetPr>
  <dimension ref="A1:U61"/>
  <sheetViews>
    <sheetView showGridLines="0" tabSelected="1" view="pageBreakPreview" zoomScaleSheetLayoutView="100" workbookViewId="0">
      <selection activeCell="B43" sqref="B43"/>
    </sheetView>
  </sheetViews>
  <sheetFormatPr defaultRowHeight="12.75"/>
  <cols>
    <col min="1" max="1" width="19.140625" style="671" bestFit="1" customWidth="1"/>
    <col min="2" max="2" width="13.7109375" style="673" bestFit="1" customWidth="1"/>
    <col min="3" max="3" width="11.85546875" style="673" bestFit="1" customWidth="1"/>
    <col min="4" max="4" width="11.85546875" style="673" customWidth="1"/>
    <col min="5" max="5" width="11.140625" style="673" bestFit="1" customWidth="1"/>
    <col min="6" max="6" width="10.85546875" style="673" bestFit="1" customWidth="1"/>
    <col min="7" max="7" width="13.7109375" style="673" bestFit="1" customWidth="1"/>
    <col min="8" max="8" width="1.42578125" style="673" customWidth="1"/>
    <col min="9" max="9" width="13.7109375" style="673" bestFit="1" customWidth="1"/>
    <col min="10" max="11" width="10.85546875" style="673" bestFit="1" customWidth="1"/>
    <col min="12" max="12" width="9.42578125" style="673" bestFit="1" customWidth="1"/>
    <col min="13" max="13" width="13.7109375" style="673" bestFit="1" customWidth="1"/>
    <col min="14" max="14" width="1.140625" style="673" customWidth="1"/>
    <col min="15" max="15" width="14.7109375" style="673" bestFit="1" customWidth="1"/>
    <col min="16" max="16" width="1.42578125" style="673" customWidth="1"/>
    <col min="17" max="17" width="9.42578125" style="673" bestFit="1" customWidth="1"/>
    <col min="18" max="18" width="3" style="671" customWidth="1"/>
    <col min="19" max="19" width="14" style="671" bestFit="1" customWidth="1"/>
    <col min="20" max="16384" width="9.140625" style="671"/>
  </cols>
  <sheetData>
    <row r="1" spans="1:18">
      <c r="A1" s="1914" t="s">
        <v>1246</v>
      </c>
      <c r="B1" s="1914"/>
      <c r="C1" s="1914"/>
      <c r="D1" s="1914"/>
      <c r="E1" s="1914"/>
      <c r="F1" s="1914"/>
      <c r="G1" s="1914"/>
      <c r="H1" s="1914"/>
      <c r="I1" s="1914"/>
      <c r="J1" s="1914"/>
      <c r="K1" s="1914"/>
      <c r="L1" s="1914"/>
      <c r="M1" s="1914"/>
      <c r="N1" s="1914"/>
      <c r="O1" s="1914"/>
      <c r="P1" s="1914"/>
      <c r="Q1" s="1914"/>
    </row>
    <row r="2" spans="1:18">
      <c r="A2" s="1914" t="s">
        <v>1247</v>
      </c>
      <c r="B2" s="1914"/>
      <c r="C2" s="1914"/>
      <c r="D2" s="1914"/>
      <c r="E2" s="1914"/>
      <c r="F2" s="1914"/>
      <c r="G2" s="1914"/>
      <c r="H2" s="1914"/>
      <c r="I2" s="1914"/>
      <c r="J2" s="1914"/>
      <c r="K2" s="1914"/>
      <c r="L2" s="1914"/>
      <c r="M2" s="1914"/>
      <c r="N2" s="1914"/>
      <c r="O2" s="1914"/>
      <c r="P2" s="1914"/>
      <c r="Q2" s="1914"/>
    </row>
    <row r="3" spans="1:18">
      <c r="A3" s="1914" t="s">
        <v>3525</v>
      </c>
      <c r="B3" s="1914"/>
      <c r="C3" s="1914"/>
      <c r="D3" s="1914"/>
      <c r="E3" s="1914"/>
      <c r="F3" s="1914"/>
      <c r="G3" s="1914"/>
      <c r="H3" s="1914"/>
      <c r="I3" s="1914"/>
      <c r="J3" s="1914"/>
      <c r="K3" s="1914"/>
      <c r="L3" s="1914"/>
      <c r="M3" s="1914"/>
      <c r="N3" s="1914"/>
      <c r="O3" s="1914"/>
      <c r="P3" s="1914"/>
      <c r="Q3" s="1914"/>
    </row>
    <row r="5" spans="1:18">
      <c r="A5" s="1144"/>
      <c r="B5" s="1923" t="s">
        <v>755</v>
      </c>
      <c r="C5" s="1923"/>
      <c r="D5" s="1923"/>
      <c r="E5" s="1923"/>
      <c r="F5" s="1923"/>
      <c r="G5" s="1923"/>
      <c r="H5" s="1145"/>
      <c r="I5" s="1923" t="s">
        <v>756</v>
      </c>
      <c r="J5" s="1923"/>
      <c r="K5" s="1923"/>
      <c r="L5" s="1923"/>
      <c r="M5" s="1923"/>
      <c r="N5" s="1145"/>
      <c r="O5" s="1145"/>
      <c r="P5" s="1145"/>
      <c r="Q5" s="1924"/>
      <c r="R5" s="1925"/>
    </row>
    <row r="6" spans="1:18" ht="63.75">
      <c r="A6" s="1125"/>
      <c r="B6" s="691" t="s">
        <v>3861</v>
      </c>
      <c r="C6" s="691" t="s">
        <v>757</v>
      </c>
      <c r="D6" s="691" t="s">
        <v>3937</v>
      </c>
      <c r="E6" s="691" t="s">
        <v>758</v>
      </c>
      <c r="F6" s="691" t="s">
        <v>1017</v>
      </c>
      <c r="G6" s="691" t="s">
        <v>3858</v>
      </c>
      <c r="H6" s="711"/>
      <c r="I6" s="691" t="s">
        <v>3859</v>
      </c>
      <c r="J6" s="691" t="s">
        <v>759</v>
      </c>
      <c r="K6" s="691" t="s">
        <v>2035</v>
      </c>
      <c r="L6" s="691" t="s">
        <v>1017</v>
      </c>
      <c r="M6" s="691" t="s">
        <v>3858</v>
      </c>
      <c r="N6" s="711"/>
      <c r="O6" s="691" t="s">
        <v>760</v>
      </c>
      <c r="P6" s="711"/>
      <c r="Q6" s="691" t="s">
        <v>3763</v>
      </c>
      <c r="R6" s="712"/>
    </row>
    <row r="7" spans="1:18">
      <c r="A7" s="1127"/>
      <c r="B7" s="772" t="s">
        <v>2422</v>
      </c>
      <c r="C7" s="772" t="s">
        <v>2422</v>
      </c>
      <c r="D7" s="772"/>
      <c r="E7" s="772"/>
      <c r="F7" s="772" t="s">
        <v>2422</v>
      </c>
      <c r="G7" s="772" t="s">
        <v>2422</v>
      </c>
      <c r="H7" s="772"/>
      <c r="I7" s="772" t="s">
        <v>2422</v>
      </c>
      <c r="J7" s="772" t="s">
        <v>2422</v>
      </c>
      <c r="K7" s="772"/>
      <c r="L7" s="772" t="s">
        <v>2422</v>
      </c>
      <c r="M7" s="772" t="s">
        <v>2422</v>
      </c>
      <c r="N7" s="772"/>
      <c r="O7" s="772" t="s">
        <v>2422</v>
      </c>
      <c r="P7" s="772"/>
      <c r="Q7" s="772" t="s">
        <v>2422</v>
      </c>
      <c r="R7" s="773"/>
    </row>
    <row r="8" spans="1:18" ht="25.5">
      <c r="A8" s="1125" t="s">
        <v>1018</v>
      </c>
      <c r="B8" s="727">
        <f>B9</f>
        <v>2124292</v>
      </c>
      <c r="C8" s="727">
        <f>C9</f>
        <v>6228.8</v>
      </c>
      <c r="D8" s="727"/>
      <c r="E8" s="727">
        <f>E9</f>
        <v>0</v>
      </c>
      <c r="F8" s="727">
        <f>F9</f>
        <v>275</v>
      </c>
      <c r="G8" s="727">
        <f>G9</f>
        <v>2130245.7999999998</v>
      </c>
      <c r="H8" s="727"/>
      <c r="I8" s="727">
        <f>I9</f>
        <v>713477</v>
      </c>
      <c r="J8" s="727">
        <f>J9</f>
        <v>405450.9</v>
      </c>
      <c r="K8" s="727">
        <f>SUM(K9)</f>
        <v>66390</v>
      </c>
      <c r="L8" s="727">
        <f>L9</f>
        <v>164.8</v>
      </c>
      <c r="M8" s="727">
        <f>M9</f>
        <v>1185153.0999999999</v>
      </c>
      <c r="N8" s="727"/>
      <c r="O8" s="727">
        <f>O9</f>
        <v>945092.7</v>
      </c>
      <c r="P8" s="727"/>
      <c r="Q8" s="727">
        <f>Q9</f>
        <v>0</v>
      </c>
      <c r="R8" s="1129"/>
    </row>
    <row r="9" spans="1:18">
      <c r="A9" s="1131" t="s">
        <v>1019</v>
      </c>
      <c r="B9" s="1146">
        <v>2124292</v>
      </c>
      <c r="C9" s="1146">
        <v>6228.8</v>
      </c>
      <c r="D9" s="1146"/>
      <c r="E9" s="1146">
        <v>0</v>
      </c>
      <c r="F9" s="1146">
        <v>275</v>
      </c>
      <c r="G9" s="1146">
        <f>+B9+C9+E9-F9</f>
        <v>2130245.7999999998</v>
      </c>
      <c r="H9" s="765"/>
      <c r="I9" s="1146">
        <v>713477</v>
      </c>
      <c r="J9" s="1146">
        <v>405450.9</v>
      </c>
      <c r="K9" s="1146">
        <v>66390</v>
      </c>
      <c r="L9" s="1146">
        <v>164.8</v>
      </c>
      <c r="M9" s="1146">
        <f>+I9+J9-L9+K9</f>
        <v>1185153.0999999999</v>
      </c>
      <c r="N9" s="765"/>
      <c r="O9" s="1146">
        <f>+G9-M9</f>
        <v>945092.7</v>
      </c>
      <c r="P9" s="765"/>
      <c r="Q9" s="1146">
        <v>0</v>
      </c>
      <c r="R9" s="1136"/>
    </row>
    <row r="10" spans="1:18" ht="25.5">
      <c r="A10" s="1125" t="s">
        <v>1020</v>
      </c>
      <c r="B10" s="727">
        <f t="shared" ref="B10:G10" si="0">SUM(B11:B23)</f>
        <v>51010808.359999999</v>
      </c>
      <c r="C10" s="727">
        <f t="shared" si="0"/>
        <v>9824579.1399999987</v>
      </c>
      <c r="D10" s="727">
        <f t="shared" si="0"/>
        <v>423376.42</v>
      </c>
      <c r="E10" s="727">
        <f t="shared" si="0"/>
        <v>0</v>
      </c>
      <c r="F10" s="727">
        <f t="shared" si="0"/>
        <v>0</v>
      </c>
      <c r="G10" s="727">
        <f t="shared" si="0"/>
        <v>60412011.079999998</v>
      </c>
      <c r="H10" s="727"/>
      <c r="I10" s="727">
        <f>SUM(I11:I23)</f>
        <v>17952591</v>
      </c>
      <c r="J10" s="727">
        <f>SUM(J11:J23)</f>
        <v>3102620.57</v>
      </c>
      <c r="K10" s="727">
        <f>SUM(K11:K23)</f>
        <v>-97949</v>
      </c>
      <c r="L10" s="727">
        <f>SUM(L11:L23)</f>
        <v>0</v>
      </c>
      <c r="M10" s="727">
        <f>SUM(M11:M23)</f>
        <v>20957262.57</v>
      </c>
      <c r="N10" s="727"/>
      <c r="O10" s="727">
        <f>SUM(O11:O23)</f>
        <v>39454748.509999998</v>
      </c>
      <c r="P10" s="727"/>
      <c r="Q10" s="727">
        <f>SUM(Q11:Q23)</f>
        <v>0</v>
      </c>
      <c r="R10" s="1129"/>
    </row>
    <row r="11" spans="1:18">
      <c r="A11" s="1131" t="s">
        <v>1021</v>
      </c>
      <c r="B11" s="729">
        <v>2963586</v>
      </c>
      <c r="C11" s="729">
        <v>344700.12</v>
      </c>
      <c r="D11" s="729"/>
      <c r="E11" s="729">
        <v>0</v>
      </c>
      <c r="F11" s="729">
        <v>0</v>
      </c>
      <c r="G11" s="729">
        <f>+B11+C11+E11-F11</f>
        <v>3308286.12</v>
      </c>
      <c r="H11" s="765"/>
      <c r="I11" s="729">
        <v>2226867</v>
      </c>
      <c r="J11" s="729">
        <v>246310.05</v>
      </c>
      <c r="K11" s="729">
        <v>43619</v>
      </c>
      <c r="L11" s="1147">
        <v>0</v>
      </c>
      <c r="M11" s="729">
        <f>+I11+J11-L11+K11</f>
        <v>2516796.0499999998</v>
      </c>
      <c r="N11" s="765"/>
      <c r="O11" s="729">
        <f>+G11-M11</f>
        <v>791490.0700000003</v>
      </c>
      <c r="P11" s="765"/>
      <c r="Q11" s="729">
        <v>0</v>
      </c>
      <c r="R11" s="1136"/>
    </row>
    <row r="12" spans="1:18" ht="25.5">
      <c r="A12" s="1131" t="s">
        <v>1022</v>
      </c>
      <c r="B12" s="553">
        <v>3408068</v>
      </c>
      <c r="C12" s="553">
        <v>207000.25</v>
      </c>
      <c r="D12" s="553">
        <v>423376.42</v>
      </c>
      <c r="E12" s="553">
        <v>0</v>
      </c>
      <c r="F12" s="553">
        <v>0</v>
      </c>
      <c r="G12" s="553">
        <f>+B12+C12+E12-F12-D12</f>
        <v>3191691.83</v>
      </c>
      <c r="H12" s="765"/>
      <c r="I12" s="553">
        <v>822109</v>
      </c>
      <c r="J12" s="553">
        <v>977028.02</v>
      </c>
      <c r="K12" s="553">
        <v>512223</v>
      </c>
      <c r="L12" s="1148">
        <v>0</v>
      </c>
      <c r="M12" s="553">
        <f t="shared" ref="M12:M23" si="1">+I12+J12-L12+K12</f>
        <v>2311360.02</v>
      </c>
      <c r="N12" s="765"/>
      <c r="O12" s="553">
        <f>+G12-M12</f>
        <v>880331.81</v>
      </c>
      <c r="P12" s="765"/>
      <c r="Q12" s="553">
        <v>0</v>
      </c>
      <c r="R12" s="1136"/>
    </row>
    <row r="13" spans="1:18">
      <c r="A13" s="1131" t="s">
        <v>1220</v>
      </c>
      <c r="B13" s="553">
        <v>16924.830000000002</v>
      </c>
      <c r="C13" s="553">
        <v>0</v>
      </c>
      <c r="D13" s="553"/>
      <c r="E13" s="553">
        <v>0</v>
      </c>
      <c r="F13" s="553">
        <v>0</v>
      </c>
      <c r="G13" s="553">
        <f>+B13+C13+E13-F13</f>
        <v>16924.830000000002</v>
      </c>
      <c r="H13" s="765"/>
      <c r="I13" s="553">
        <v>9067</v>
      </c>
      <c r="J13" s="553">
        <v>3196.63</v>
      </c>
      <c r="K13" s="553">
        <v>2572</v>
      </c>
      <c r="L13" s="1148">
        <v>0</v>
      </c>
      <c r="M13" s="553">
        <f t="shared" si="1"/>
        <v>14835.630000000001</v>
      </c>
      <c r="N13" s="765"/>
      <c r="O13" s="553">
        <f>+G13-M13</f>
        <v>2089.2000000000007</v>
      </c>
      <c r="P13" s="765"/>
      <c r="Q13" s="553">
        <v>0</v>
      </c>
      <c r="R13" s="1136"/>
    </row>
    <row r="14" spans="1:18">
      <c r="A14" s="1131" t="s">
        <v>1221</v>
      </c>
      <c r="B14" s="553">
        <v>0</v>
      </c>
      <c r="C14" s="553">
        <v>0</v>
      </c>
      <c r="D14" s="553"/>
      <c r="E14" s="553">
        <v>0</v>
      </c>
      <c r="F14" s="553">
        <v>0</v>
      </c>
      <c r="G14" s="553">
        <f>+B14+C14+E14-F14</f>
        <v>0</v>
      </c>
      <c r="H14" s="765"/>
      <c r="I14" s="553">
        <v>0</v>
      </c>
      <c r="J14" s="553">
        <v>0</v>
      </c>
      <c r="K14" s="553"/>
      <c r="L14" s="1148">
        <v>0</v>
      </c>
      <c r="M14" s="553">
        <f t="shared" si="1"/>
        <v>0</v>
      </c>
      <c r="N14" s="765"/>
      <c r="O14" s="553">
        <f>+G14-M14</f>
        <v>0</v>
      </c>
      <c r="P14" s="765"/>
      <c r="Q14" s="553">
        <v>0</v>
      </c>
      <c r="R14" s="1136"/>
    </row>
    <row r="15" spans="1:18">
      <c r="A15" s="1131" t="s">
        <v>1030</v>
      </c>
      <c r="B15" s="553">
        <v>236287</v>
      </c>
      <c r="C15" s="553">
        <v>0</v>
      </c>
      <c r="D15" s="553"/>
      <c r="E15" s="553">
        <v>0</v>
      </c>
      <c r="F15" s="553">
        <v>0</v>
      </c>
      <c r="G15" s="553">
        <f t="shared" ref="G15:G22" si="2">+B15+C15+E15-F15</f>
        <v>236287</v>
      </c>
      <c r="H15" s="765"/>
      <c r="I15" s="553">
        <v>208846</v>
      </c>
      <c r="J15" s="553">
        <v>11191.47</v>
      </c>
      <c r="K15" s="553">
        <v>-53</v>
      </c>
      <c r="L15" s="1148">
        <v>0</v>
      </c>
      <c r="M15" s="553">
        <f t="shared" si="1"/>
        <v>219984.47</v>
      </c>
      <c r="N15" s="765"/>
      <c r="O15" s="553">
        <f t="shared" ref="O15:O22" si="3">+G15-M15</f>
        <v>16302.529999999999</v>
      </c>
      <c r="P15" s="765"/>
      <c r="Q15" s="553">
        <v>0</v>
      </c>
      <c r="R15" s="1136"/>
    </row>
    <row r="16" spans="1:18">
      <c r="A16" s="1131" t="s">
        <v>1031</v>
      </c>
      <c r="B16" s="553">
        <v>10934</v>
      </c>
      <c r="C16" s="553">
        <v>0</v>
      </c>
      <c r="D16" s="553"/>
      <c r="E16" s="553">
        <v>0</v>
      </c>
      <c r="F16" s="553">
        <v>0</v>
      </c>
      <c r="G16" s="553">
        <f t="shared" si="2"/>
        <v>10934</v>
      </c>
      <c r="H16" s="765"/>
      <c r="I16" s="553">
        <v>3062</v>
      </c>
      <c r="J16" s="553">
        <v>2185.58</v>
      </c>
      <c r="K16" s="553">
        <v>1291</v>
      </c>
      <c r="L16" s="1148">
        <v>0</v>
      </c>
      <c r="M16" s="553">
        <f t="shared" si="1"/>
        <v>6538.58</v>
      </c>
      <c r="N16" s="765"/>
      <c r="O16" s="553">
        <f t="shared" si="3"/>
        <v>4395.42</v>
      </c>
      <c r="P16" s="765"/>
      <c r="Q16" s="553">
        <v>0</v>
      </c>
      <c r="R16" s="1136"/>
    </row>
    <row r="17" spans="1:21">
      <c r="A17" s="1131" t="s">
        <v>1032</v>
      </c>
      <c r="B17" s="553">
        <v>29183513</v>
      </c>
      <c r="C17" s="1297">
        <f>8217792.54+215723</f>
        <v>8433515.5399999991</v>
      </c>
      <c r="D17" s="553"/>
      <c r="E17" s="553">
        <v>0</v>
      </c>
      <c r="F17" s="553">
        <v>0</v>
      </c>
      <c r="G17" s="553">
        <f t="shared" si="2"/>
        <v>37617028.539999999</v>
      </c>
      <c r="H17" s="765"/>
      <c r="I17" s="553">
        <v>4121289</v>
      </c>
      <c r="J17" s="553">
        <v>991508.87</v>
      </c>
      <c r="K17" s="553">
        <v>-156792</v>
      </c>
      <c r="L17" s="1148">
        <v>0</v>
      </c>
      <c r="M17" s="553">
        <f t="shared" si="1"/>
        <v>4956005.87</v>
      </c>
      <c r="N17" s="765"/>
      <c r="O17" s="553">
        <f t="shared" si="3"/>
        <v>32661022.669999998</v>
      </c>
      <c r="P17" s="765"/>
      <c r="Q17" s="553">
        <v>0</v>
      </c>
      <c r="R17" s="1136"/>
    </row>
    <row r="18" spans="1:21">
      <c r="A18" s="1131" t="s">
        <v>1282</v>
      </c>
      <c r="B18" s="553">
        <v>214686</v>
      </c>
      <c r="C18" s="553">
        <v>5874</v>
      </c>
      <c r="D18" s="553"/>
      <c r="E18" s="553">
        <v>0</v>
      </c>
      <c r="F18" s="553">
        <v>0</v>
      </c>
      <c r="G18" s="553">
        <f t="shared" si="2"/>
        <v>220560</v>
      </c>
      <c r="H18" s="765"/>
      <c r="I18" s="553">
        <v>86298</v>
      </c>
      <c r="J18" s="553">
        <v>31339.48</v>
      </c>
      <c r="K18" s="553">
        <v>1370</v>
      </c>
      <c r="L18" s="1148">
        <v>0</v>
      </c>
      <c r="M18" s="553">
        <f t="shared" si="1"/>
        <v>119007.48</v>
      </c>
      <c r="N18" s="765"/>
      <c r="O18" s="553">
        <f t="shared" si="3"/>
        <v>101552.52</v>
      </c>
      <c r="P18" s="765"/>
      <c r="Q18" s="553">
        <v>0</v>
      </c>
      <c r="R18" s="1136"/>
    </row>
    <row r="19" spans="1:21">
      <c r="A19" s="1131" t="s">
        <v>1033</v>
      </c>
      <c r="B19" s="553">
        <v>13564907</v>
      </c>
      <c r="C19" s="553">
        <v>833489.23</v>
      </c>
      <c r="D19" s="553"/>
      <c r="E19" s="553">
        <v>0</v>
      </c>
      <c r="F19" s="553">
        <v>0</v>
      </c>
      <c r="G19" s="553">
        <f t="shared" si="2"/>
        <v>14398396.23</v>
      </c>
      <c r="H19" s="765"/>
      <c r="I19" s="553">
        <v>9349769</v>
      </c>
      <c r="J19" s="553">
        <v>740180.07</v>
      </c>
      <c r="K19" s="553">
        <v>-507758</v>
      </c>
      <c r="L19" s="1148">
        <v>0</v>
      </c>
      <c r="M19" s="553">
        <f t="shared" si="1"/>
        <v>9582191.0700000003</v>
      </c>
      <c r="N19" s="765"/>
      <c r="O19" s="553">
        <f t="shared" si="3"/>
        <v>4816205.16</v>
      </c>
      <c r="P19" s="765"/>
      <c r="Q19" s="553">
        <v>0</v>
      </c>
      <c r="R19" s="1136"/>
    </row>
    <row r="20" spans="1:21">
      <c r="A20" s="1131" t="s">
        <v>459</v>
      </c>
      <c r="B20" s="553">
        <v>3850.29</v>
      </c>
      <c r="C20" s="553">
        <v>0</v>
      </c>
      <c r="D20" s="553"/>
      <c r="E20" s="553">
        <v>0</v>
      </c>
      <c r="F20" s="553">
        <v>0</v>
      </c>
      <c r="G20" s="553">
        <f t="shared" si="2"/>
        <v>3850.29</v>
      </c>
      <c r="H20" s="765"/>
      <c r="I20" s="553">
        <v>2446</v>
      </c>
      <c r="J20" s="553">
        <v>698.86</v>
      </c>
      <c r="K20" s="553"/>
      <c r="L20" s="1148">
        <v>0</v>
      </c>
      <c r="M20" s="553">
        <f t="shared" si="1"/>
        <v>3144.86</v>
      </c>
      <c r="N20" s="765"/>
      <c r="O20" s="553">
        <f t="shared" si="3"/>
        <v>705.42999999999984</v>
      </c>
      <c r="P20" s="765"/>
      <c r="Q20" s="553">
        <v>0</v>
      </c>
      <c r="R20" s="1136"/>
    </row>
    <row r="21" spans="1:21">
      <c r="A21" s="1131" t="s">
        <v>741</v>
      </c>
      <c r="B21" s="553">
        <v>394027</v>
      </c>
      <c r="C21" s="553">
        <v>0</v>
      </c>
      <c r="D21" s="553"/>
      <c r="E21" s="553">
        <v>0</v>
      </c>
      <c r="F21" s="553">
        <v>0</v>
      </c>
      <c r="G21" s="553">
        <f t="shared" si="2"/>
        <v>394027</v>
      </c>
      <c r="H21" s="765"/>
      <c r="I21" s="553">
        <v>250334</v>
      </c>
      <c r="J21" s="553">
        <v>48423.97</v>
      </c>
      <c r="K21" s="553">
        <v>6396</v>
      </c>
      <c r="L21" s="1148">
        <v>0</v>
      </c>
      <c r="M21" s="553">
        <f t="shared" si="1"/>
        <v>305153.96999999997</v>
      </c>
      <c r="N21" s="765"/>
      <c r="O21" s="553">
        <f t="shared" si="3"/>
        <v>88873.030000000028</v>
      </c>
      <c r="P21" s="765"/>
      <c r="Q21" s="553">
        <v>0</v>
      </c>
      <c r="R21" s="1136"/>
    </row>
    <row r="22" spans="1:21">
      <c r="A22" s="1131" t="s">
        <v>460</v>
      </c>
      <c r="B22" s="553">
        <v>1014025.24</v>
      </c>
      <c r="C22" s="553">
        <v>0</v>
      </c>
      <c r="D22" s="553"/>
      <c r="E22" s="553">
        <v>0</v>
      </c>
      <c r="F22" s="553">
        <v>0</v>
      </c>
      <c r="G22" s="553">
        <f t="shared" si="2"/>
        <v>1014025.24</v>
      </c>
      <c r="H22" s="765"/>
      <c r="I22" s="553">
        <v>872504</v>
      </c>
      <c r="J22" s="553">
        <v>50557.57</v>
      </c>
      <c r="K22" s="553">
        <v>-817</v>
      </c>
      <c r="L22" s="1148">
        <v>0</v>
      </c>
      <c r="M22" s="553">
        <f t="shared" si="1"/>
        <v>922244.57</v>
      </c>
      <c r="N22" s="765"/>
      <c r="O22" s="553">
        <f t="shared" si="3"/>
        <v>91780.670000000042</v>
      </c>
      <c r="P22" s="765"/>
      <c r="Q22" s="553">
        <v>0</v>
      </c>
      <c r="R22" s="1136"/>
    </row>
    <row r="23" spans="1:21">
      <c r="A23" s="1131" t="s">
        <v>1222</v>
      </c>
      <c r="B23" s="730">
        <v>0</v>
      </c>
      <c r="C23" s="730">
        <v>0</v>
      </c>
      <c r="D23" s="730"/>
      <c r="E23" s="730">
        <v>0</v>
      </c>
      <c r="F23" s="730">
        <v>0</v>
      </c>
      <c r="G23" s="730">
        <f>+B23+C23+E23-F23</f>
        <v>0</v>
      </c>
      <c r="H23" s="765"/>
      <c r="I23" s="730">
        <v>0</v>
      </c>
      <c r="J23" s="730">
        <v>0</v>
      </c>
      <c r="K23" s="730"/>
      <c r="L23" s="1149">
        <v>0</v>
      </c>
      <c r="M23" s="730">
        <f t="shared" si="1"/>
        <v>0</v>
      </c>
      <c r="N23" s="1134"/>
      <c r="O23" s="730">
        <f>+G23-M23</f>
        <v>0</v>
      </c>
      <c r="P23" s="765"/>
      <c r="Q23" s="730">
        <v>0</v>
      </c>
      <c r="R23" s="1136"/>
    </row>
    <row r="24" spans="1:21" ht="25.5">
      <c r="A24" s="1125" t="s">
        <v>1223</v>
      </c>
      <c r="B24" s="727">
        <f>B25</f>
        <v>46146134</v>
      </c>
      <c r="C24" s="727">
        <f>C25</f>
        <v>565000</v>
      </c>
      <c r="D24" s="727"/>
      <c r="E24" s="727">
        <f>E25</f>
        <v>0</v>
      </c>
      <c r="F24" s="727">
        <f>F25</f>
        <v>4626370</v>
      </c>
      <c r="G24" s="727">
        <f>G25</f>
        <v>42084764</v>
      </c>
      <c r="H24" s="727"/>
      <c r="I24" s="727">
        <f>I25</f>
        <v>62244</v>
      </c>
      <c r="J24" s="727">
        <f>J25</f>
        <v>62244.36</v>
      </c>
      <c r="K24" s="727">
        <f>SUM(K25:K26)</f>
        <v>-35</v>
      </c>
      <c r="L24" s="727">
        <f>L25</f>
        <v>0</v>
      </c>
      <c r="M24" s="727">
        <f>M25</f>
        <v>124453.36</v>
      </c>
      <c r="N24" s="772"/>
      <c r="O24" s="727">
        <f>O25</f>
        <v>41960310.640000001</v>
      </c>
      <c r="P24" s="727"/>
      <c r="Q24" s="727">
        <f>Q25</f>
        <v>0</v>
      </c>
      <c r="R24" s="1129"/>
    </row>
    <row r="25" spans="1:21">
      <c r="A25" s="1131" t="s">
        <v>1034</v>
      </c>
      <c r="B25" s="729">
        <v>46146134</v>
      </c>
      <c r="C25" s="729">
        <f>4483000-3700000-218000</f>
        <v>565000</v>
      </c>
      <c r="D25" s="729"/>
      <c r="E25" s="729">
        <v>0</v>
      </c>
      <c r="F25" s="729">
        <f>4626370</f>
        <v>4626370</v>
      </c>
      <c r="G25" s="729">
        <f>+B25+C25+E25-F25</f>
        <v>42084764</v>
      </c>
      <c r="H25" s="765"/>
      <c r="I25" s="729">
        <v>62244</v>
      </c>
      <c r="J25" s="729">
        <v>62244.36</v>
      </c>
      <c r="K25" s="729">
        <v>-35</v>
      </c>
      <c r="L25" s="729">
        <v>0</v>
      </c>
      <c r="M25" s="729">
        <f>+I25+J25-L25+K25</f>
        <v>124453.36</v>
      </c>
      <c r="N25" s="765"/>
      <c r="O25" s="729">
        <f>+G25-M25</f>
        <v>41960310.640000001</v>
      </c>
      <c r="P25" s="765"/>
      <c r="Q25" s="729">
        <v>0</v>
      </c>
      <c r="R25" s="1136"/>
      <c r="S25" s="735"/>
    </row>
    <row r="26" spans="1:21" ht="25.5">
      <c r="A26" s="1131" t="s">
        <v>1224</v>
      </c>
      <c r="B26" s="730">
        <v>0</v>
      </c>
      <c r="C26" s="730">
        <v>0</v>
      </c>
      <c r="D26" s="730"/>
      <c r="E26" s="730">
        <v>0</v>
      </c>
      <c r="F26" s="730">
        <v>0</v>
      </c>
      <c r="G26" s="730">
        <f>+B26+C26+E26-F26</f>
        <v>0</v>
      </c>
      <c r="H26" s="765"/>
      <c r="I26" s="730">
        <v>0</v>
      </c>
      <c r="J26" s="730">
        <v>0</v>
      </c>
      <c r="K26" s="730"/>
      <c r="L26" s="730">
        <v>0</v>
      </c>
      <c r="M26" s="730">
        <f>+I26+J26-L26</f>
        <v>0</v>
      </c>
      <c r="N26" s="765"/>
      <c r="O26" s="730">
        <f>+G26-M26</f>
        <v>0</v>
      </c>
      <c r="P26" s="765"/>
      <c r="Q26" s="730">
        <v>0</v>
      </c>
      <c r="R26" s="1136"/>
    </row>
    <row r="27" spans="1:21">
      <c r="A27" s="1125" t="s">
        <v>1225</v>
      </c>
      <c r="B27" s="727">
        <f>SUM(B28:B30)</f>
        <v>0</v>
      </c>
      <c r="C27" s="727">
        <f>SUM(C28:C30)</f>
        <v>0</v>
      </c>
      <c r="D27" s="727"/>
      <c r="E27" s="727">
        <f>SUM(E28:E30)</f>
        <v>0</v>
      </c>
      <c r="F27" s="727">
        <f>SUM(F28:F30)</f>
        <v>0</v>
      </c>
      <c r="G27" s="727">
        <f>SUM(G28:G30)</f>
        <v>0</v>
      </c>
      <c r="H27" s="727"/>
      <c r="I27" s="727">
        <f t="shared" ref="I27:O27" si="4">SUM(I28:I30)</f>
        <v>0</v>
      </c>
      <c r="J27" s="727">
        <f t="shared" si="4"/>
        <v>0</v>
      </c>
      <c r="K27" s="727"/>
      <c r="L27" s="727">
        <f>SUM(L28:L30)</f>
        <v>0</v>
      </c>
      <c r="M27" s="727">
        <f t="shared" si="4"/>
        <v>0</v>
      </c>
      <c r="N27" s="727">
        <f t="shared" si="4"/>
        <v>0</v>
      </c>
      <c r="O27" s="727">
        <f t="shared" si="4"/>
        <v>0</v>
      </c>
      <c r="P27" s="727"/>
      <c r="Q27" s="727">
        <f>SUM(Q28:Q30)</f>
        <v>0</v>
      </c>
      <c r="R27" s="1129"/>
    </row>
    <row r="28" spans="1:21" ht="25.5">
      <c r="A28" s="1131" t="s">
        <v>1226</v>
      </c>
      <c r="B28" s="729">
        <v>0</v>
      </c>
      <c r="C28" s="729">
        <v>0</v>
      </c>
      <c r="D28" s="729"/>
      <c r="E28" s="729">
        <v>0</v>
      </c>
      <c r="F28" s="729">
        <v>0</v>
      </c>
      <c r="G28" s="729">
        <f>+B28+C28+E28-F28</f>
        <v>0</v>
      </c>
      <c r="H28" s="765"/>
      <c r="I28" s="729">
        <v>0</v>
      </c>
      <c r="J28" s="729">
        <v>0</v>
      </c>
      <c r="K28" s="729"/>
      <c r="L28" s="729">
        <v>0</v>
      </c>
      <c r="M28" s="729">
        <f>+I28+J28-L28</f>
        <v>0</v>
      </c>
      <c r="N28" s="765"/>
      <c r="O28" s="729">
        <f>+G28-M28</f>
        <v>0</v>
      </c>
      <c r="P28" s="765"/>
      <c r="Q28" s="729">
        <v>0</v>
      </c>
      <c r="R28" s="1136"/>
    </row>
    <row r="29" spans="1:21">
      <c r="A29" s="1131" t="s">
        <v>1227</v>
      </c>
      <c r="B29" s="553">
        <v>0</v>
      </c>
      <c r="C29" s="553">
        <v>0</v>
      </c>
      <c r="D29" s="553"/>
      <c r="E29" s="553">
        <v>0</v>
      </c>
      <c r="F29" s="553">
        <v>0</v>
      </c>
      <c r="G29" s="553">
        <f>+B29+C29+E29-F29</f>
        <v>0</v>
      </c>
      <c r="H29" s="765"/>
      <c r="I29" s="553">
        <v>0</v>
      </c>
      <c r="J29" s="553">
        <v>0</v>
      </c>
      <c r="K29" s="553"/>
      <c r="L29" s="553">
        <v>0</v>
      </c>
      <c r="M29" s="553">
        <f>+I29+J29-L29</f>
        <v>0</v>
      </c>
      <c r="N29" s="765"/>
      <c r="O29" s="553">
        <f>+G29-M29</f>
        <v>0</v>
      </c>
      <c r="P29" s="765"/>
      <c r="Q29" s="553">
        <v>0</v>
      </c>
      <c r="R29" s="1136"/>
      <c r="U29" s="671">
        <f>109+4274+141</f>
        <v>4524</v>
      </c>
    </row>
    <row r="30" spans="1:21">
      <c r="A30" s="1131" t="s">
        <v>1228</v>
      </c>
      <c r="B30" s="730">
        <v>0</v>
      </c>
      <c r="C30" s="730">
        <v>0</v>
      </c>
      <c r="D30" s="730"/>
      <c r="E30" s="730">
        <v>0</v>
      </c>
      <c r="F30" s="730">
        <v>0</v>
      </c>
      <c r="G30" s="730">
        <f>+B30+C30+E30-F30</f>
        <v>0</v>
      </c>
      <c r="H30" s="765"/>
      <c r="I30" s="730">
        <v>0</v>
      </c>
      <c r="J30" s="730">
        <v>0</v>
      </c>
      <c r="K30" s="730"/>
      <c r="L30" s="730">
        <v>0</v>
      </c>
      <c r="M30" s="730">
        <f>+I30+J30-L30</f>
        <v>0</v>
      </c>
      <c r="N30" s="765"/>
      <c r="O30" s="730">
        <f>+G30-M30</f>
        <v>0</v>
      </c>
      <c r="P30" s="765"/>
      <c r="Q30" s="730">
        <v>0</v>
      </c>
      <c r="R30" s="1136"/>
    </row>
    <row r="31" spans="1:21">
      <c r="A31" s="1125" t="s">
        <v>1229</v>
      </c>
      <c r="B31" s="727">
        <f>SUM(B32:B34)</f>
        <v>170728</v>
      </c>
      <c r="C31" s="727">
        <f>SUM(C32:C34)</f>
        <v>0</v>
      </c>
      <c r="D31" s="727"/>
      <c r="E31" s="727">
        <f>SUM(E32:E34)</f>
        <v>0</v>
      </c>
      <c r="F31" s="727">
        <f>SUM(F32:F34)</f>
        <v>8631.94</v>
      </c>
      <c r="G31" s="727">
        <f>SUM(G32:G34)</f>
        <v>162096.06</v>
      </c>
      <c r="H31" s="727"/>
      <c r="I31" s="727">
        <f>SUM(I32:I34)</f>
        <v>124436</v>
      </c>
      <c r="J31" s="727">
        <f>SUM(J32:J34)</f>
        <v>16253.11</v>
      </c>
      <c r="K31" s="727">
        <f>SUM(K32:K34)</f>
        <v>1523</v>
      </c>
      <c r="L31" s="727">
        <f>SUM(L32:L34)</f>
        <v>4321.21</v>
      </c>
      <c r="M31" s="727">
        <f>SUM(M32:M34)</f>
        <v>137890.9</v>
      </c>
      <c r="N31" s="727"/>
      <c r="O31" s="727">
        <f>SUM(O32:O34)</f>
        <v>24205.160000000003</v>
      </c>
      <c r="P31" s="727"/>
      <c r="Q31" s="727">
        <f>SUM(Q32:Q34)</f>
        <v>0</v>
      </c>
      <c r="R31" s="1129"/>
    </row>
    <row r="32" spans="1:21">
      <c r="A32" s="1131" t="s">
        <v>773</v>
      </c>
      <c r="B32" s="729">
        <v>0</v>
      </c>
      <c r="C32" s="729">
        <v>0</v>
      </c>
      <c r="D32" s="729"/>
      <c r="E32" s="729">
        <v>0</v>
      </c>
      <c r="F32" s="729">
        <v>0</v>
      </c>
      <c r="G32" s="729">
        <f>+B32+C32+E32-F32</f>
        <v>0</v>
      </c>
      <c r="H32" s="765"/>
      <c r="I32" s="729">
        <v>0</v>
      </c>
      <c r="J32" s="729">
        <v>0</v>
      </c>
      <c r="K32" s="729"/>
      <c r="L32" s="729">
        <v>0</v>
      </c>
      <c r="M32" s="729">
        <f>+I32+J32-L32</f>
        <v>0</v>
      </c>
      <c r="N32" s="765"/>
      <c r="O32" s="729">
        <f>+G32-M32</f>
        <v>0</v>
      </c>
      <c r="P32" s="765"/>
      <c r="Q32" s="729">
        <v>0</v>
      </c>
      <c r="R32" s="1136"/>
    </row>
    <row r="33" spans="1:18">
      <c r="A33" s="1131" t="s">
        <v>1035</v>
      </c>
      <c r="B33" s="553">
        <v>82930</v>
      </c>
      <c r="C33" s="553">
        <v>0</v>
      </c>
      <c r="D33" s="553"/>
      <c r="E33" s="553">
        <v>0</v>
      </c>
      <c r="F33" s="553">
        <v>0</v>
      </c>
      <c r="G33" s="553">
        <f>+B33+C33+E33-F33</f>
        <v>82930</v>
      </c>
      <c r="H33" s="765"/>
      <c r="I33" s="553">
        <v>61950</v>
      </c>
      <c r="J33" s="553">
        <v>7280.8</v>
      </c>
      <c r="K33" s="553">
        <v>1523</v>
      </c>
      <c r="L33" s="553">
        <v>0</v>
      </c>
      <c r="M33" s="553">
        <f>+I33+J33-L33+K33</f>
        <v>70753.8</v>
      </c>
      <c r="N33" s="765"/>
      <c r="O33" s="553">
        <f>+G33-M33</f>
        <v>12176.199999999997</v>
      </c>
      <c r="P33" s="765"/>
      <c r="Q33" s="553">
        <v>0</v>
      </c>
      <c r="R33" s="1136"/>
    </row>
    <row r="34" spans="1:18">
      <c r="A34" s="1131" t="s">
        <v>1257</v>
      </c>
      <c r="B34" s="730">
        <v>87798</v>
      </c>
      <c r="C34" s="730">
        <v>0</v>
      </c>
      <c r="D34" s="730"/>
      <c r="E34" s="730">
        <v>0</v>
      </c>
      <c r="F34" s="730">
        <v>8631.94</v>
      </c>
      <c r="G34" s="730">
        <f>+B34+C34+E34-F34</f>
        <v>79166.06</v>
      </c>
      <c r="H34" s="765"/>
      <c r="I34" s="730">
        <v>62486</v>
      </c>
      <c r="J34" s="730">
        <v>8972.31</v>
      </c>
      <c r="K34" s="730"/>
      <c r="L34" s="730">
        <v>4321.21</v>
      </c>
      <c r="M34" s="730">
        <f>+I34+J34-L34+K34</f>
        <v>67137.099999999991</v>
      </c>
      <c r="N34" s="765"/>
      <c r="O34" s="730">
        <f>+G34-M34</f>
        <v>12028.960000000006</v>
      </c>
      <c r="P34" s="765"/>
      <c r="Q34" s="730">
        <v>0</v>
      </c>
      <c r="R34" s="1136"/>
    </row>
    <row r="35" spans="1:18" ht="25.5">
      <c r="A35" s="1125" t="s">
        <v>1230</v>
      </c>
      <c r="B35" s="727">
        <f>SUM(B36:B39)</f>
        <v>238340.59999999998</v>
      </c>
      <c r="C35" s="727">
        <f>SUM(C36:C39)</f>
        <v>0</v>
      </c>
      <c r="D35" s="727"/>
      <c r="E35" s="727">
        <f>SUM(E36:E39)</f>
        <v>0</v>
      </c>
      <c r="F35" s="727">
        <f>SUM(F36:F39)</f>
        <v>0</v>
      </c>
      <c r="G35" s="727">
        <f>SUM(G36:G39)</f>
        <v>238340.59999999998</v>
      </c>
      <c r="H35" s="727"/>
      <c r="I35" s="727">
        <f>SUM(I36:I39)</f>
        <v>193980</v>
      </c>
      <c r="J35" s="727">
        <f>SUM(J36:J39)</f>
        <v>18357.870000000003</v>
      </c>
      <c r="K35" s="727">
        <f>SUM(K36:K39)</f>
        <v>0</v>
      </c>
      <c r="L35" s="727">
        <f>SUM(L36:L39)</f>
        <v>0</v>
      </c>
      <c r="M35" s="727">
        <f>SUM(M36:M39)</f>
        <v>212337.87</v>
      </c>
      <c r="N35" s="727"/>
      <c r="O35" s="727">
        <f>SUM(O36:O39)</f>
        <v>26002.73000000001</v>
      </c>
      <c r="P35" s="727"/>
      <c r="Q35" s="727">
        <f>SUM(Q36:Q39)</f>
        <v>0</v>
      </c>
      <c r="R35" s="1129"/>
    </row>
    <row r="36" spans="1:18">
      <c r="A36" s="1131" t="s">
        <v>1231</v>
      </c>
      <c r="B36" s="729">
        <v>111503</v>
      </c>
      <c r="C36" s="729">
        <v>0</v>
      </c>
      <c r="D36" s="729"/>
      <c r="E36" s="729">
        <v>0</v>
      </c>
      <c r="F36" s="729">
        <v>0</v>
      </c>
      <c r="G36" s="729">
        <f>+B36+C36+E36-F36</f>
        <v>111503</v>
      </c>
      <c r="H36" s="765"/>
      <c r="I36" s="729">
        <v>79894</v>
      </c>
      <c r="J36" s="729">
        <v>12756.95</v>
      </c>
      <c r="K36" s="729"/>
      <c r="L36" s="1147">
        <v>0</v>
      </c>
      <c r="M36" s="729">
        <f>+I36+J36-L36+K36</f>
        <v>92650.95</v>
      </c>
      <c r="N36" s="765"/>
      <c r="O36" s="729">
        <f>+G36-M36</f>
        <v>18852.050000000003</v>
      </c>
      <c r="P36" s="765"/>
      <c r="Q36" s="729">
        <v>0</v>
      </c>
      <c r="R36" s="1136"/>
    </row>
    <row r="37" spans="1:18" ht="25.5">
      <c r="A37" s="1131" t="s">
        <v>1232</v>
      </c>
      <c r="B37" s="553">
        <v>0</v>
      </c>
      <c r="C37" s="553">
        <v>0</v>
      </c>
      <c r="D37" s="553"/>
      <c r="E37" s="553">
        <v>0</v>
      </c>
      <c r="F37" s="553">
        <v>0</v>
      </c>
      <c r="G37" s="553">
        <f>+B37+C37+E37-F37</f>
        <v>0</v>
      </c>
      <c r="H37" s="765"/>
      <c r="I37" s="553">
        <v>0</v>
      </c>
      <c r="J37" s="553">
        <v>0</v>
      </c>
      <c r="K37" s="553"/>
      <c r="L37" s="1148">
        <v>0</v>
      </c>
      <c r="M37" s="553">
        <f>+I37+J37-L37+K37</f>
        <v>0</v>
      </c>
      <c r="N37" s="765"/>
      <c r="O37" s="553">
        <f>+G37-M37</f>
        <v>0</v>
      </c>
      <c r="P37" s="765"/>
      <c r="Q37" s="553">
        <v>0</v>
      </c>
      <c r="R37" s="1136"/>
    </row>
    <row r="38" spans="1:18">
      <c r="A38" s="1131" t="s">
        <v>457</v>
      </c>
      <c r="B38" s="553">
        <v>31412.61</v>
      </c>
      <c r="C38" s="553">
        <v>0</v>
      </c>
      <c r="D38" s="553"/>
      <c r="E38" s="553">
        <v>0</v>
      </c>
      <c r="F38" s="553">
        <v>0</v>
      </c>
      <c r="G38" s="553">
        <f>+B38+C38+E38-F38</f>
        <v>31412.61</v>
      </c>
      <c r="H38" s="765"/>
      <c r="I38" s="553">
        <v>18661</v>
      </c>
      <c r="J38" s="553">
        <v>5600.92</v>
      </c>
      <c r="K38" s="553"/>
      <c r="L38" s="1148">
        <v>0</v>
      </c>
      <c r="M38" s="553">
        <f>+I38+J38-L38+K38</f>
        <v>24261.919999999998</v>
      </c>
      <c r="N38" s="765"/>
      <c r="O38" s="553">
        <f>+G38-M38</f>
        <v>7150.6900000000023</v>
      </c>
      <c r="P38" s="765"/>
      <c r="Q38" s="553">
        <v>0</v>
      </c>
      <c r="R38" s="1136"/>
    </row>
    <row r="39" spans="1:18" ht="25.5">
      <c r="A39" s="1131" t="s">
        <v>1233</v>
      </c>
      <c r="B39" s="730">
        <v>95424.99</v>
      </c>
      <c r="C39" s="730">
        <v>0</v>
      </c>
      <c r="D39" s="730"/>
      <c r="E39" s="730">
        <v>0</v>
      </c>
      <c r="F39" s="730">
        <v>0</v>
      </c>
      <c r="G39" s="730">
        <f>+B39+C39+E39-F39</f>
        <v>95424.99</v>
      </c>
      <c r="H39" s="765"/>
      <c r="I39" s="730">
        <v>95425</v>
      </c>
      <c r="J39" s="730">
        <v>0</v>
      </c>
      <c r="K39" s="730"/>
      <c r="L39" s="1149">
        <v>0</v>
      </c>
      <c r="M39" s="730">
        <f>+I39+J39-L39+K39</f>
        <v>95425</v>
      </c>
      <c r="N39" s="765"/>
      <c r="O39" s="730">
        <f>+G39-M39</f>
        <v>-9.9999999947613105E-3</v>
      </c>
      <c r="P39" s="765"/>
      <c r="Q39" s="730">
        <v>0</v>
      </c>
      <c r="R39" s="1136"/>
    </row>
    <row r="40" spans="1:18">
      <c r="A40" s="1125" t="s">
        <v>1234</v>
      </c>
      <c r="B40" s="727">
        <f>SUM(B41:B42)</f>
        <v>790356</v>
      </c>
      <c r="C40" s="727">
        <f>SUM(C41:C42)</f>
        <v>80871.149999999994</v>
      </c>
      <c r="D40" s="727"/>
      <c r="E40" s="727">
        <f>SUM(E41:E42)</f>
        <v>0</v>
      </c>
      <c r="F40" s="727">
        <f>SUM(F41:F42)</f>
        <v>355</v>
      </c>
      <c r="G40" s="727">
        <f>SUM(G41:G42)</f>
        <v>870872.15</v>
      </c>
      <c r="H40" s="727"/>
      <c r="I40" s="727">
        <f t="shared" ref="I40:O40" si="5">SUM(I41:I42)</f>
        <v>372806</v>
      </c>
      <c r="J40" s="727">
        <f t="shared" si="5"/>
        <v>138867.24</v>
      </c>
      <c r="K40" s="727">
        <f>SUM(K42)</f>
        <v>10415</v>
      </c>
      <c r="L40" s="727">
        <f>SUM(L41:L42)</f>
        <v>212.8</v>
      </c>
      <c r="M40" s="727">
        <f t="shared" si="5"/>
        <v>521875.44</v>
      </c>
      <c r="N40" s="727">
        <f t="shared" si="5"/>
        <v>0</v>
      </c>
      <c r="O40" s="727">
        <f t="shared" si="5"/>
        <v>348996.71</v>
      </c>
      <c r="P40" s="727"/>
      <c r="Q40" s="727">
        <f>SUM(Q41:Q42)</f>
        <v>0</v>
      </c>
      <c r="R40" s="1129"/>
    </row>
    <row r="41" spans="1:18">
      <c r="A41" s="1131" t="s">
        <v>2144</v>
      </c>
      <c r="B41" s="729">
        <v>0</v>
      </c>
      <c r="C41" s="729">
        <v>0</v>
      </c>
      <c r="D41" s="729"/>
      <c r="E41" s="729">
        <v>0</v>
      </c>
      <c r="F41" s="729">
        <v>0</v>
      </c>
      <c r="G41" s="729">
        <f>+B41+C41+E41-F41</f>
        <v>0</v>
      </c>
      <c r="H41" s="765"/>
      <c r="I41" s="729">
        <v>0</v>
      </c>
      <c r="J41" s="729">
        <v>0</v>
      </c>
      <c r="K41" s="729"/>
      <c r="L41" s="729">
        <v>0</v>
      </c>
      <c r="M41" s="729">
        <v>0</v>
      </c>
      <c r="N41" s="765"/>
      <c r="O41" s="729">
        <f>+G41-M41</f>
        <v>0</v>
      </c>
      <c r="P41" s="765"/>
      <c r="Q41" s="729">
        <v>0</v>
      </c>
      <c r="R41" s="1136"/>
    </row>
    <row r="42" spans="1:18">
      <c r="A42" s="1131" t="s">
        <v>1235</v>
      </c>
      <c r="B42" s="730">
        <v>790356</v>
      </c>
      <c r="C42" s="730">
        <v>80871.149999999994</v>
      </c>
      <c r="D42" s="730"/>
      <c r="E42" s="730">
        <v>0</v>
      </c>
      <c r="F42" s="730">
        <v>355</v>
      </c>
      <c r="G42" s="730">
        <f>+B42+C42+E42-F42</f>
        <v>870872.15</v>
      </c>
      <c r="H42" s="765"/>
      <c r="I42" s="730">
        <v>372806</v>
      </c>
      <c r="J42" s="730">
        <v>138867.24</v>
      </c>
      <c r="K42" s="730">
        <v>10415</v>
      </c>
      <c r="L42" s="730">
        <v>212.8</v>
      </c>
      <c r="M42" s="730">
        <f>+I42+J42-L42+K42</f>
        <v>521875.44</v>
      </c>
      <c r="N42" s="765"/>
      <c r="O42" s="730">
        <f>+G42-M42</f>
        <v>348996.71</v>
      </c>
      <c r="P42" s="765"/>
      <c r="Q42" s="730">
        <v>0</v>
      </c>
      <c r="R42" s="1136"/>
    </row>
    <row r="43" spans="1:18" ht="25.5">
      <c r="A43" s="1125" t="s">
        <v>1037</v>
      </c>
      <c r="B43" s="727">
        <f>B44</f>
        <v>1115273</v>
      </c>
      <c r="C43" s="727">
        <f>C44</f>
        <v>576391.18000000005</v>
      </c>
      <c r="D43" s="727"/>
      <c r="E43" s="727">
        <f>E44</f>
        <v>0</v>
      </c>
      <c r="F43" s="727">
        <f>F44</f>
        <v>0</v>
      </c>
      <c r="G43" s="727">
        <f>G44</f>
        <v>1691664.1800000002</v>
      </c>
      <c r="H43" s="727"/>
      <c r="I43" s="727">
        <f t="shared" ref="I43:O43" si="6">I44</f>
        <v>304918</v>
      </c>
      <c r="J43" s="727">
        <f t="shared" si="6"/>
        <v>37107.78</v>
      </c>
      <c r="K43" s="727">
        <f>SUM(K44)</f>
        <v>-51675</v>
      </c>
      <c r="L43" s="727">
        <f t="shared" si="6"/>
        <v>0</v>
      </c>
      <c r="M43" s="727">
        <f t="shared" si="6"/>
        <v>290350.78000000003</v>
      </c>
      <c r="N43" s="727">
        <f t="shared" si="6"/>
        <v>0</v>
      </c>
      <c r="O43" s="727">
        <f t="shared" si="6"/>
        <v>1401313.4000000001</v>
      </c>
      <c r="P43" s="727"/>
      <c r="Q43" s="727">
        <f>Q44</f>
        <v>0</v>
      </c>
      <c r="R43" s="1129"/>
    </row>
    <row r="44" spans="1:18">
      <c r="A44" s="1131" t="s">
        <v>1036</v>
      </c>
      <c r="B44" s="1146">
        <v>1115273</v>
      </c>
      <c r="C44" s="1146">
        <v>576391.18000000005</v>
      </c>
      <c r="D44" s="1146"/>
      <c r="E44" s="1146">
        <v>0</v>
      </c>
      <c r="F44" s="1146">
        <v>0</v>
      </c>
      <c r="G44" s="1146">
        <f>+B44+C44+E44-F44</f>
        <v>1691664.1800000002</v>
      </c>
      <c r="H44" s="765"/>
      <c r="I44" s="1146">
        <v>304918</v>
      </c>
      <c r="J44" s="1146">
        <v>37107.78</v>
      </c>
      <c r="K44" s="1146">
        <v>-51675</v>
      </c>
      <c r="L44" s="1146">
        <v>0</v>
      </c>
      <c r="M44" s="1146">
        <f>+I44+J44-L44+K44</f>
        <v>290350.78000000003</v>
      </c>
      <c r="N44" s="765"/>
      <c r="O44" s="1146">
        <f>+G44-M44</f>
        <v>1401313.4000000001</v>
      </c>
      <c r="P44" s="765"/>
      <c r="Q44" s="1146">
        <v>0</v>
      </c>
      <c r="R44" s="1136"/>
    </row>
    <row r="45" spans="1:18" ht="25.5">
      <c r="A45" s="1125" t="s">
        <v>1236</v>
      </c>
      <c r="B45" s="727">
        <f>SUM(B46:B47)</f>
        <v>0</v>
      </c>
      <c r="C45" s="727">
        <f>SUM(C46:C47)</f>
        <v>0</v>
      </c>
      <c r="D45" s="727"/>
      <c r="E45" s="727">
        <f>SUM(E46:E47)</f>
        <v>0</v>
      </c>
      <c r="F45" s="727">
        <f>SUM(F46:F47)</f>
        <v>0</v>
      </c>
      <c r="G45" s="727">
        <f>SUM(G46:G47)</f>
        <v>0</v>
      </c>
      <c r="H45" s="727"/>
      <c r="I45" s="727">
        <f>SUM(I46:I47)</f>
        <v>0</v>
      </c>
      <c r="J45" s="727">
        <f>SUM(J46:J47)</f>
        <v>0</v>
      </c>
      <c r="K45" s="727"/>
      <c r="L45" s="727">
        <f>SUM(L46:L47)</f>
        <v>0</v>
      </c>
      <c r="M45" s="727">
        <f>SUM(M46:M47)</f>
        <v>0</v>
      </c>
      <c r="N45" s="727"/>
      <c r="O45" s="727">
        <f>SUM(O46:O47)</f>
        <v>0</v>
      </c>
      <c r="P45" s="727"/>
      <c r="Q45" s="727">
        <f>SUM(Q46:Q47)</f>
        <v>0</v>
      </c>
      <c r="R45" s="1129"/>
    </row>
    <row r="46" spans="1:18">
      <c r="A46" s="1131" t="s">
        <v>1116</v>
      </c>
      <c r="B46" s="729">
        <v>0</v>
      </c>
      <c r="C46" s="729">
        <v>0</v>
      </c>
      <c r="D46" s="729"/>
      <c r="E46" s="729">
        <v>0</v>
      </c>
      <c r="F46" s="729">
        <v>0</v>
      </c>
      <c r="G46" s="729">
        <f>+B46+C46+E46-F46</f>
        <v>0</v>
      </c>
      <c r="H46" s="765"/>
      <c r="I46" s="729">
        <v>0</v>
      </c>
      <c r="J46" s="729">
        <v>0</v>
      </c>
      <c r="K46" s="729"/>
      <c r="L46" s="729">
        <v>0</v>
      </c>
      <c r="M46" s="729">
        <f>+I46+J46-L46</f>
        <v>0</v>
      </c>
      <c r="N46" s="765"/>
      <c r="O46" s="729">
        <f>+G46-M46</f>
        <v>0</v>
      </c>
      <c r="P46" s="765"/>
      <c r="Q46" s="729">
        <v>0</v>
      </c>
      <c r="R46" s="1136"/>
    </row>
    <row r="47" spans="1:18">
      <c r="A47" s="1131" t="s">
        <v>1237</v>
      </c>
      <c r="B47" s="730">
        <v>0</v>
      </c>
      <c r="C47" s="730">
        <v>0</v>
      </c>
      <c r="D47" s="730"/>
      <c r="E47" s="730">
        <v>0</v>
      </c>
      <c r="F47" s="730">
        <v>0</v>
      </c>
      <c r="G47" s="730">
        <f>+B47+C47+E47-F47</f>
        <v>0</v>
      </c>
      <c r="H47" s="765"/>
      <c r="I47" s="730">
        <v>0</v>
      </c>
      <c r="J47" s="730">
        <v>0</v>
      </c>
      <c r="K47" s="730"/>
      <c r="L47" s="730">
        <v>0</v>
      </c>
      <c r="M47" s="730">
        <f>+I47+J47-L47</f>
        <v>0</v>
      </c>
      <c r="N47" s="765"/>
      <c r="O47" s="730">
        <f>+G47-M47</f>
        <v>0</v>
      </c>
      <c r="P47" s="765"/>
      <c r="Q47" s="730" t="s">
        <v>746</v>
      </c>
      <c r="R47" s="1136"/>
    </row>
    <row r="48" spans="1:18" ht="25.5">
      <c r="A48" s="1125" t="s">
        <v>1238</v>
      </c>
      <c r="B48" s="727">
        <f>B49</f>
        <v>2162692</v>
      </c>
      <c r="C48" s="727">
        <f>C49</f>
        <v>0</v>
      </c>
      <c r="D48" s="727"/>
      <c r="E48" s="727">
        <f>E49</f>
        <v>0</v>
      </c>
      <c r="F48" s="727">
        <f>F49</f>
        <v>0</v>
      </c>
      <c r="G48" s="727">
        <f>G49</f>
        <v>2162692</v>
      </c>
      <c r="H48" s="727"/>
      <c r="I48" s="727">
        <f>I49</f>
        <v>2046167</v>
      </c>
      <c r="J48" s="727">
        <f>J49</f>
        <v>76305.63</v>
      </c>
      <c r="K48" s="727">
        <f>SUM(K49)</f>
        <v>-1365517</v>
      </c>
      <c r="L48" s="727">
        <f>L49</f>
        <v>0</v>
      </c>
      <c r="M48" s="727">
        <f>M49</f>
        <v>756955.62999999989</v>
      </c>
      <c r="N48" s="727"/>
      <c r="O48" s="727">
        <f>O49</f>
        <v>1405736.37</v>
      </c>
      <c r="P48" s="727"/>
      <c r="Q48" s="727">
        <f>Q49</f>
        <v>0</v>
      </c>
      <c r="R48" s="1129"/>
    </row>
    <row r="49" spans="1:18">
      <c r="A49" s="1131" t="s">
        <v>1239</v>
      </c>
      <c r="B49" s="1146">
        <v>2162692</v>
      </c>
      <c r="C49" s="1146">
        <v>0</v>
      </c>
      <c r="D49" s="1146"/>
      <c r="E49" s="1146">
        <v>0</v>
      </c>
      <c r="F49" s="1146">
        <v>0</v>
      </c>
      <c r="G49" s="1146">
        <f>+B49+C49+E49-F49</f>
        <v>2162692</v>
      </c>
      <c r="H49" s="765"/>
      <c r="I49" s="1146">
        <v>2046167</v>
      </c>
      <c r="J49" s="1146">
        <v>76305.63</v>
      </c>
      <c r="K49" s="1146">
        <v>-1365517</v>
      </c>
      <c r="L49" s="1146">
        <v>0</v>
      </c>
      <c r="M49" s="1146">
        <f>+I49+J49-L49+K49</f>
        <v>756955.62999999989</v>
      </c>
      <c r="N49" s="765"/>
      <c r="O49" s="1146">
        <f>+G49-M49</f>
        <v>1405736.37</v>
      </c>
      <c r="P49" s="765"/>
      <c r="Q49" s="1146">
        <v>0</v>
      </c>
      <c r="R49" s="1136"/>
    </row>
    <row r="50" spans="1:18">
      <c r="A50" s="1125" t="s">
        <v>1240</v>
      </c>
      <c r="B50" s="727">
        <f>B51</f>
        <v>0</v>
      </c>
      <c r="C50" s="727">
        <f>C51</f>
        <v>0</v>
      </c>
      <c r="D50" s="727"/>
      <c r="E50" s="727">
        <f>E51</f>
        <v>0</v>
      </c>
      <c r="F50" s="727">
        <f>F51</f>
        <v>0</v>
      </c>
      <c r="G50" s="727">
        <f>G51</f>
        <v>0</v>
      </c>
      <c r="H50" s="727"/>
      <c r="I50" s="727">
        <f>I51</f>
        <v>0</v>
      </c>
      <c r="J50" s="727">
        <f>J51</f>
        <v>0</v>
      </c>
      <c r="K50" s="727"/>
      <c r="L50" s="727">
        <f>L51</f>
        <v>0</v>
      </c>
      <c r="M50" s="727">
        <f>M51</f>
        <v>0</v>
      </c>
      <c r="N50" s="727"/>
      <c r="O50" s="727">
        <f>O51</f>
        <v>0</v>
      </c>
      <c r="P50" s="727"/>
      <c r="Q50" s="727">
        <f>Q51</f>
        <v>0</v>
      </c>
      <c r="R50" s="1129"/>
    </row>
    <row r="51" spans="1:18">
      <c r="A51" s="1131" t="s">
        <v>767</v>
      </c>
      <c r="B51" s="1146">
        <v>0</v>
      </c>
      <c r="C51" s="1146">
        <v>0</v>
      </c>
      <c r="D51" s="1146"/>
      <c r="E51" s="1146">
        <v>0</v>
      </c>
      <c r="F51" s="1146">
        <v>0</v>
      </c>
      <c r="G51" s="1146">
        <f>+B51+C51+E51-F51</f>
        <v>0</v>
      </c>
      <c r="H51" s="765"/>
      <c r="I51" s="1146">
        <v>0</v>
      </c>
      <c r="J51" s="1146">
        <v>0</v>
      </c>
      <c r="K51" s="1146"/>
      <c r="L51" s="1146">
        <v>0</v>
      </c>
      <c r="M51" s="1146">
        <f>+I51+J51-L51</f>
        <v>0</v>
      </c>
      <c r="N51" s="765"/>
      <c r="O51" s="1146">
        <f>+G51-M51</f>
        <v>0</v>
      </c>
      <c r="P51" s="765"/>
      <c r="Q51" s="1146">
        <v>0</v>
      </c>
      <c r="R51" s="1136"/>
    </row>
    <row r="52" spans="1:18">
      <c r="A52" s="1125" t="s">
        <v>1241</v>
      </c>
      <c r="B52" s="727">
        <f>SUM(B53:B54)</f>
        <v>0</v>
      </c>
      <c r="C52" s="727">
        <f>SUM(C53:C54)</f>
        <v>0</v>
      </c>
      <c r="D52" s="727"/>
      <c r="E52" s="727">
        <f>SUM(E53:E54)</f>
        <v>0</v>
      </c>
      <c r="F52" s="727">
        <f>SUM(F53:F54)</f>
        <v>0</v>
      </c>
      <c r="G52" s="727">
        <f>SUM(G53:G54)</f>
        <v>0</v>
      </c>
      <c r="H52" s="727"/>
      <c r="I52" s="727">
        <f>SUM(I53:I54)</f>
        <v>0</v>
      </c>
      <c r="J52" s="727">
        <f>SUM(J53:J54)</f>
        <v>0</v>
      </c>
      <c r="K52" s="727"/>
      <c r="L52" s="727">
        <f>SUM(L53:L54)</f>
        <v>0</v>
      </c>
      <c r="M52" s="727">
        <f>SUM(M53:M54)</f>
        <v>0</v>
      </c>
      <c r="N52" s="727"/>
      <c r="O52" s="727">
        <f>SUM(O53:O54)</f>
        <v>0</v>
      </c>
      <c r="P52" s="727"/>
      <c r="Q52" s="727">
        <f>SUM(Q53:Q54)</f>
        <v>0</v>
      </c>
      <c r="R52" s="1129"/>
    </row>
    <row r="53" spans="1:18">
      <c r="A53" s="1131" t="s">
        <v>1242</v>
      </c>
      <c r="B53" s="729">
        <v>0</v>
      </c>
      <c r="C53" s="729">
        <v>0</v>
      </c>
      <c r="D53" s="729"/>
      <c r="E53" s="729">
        <v>0</v>
      </c>
      <c r="F53" s="729">
        <v>0</v>
      </c>
      <c r="G53" s="729">
        <f>+B53+C53+E53-F53</f>
        <v>0</v>
      </c>
      <c r="H53" s="765"/>
      <c r="I53" s="729">
        <v>0</v>
      </c>
      <c r="J53" s="729">
        <v>0</v>
      </c>
      <c r="K53" s="729"/>
      <c r="L53" s="729">
        <v>0</v>
      </c>
      <c r="M53" s="729">
        <f>+I53+J53-L53</f>
        <v>0</v>
      </c>
      <c r="N53" s="765"/>
      <c r="O53" s="729">
        <f>+G53-M53</f>
        <v>0</v>
      </c>
      <c r="P53" s="765"/>
      <c r="Q53" s="729">
        <v>0</v>
      </c>
      <c r="R53" s="1136"/>
    </row>
    <row r="54" spans="1:18">
      <c r="A54" s="1131" t="s">
        <v>1243</v>
      </c>
      <c r="B54" s="730">
        <v>0</v>
      </c>
      <c r="C54" s="730">
        <v>0</v>
      </c>
      <c r="D54" s="730"/>
      <c r="E54" s="730">
        <v>0</v>
      </c>
      <c r="F54" s="730">
        <v>0</v>
      </c>
      <c r="G54" s="730">
        <f>+B54+C54+E54-F54</f>
        <v>0</v>
      </c>
      <c r="H54" s="765"/>
      <c r="I54" s="730">
        <v>0</v>
      </c>
      <c r="J54" s="730">
        <v>0</v>
      </c>
      <c r="K54" s="730"/>
      <c r="L54" s="730">
        <v>0</v>
      </c>
      <c r="M54" s="730">
        <f>+I54+J54-L54</f>
        <v>0</v>
      </c>
      <c r="N54" s="765"/>
      <c r="O54" s="730">
        <f>+G54-M54</f>
        <v>0</v>
      </c>
      <c r="P54" s="765"/>
      <c r="Q54" s="730">
        <v>0</v>
      </c>
      <c r="R54" s="1136"/>
    </row>
    <row r="55" spans="1:18">
      <c r="A55" s="1131"/>
      <c r="B55" s="765"/>
      <c r="C55" s="765"/>
      <c r="D55" s="765"/>
      <c r="E55" s="765"/>
      <c r="F55" s="765"/>
      <c r="G55" s="765"/>
      <c r="H55" s="765"/>
      <c r="I55" s="765"/>
      <c r="J55" s="765">
        <v>0</v>
      </c>
      <c r="K55" s="765"/>
      <c r="L55" s="765">
        <v>0</v>
      </c>
      <c r="M55" s="765"/>
      <c r="N55" s="765"/>
      <c r="O55" s="765"/>
      <c r="P55" s="765"/>
      <c r="Q55" s="727"/>
      <c r="R55" s="1136"/>
    </row>
    <row r="56" spans="1:18">
      <c r="A56" s="1125" t="s">
        <v>1244</v>
      </c>
      <c r="B56" s="727">
        <f>SUM(B57:B58)</f>
        <v>16213243</v>
      </c>
      <c r="C56" s="727">
        <f>SUM(C57:C58)</f>
        <v>1311493.6499999999</v>
      </c>
      <c r="D56" s="727"/>
      <c r="E56" s="727">
        <f>SUM(E57:E58)</f>
        <v>0</v>
      </c>
      <c r="F56" s="727">
        <f>SUM(F57:F58)</f>
        <v>0</v>
      </c>
      <c r="G56" s="727">
        <f>SUM(G57:G58)</f>
        <v>17524736.649999999</v>
      </c>
      <c r="H56" s="727"/>
      <c r="I56" s="727">
        <f>SUM(I57:I58)</f>
        <v>4202288</v>
      </c>
      <c r="J56" s="727">
        <f>SUM(J57:J58)</f>
        <v>949915.22</v>
      </c>
      <c r="K56" s="727">
        <f>SUM(K57:K58)</f>
        <v>-174370</v>
      </c>
      <c r="L56" s="727">
        <f>SUM(L57:L58)</f>
        <v>0</v>
      </c>
      <c r="M56" s="727">
        <f>SUM(M57:M58)</f>
        <v>4977833.22</v>
      </c>
      <c r="N56" s="727"/>
      <c r="O56" s="727">
        <f>SUM(O57:O58)</f>
        <v>12546903.43</v>
      </c>
      <c r="P56" s="727"/>
      <c r="Q56" s="727">
        <f>SUM(Q57:Q58)</f>
        <v>0</v>
      </c>
      <c r="R56" s="1129"/>
    </row>
    <row r="57" spans="1:18" ht="25.5">
      <c r="A57" s="1131" t="s">
        <v>1245</v>
      </c>
      <c r="B57" s="729">
        <f>16213245-2</f>
        <v>16213243</v>
      </c>
      <c r="C57" s="729">
        <v>1311493.6499999999</v>
      </c>
      <c r="D57" s="729"/>
      <c r="E57" s="729">
        <v>0</v>
      </c>
      <c r="F57" s="729">
        <v>0</v>
      </c>
      <c r="G57" s="729">
        <f>+B57+C57+E57-F57</f>
        <v>17524736.649999999</v>
      </c>
      <c r="H57" s="765"/>
      <c r="I57" s="729">
        <f>4202285+3</f>
        <v>4202288</v>
      </c>
      <c r="J57" s="729">
        <v>949915.22</v>
      </c>
      <c r="K57" s="729">
        <v>-174370</v>
      </c>
      <c r="L57" s="729">
        <v>0</v>
      </c>
      <c r="M57" s="729">
        <f>+I57+J57-L57+K57</f>
        <v>4977833.22</v>
      </c>
      <c r="N57" s="765"/>
      <c r="O57" s="729">
        <f>+G57-M57</f>
        <v>12546903.43</v>
      </c>
      <c r="P57" s="765"/>
      <c r="Q57" s="729">
        <v>0</v>
      </c>
      <c r="R57" s="1136"/>
    </row>
    <row r="58" spans="1:18">
      <c r="A58" s="1131" t="s">
        <v>768</v>
      </c>
      <c r="B58" s="730">
        <v>0</v>
      </c>
      <c r="C58" s="730">
        <v>0</v>
      </c>
      <c r="D58" s="730"/>
      <c r="E58" s="730">
        <v>0</v>
      </c>
      <c r="F58" s="730">
        <v>0</v>
      </c>
      <c r="G58" s="730">
        <f>+B58+C58+E58-F58</f>
        <v>0</v>
      </c>
      <c r="H58" s="765"/>
      <c r="I58" s="730">
        <v>0</v>
      </c>
      <c r="J58" s="730">
        <v>0</v>
      </c>
      <c r="K58" s="730"/>
      <c r="L58" s="730">
        <v>0</v>
      </c>
      <c r="M58" s="730">
        <v>0</v>
      </c>
      <c r="N58" s="765"/>
      <c r="O58" s="730">
        <f>+G58-M58</f>
        <v>0</v>
      </c>
      <c r="P58" s="765"/>
      <c r="Q58" s="730">
        <v>0</v>
      </c>
      <c r="R58" s="1136"/>
    </row>
    <row r="59" spans="1:18">
      <c r="A59" s="1140" t="s">
        <v>2145</v>
      </c>
      <c r="B59" s="1141">
        <f t="shared" ref="B59:G59" si="7">B56+B52+B50+B48+B45+B43+B40+B35+B31+B27+B24+B10+B8</f>
        <v>119971866.96000001</v>
      </c>
      <c r="C59" s="1141">
        <f t="shared" si="7"/>
        <v>12364563.92</v>
      </c>
      <c r="D59" s="1141">
        <f t="shared" si="7"/>
        <v>423376.42</v>
      </c>
      <c r="E59" s="1141">
        <f t="shared" si="7"/>
        <v>0</v>
      </c>
      <c r="F59" s="1141">
        <f t="shared" si="7"/>
        <v>4635631.9400000004</v>
      </c>
      <c r="G59" s="1141">
        <f t="shared" si="7"/>
        <v>127277422.52</v>
      </c>
      <c r="H59" s="1141"/>
      <c r="I59" s="1141">
        <f t="shared" ref="I59:O59" si="8">I56+I52+I50+I48+I45+I43+I40+I35+I31+I27+I24+I10+I8</f>
        <v>25972907</v>
      </c>
      <c r="J59" s="1141">
        <f t="shared" si="8"/>
        <v>4807122.6800000006</v>
      </c>
      <c r="K59" s="1141">
        <f t="shared" si="8"/>
        <v>-1611218</v>
      </c>
      <c r="L59" s="1141">
        <f>L56+L52+L50+L48+L45+L43+L40+L35+L31+L27+L24+L10+L8</f>
        <v>4698.8100000000004</v>
      </c>
      <c r="M59" s="1141">
        <f t="shared" si="8"/>
        <v>29164112.870000005</v>
      </c>
      <c r="N59" s="1141">
        <f t="shared" si="8"/>
        <v>0</v>
      </c>
      <c r="O59" s="1141">
        <f t="shared" si="8"/>
        <v>98113309.650000006</v>
      </c>
      <c r="P59" s="1141"/>
      <c r="Q59" s="1141">
        <f>Q56+Q52+Q50+Q48+Q45+Q43+Q40+Q35+Q31+Q27+Q24+Q10+Q8</f>
        <v>0</v>
      </c>
      <c r="R59" s="1150"/>
    </row>
    <row r="60" spans="1:18">
      <c r="J60" s="673" t="s">
        <v>45</v>
      </c>
    </row>
    <row r="61" spans="1:18">
      <c r="J61" s="673" t="s">
        <v>45</v>
      </c>
    </row>
  </sheetData>
  <mergeCells count="6">
    <mergeCell ref="A1:Q1"/>
    <mergeCell ref="A2:Q2"/>
    <mergeCell ref="A3:Q3"/>
    <mergeCell ref="B5:G5"/>
    <mergeCell ref="I5:M5"/>
    <mergeCell ref="Q5:R5"/>
  </mergeCells>
  <phoneticPr fontId="0" type="noConversion"/>
  <printOptions horizontalCentered="1"/>
  <pageMargins left="0.39370078740157483" right="0.39370078740157483" top="0.39370078740157483" bottom="0.39370078740157483" header="0.9055118110236221" footer="0.9055118110236221"/>
  <pageSetup paperSize="9" scale="57" orientation="landscape" r:id="rId1"/>
  <headerFooter>
    <oddFooter>&amp;R&amp;P</oddFooter>
  </headerFooter>
</worksheet>
</file>

<file path=xl/worksheets/sheet27.xml><?xml version="1.0" encoding="utf-8"?>
<worksheet xmlns="http://schemas.openxmlformats.org/spreadsheetml/2006/main" xmlns:r="http://schemas.openxmlformats.org/officeDocument/2006/relationships">
  <sheetPr>
    <pageSetUpPr fitToPage="1"/>
  </sheetPr>
  <dimension ref="A1:T59"/>
  <sheetViews>
    <sheetView tabSelected="1" view="pageBreakPreview" topLeftCell="A31" zoomScale="60" workbookViewId="0">
      <selection activeCell="B43" sqref="B43"/>
    </sheetView>
  </sheetViews>
  <sheetFormatPr defaultRowHeight="12.75"/>
  <cols>
    <col min="1" max="1" width="19.140625" style="264" bestFit="1" customWidth="1"/>
    <col min="2" max="2" width="13.85546875" style="265" bestFit="1" customWidth="1"/>
    <col min="3" max="3" width="11.42578125" style="265" bestFit="1" customWidth="1"/>
    <col min="4" max="4" width="11.28515625" style="265" customWidth="1"/>
    <col min="5" max="5" width="11.28515625" style="265" bestFit="1" customWidth="1"/>
    <col min="6" max="6" width="9.5703125" style="265" bestFit="1" customWidth="1"/>
    <col min="7" max="7" width="13.85546875" style="265" bestFit="1" customWidth="1"/>
    <col min="8" max="8" width="1.42578125" style="265" customWidth="1"/>
    <col min="9" max="9" width="13.85546875" style="265" bestFit="1" customWidth="1"/>
    <col min="10" max="10" width="11.85546875" style="265" bestFit="1" customWidth="1"/>
    <col min="11" max="12" width="10.28515625" style="265" customWidth="1"/>
    <col min="13" max="13" width="9.42578125" style="265" bestFit="1" customWidth="1"/>
    <col min="14" max="14" width="13.7109375" style="265" bestFit="1" customWidth="1"/>
    <col min="15" max="15" width="1.140625" style="265" customWidth="1"/>
    <col min="16" max="16" width="14.7109375" style="265" bestFit="1" customWidth="1"/>
    <col min="17" max="17" width="1.42578125" style="265" customWidth="1"/>
    <col min="18" max="18" width="9.42578125" style="265" bestFit="1" customWidth="1"/>
    <col min="19" max="19" width="3" style="264" customWidth="1"/>
    <col min="20" max="20" width="14" style="264" bestFit="1" customWidth="1"/>
    <col min="21" max="16384" width="9.140625" style="264"/>
  </cols>
  <sheetData>
    <row r="1" spans="1:19">
      <c r="A1" s="1919" t="s">
        <v>1246</v>
      </c>
      <c r="B1" s="1919"/>
      <c r="C1" s="1919"/>
      <c r="D1" s="1919"/>
      <c r="E1" s="1919"/>
      <c r="F1" s="1919"/>
      <c r="G1" s="1919"/>
      <c r="H1" s="1919"/>
      <c r="I1" s="1919"/>
      <c r="J1" s="1919"/>
      <c r="K1" s="1919"/>
      <c r="L1" s="1919"/>
      <c r="M1" s="1919"/>
      <c r="N1" s="1919"/>
      <c r="O1" s="1919"/>
      <c r="P1" s="1919"/>
      <c r="Q1" s="1919"/>
      <c r="R1" s="1919"/>
    </row>
    <row r="2" spans="1:19">
      <c r="A2" s="1919" t="s">
        <v>3304</v>
      </c>
      <c r="B2" s="1919"/>
      <c r="C2" s="1919"/>
      <c r="D2" s="1919"/>
      <c r="E2" s="1919"/>
      <c r="F2" s="1919"/>
      <c r="G2" s="1919"/>
      <c r="H2" s="1919"/>
      <c r="I2" s="1919"/>
      <c r="J2" s="1919"/>
      <c r="K2" s="1919"/>
      <c r="L2" s="1919"/>
      <c r="M2" s="1919"/>
      <c r="N2" s="1919"/>
      <c r="O2" s="1919"/>
      <c r="P2" s="1919"/>
      <c r="Q2" s="1919"/>
      <c r="R2" s="1919"/>
    </row>
    <row r="3" spans="1:19">
      <c r="A3" s="1919" t="s">
        <v>3525</v>
      </c>
      <c r="B3" s="1919"/>
      <c r="C3" s="1919"/>
      <c r="D3" s="1919"/>
      <c r="E3" s="1919"/>
      <c r="F3" s="1919"/>
      <c r="G3" s="1919"/>
      <c r="H3" s="1919"/>
      <c r="I3" s="1919"/>
      <c r="J3" s="1919"/>
      <c r="K3" s="1919"/>
      <c r="L3" s="1919"/>
      <c r="M3" s="1919"/>
      <c r="N3" s="1919"/>
      <c r="O3" s="1919"/>
      <c r="P3" s="1919"/>
      <c r="Q3" s="1919"/>
      <c r="R3" s="1919"/>
    </row>
    <row r="5" spans="1:19">
      <c r="A5" s="206"/>
      <c r="B5" s="1926" t="s">
        <v>755</v>
      </c>
      <c r="C5" s="1926"/>
      <c r="D5" s="1926"/>
      <c r="E5" s="1926"/>
      <c r="F5" s="1926"/>
      <c r="G5" s="1926"/>
      <c r="H5" s="448"/>
      <c r="I5" s="1926" t="s">
        <v>756</v>
      </c>
      <c r="J5" s="1926"/>
      <c r="K5" s="1926"/>
      <c r="L5" s="1926"/>
      <c r="M5" s="1926"/>
      <c r="N5" s="1926"/>
      <c r="O5" s="448"/>
      <c r="P5" s="448"/>
      <c r="Q5" s="448"/>
      <c r="R5" s="1927"/>
      <c r="S5" s="1928"/>
    </row>
    <row r="6" spans="1:19" ht="63.75">
      <c r="A6" s="202"/>
      <c r="B6" s="199" t="s">
        <v>3860</v>
      </c>
      <c r="C6" s="199" t="s">
        <v>757</v>
      </c>
      <c r="D6" s="199" t="s">
        <v>3937</v>
      </c>
      <c r="E6" s="199" t="s">
        <v>758</v>
      </c>
      <c r="F6" s="199" t="s">
        <v>1017</v>
      </c>
      <c r="G6" s="199" t="s">
        <v>3858</v>
      </c>
      <c r="H6" s="180"/>
      <c r="I6" s="199" t="s">
        <v>3859</v>
      </c>
      <c r="J6" s="199" t="s">
        <v>759</v>
      </c>
      <c r="K6" s="199" t="s">
        <v>3941</v>
      </c>
      <c r="L6" s="199" t="s">
        <v>3942</v>
      </c>
      <c r="M6" s="199" t="s">
        <v>1017</v>
      </c>
      <c r="N6" s="199" t="s">
        <v>3858</v>
      </c>
      <c r="O6" s="180"/>
      <c r="P6" s="199" t="s">
        <v>760</v>
      </c>
      <c r="Q6" s="180"/>
      <c r="R6" s="199" t="s">
        <v>3763</v>
      </c>
      <c r="S6" s="207"/>
    </row>
    <row r="7" spans="1:19">
      <c r="A7" s="203"/>
      <c r="B7" s="183" t="s">
        <v>2422</v>
      </c>
      <c r="C7" s="183" t="s">
        <v>2422</v>
      </c>
      <c r="D7" s="183"/>
      <c r="E7" s="183"/>
      <c r="F7" s="183" t="s">
        <v>2422</v>
      </c>
      <c r="G7" s="183" t="s">
        <v>2422</v>
      </c>
      <c r="H7" s="183"/>
      <c r="I7" s="183" t="s">
        <v>2422</v>
      </c>
      <c r="J7" s="183" t="s">
        <v>2422</v>
      </c>
      <c r="K7" s="183"/>
      <c r="L7" s="183"/>
      <c r="M7" s="183" t="s">
        <v>2422</v>
      </c>
      <c r="N7" s="183" t="s">
        <v>2422</v>
      </c>
      <c r="O7" s="183"/>
      <c r="P7" s="183" t="s">
        <v>2422</v>
      </c>
      <c r="Q7" s="183"/>
      <c r="R7" s="183" t="s">
        <v>2422</v>
      </c>
      <c r="S7" s="204"/>
    </row>
    <row r="8" spans="1:19" ht="25.5">
      <c r="A8" s="202" t="s">
        <v>1018</v>
      </c>
      <c r="B8" s="200">
        <f>B9</f>
        <v>0</v>
      </c>
      <c r="C8" s="200">
        <f>C9</f>
        <v>0</v>
      </c>
      <c r="D8" s="200"/>
      <c r="E8" s="200">
        <f>E9</f>
        <v>0</v>
      </c>
      <c r="F8" s="200">
        <f>F9</f>
        <v>0</v>
      </c>
      <c r="G8" s="200">
        <f>G9</f>
        <v>0</v>
      </c>
      <c r="H8" s="200"/>
      <c r="I8" s="200">
        <f>I9</f>
        <v>0</v>
      </c>
      <c r="J8" s="200">
        <f>J9</f>
        <v>0</v>
      </c>
      <c r="K8" s="200"/>
      <c r="L8" s="200"/>
      <c r="M8" s="200">
        <f>M9</f>
        <v>0</v>
      </c>
      <c r="N8" s="200">
        <f>N9</f>
        <v>0</v>
      </c>
      <c r="O8" s="200"/>
      <c r="P8" s="200">
        <f>P9</f>
        <v>0</v>
      </c>
      <c r="Q8" s="200"/>
      <c r="R8" s="200">
        <f>R9</f>
        <v>0</v>
      </c>
      <c r="S8" s="201"/>
    </row>
    <row r="9" spans="1:19">
      <c r="A9" s="270" t="s">
        <v>1019</v>
      </c>
      <c r="B9" s="271">
        <v>0</v>
      </c>
      <c r="C9" s="271">
        <v>0</v>
      </c>
      <c r="D9" s="271"/>
      <c r="E9" s="271">
        <v>0</v>
      </c>
      <c r="F9" s="271">
        <v>0</v>
      </c>
      <c r="G9" s="271">
        <f>+B9+C9+E9-F9</f>
        <v>0</v>
      </c>
      <c r="H9" s="272"/>
      <c r="I9" s="271">
        <v>0</v>
      </c>
      <c r="J9" s="271">
        <v>0</v>
      </c>
      <c r="K9" s="271"/>
      <c r="L9" s="271"/>
      <c r="M9" s="271">
        <v>0</v>
      </c>
      <c r="N9" s="271">
        <f>+I9+J9-M9</f>
        <v>0</v>
      </c>
      <c r="O9" s="272"/>
      <c r="P9" s="271">
        <f>+G9-N9</f>
        <v>0</v>
      </c>
      <c r="Q9" s="272"/>
      <c r="R9" s="271">
        <v>0</v>
      </c>
      <c r="S9" s="273"/>
    </row>
    <row r="10" spans="1:19" ht="25.5">
      <c r="A10" s="202" t="s">
        <v>1020</v>
      </c>
      <c r="B10" s="200">
        <f>SUM(B11:B23)</f>
        <v>700</v>
      </c>
      <c r="C10" s="200">
        <f>SUM(C11:C23)</f>
        <v>0</v>
      </c>
      <c r="D10" s="200">
        <f>SUM(D12)</f>
        <v>423376.42</v>
      </c>
      <c r="E10" s="200">
        <f>SUM(E11:E23)</f>
        <v>0</v>
      </c>
      <c r="F10" s="200">
        <f>SUM(F11:F23)</f>
        <v>0</v>
      </c>
      <c r="G10" s="200">
        <f>SUM(G11:G23)</f>
        <v>424076.42</v>
      </c>
      <c r="H10" s="200"/>
      <c r="I10" s="200">
        <f>SUM(I11:I23)</f>
        <v>138.22</v>
      </c>
      <c r="J10" s="200">
        <f>SUM(J11:J23)</f>
        <v>141263.74</v>
      </c>
      <c r="K10" s="200">
        <f>SUM(K12)</f>
        <v>110580</v>
      </c>
      <c r="L10" s="200"/>
      <c r="M10" s="200">
        <f>SUM(M11:M23)</f>
        <v>0</v>
      </c>
      <c r="N10" s="200">
        <f>SUM(N11:N23)</f>
        <v>251981.96</v>
      </c>
      <c r="O10" s="200"/>
      <c r="P10" s="200">
        <f>SUM(P11:P23)</f>
        <v>172094.46</v>
      </c>
      <c r="Q10" s="200"/>
      <c r="R10" s="200">
        <f>SUM(R11:R23)</f>
        <v>0</v>
      </c>
      <c r="S10" s="201"/>
    </row>
    <row r="11" spans="1:19">
      <c r="A11" s="270" t="s">
        <v>1021</v>
      </c>
      <c r="B11" s="274">
        <v>0</v>
      </c>
      <c r="C11" s="274">
        <v>0</v>
      </c>
      <c r="D11" s="274"/>
      <c r="E11" s="274">
        <v>0</v>
      </c>
      <c r="F11" s="274">
        <v>0</v>
      </c>
      <c r="G11" s="274">
        <f>+B11+C11+E11-F11</f>
        <v>0</v>
      </c>
      <c r="H11" s="272"/>
      <c r="I11" s="274">
        <v>0</v>
      </c>
      <c r="J11" s="274">
        <v>0</v>
      </c>
      <c r="K11" s="274"/>
      <c r="L11" s="274"/>
      <c r="M11" s="274">
        <v>0</v>
      </c>
      <c r="N11" s="274">
        <f>+I11+J11-M11</f>
        <v>0</v>
      </c>
      <c r="O11" s="272"/>
      <c r="P11" s="274">
        <f>+G11-N11</f>
        <v>0</v>
      </c>
      <c r="Q11" s="272"/>
      <c r="R11" s="274">
        <v>0</v>
      </c>
      <c r="S11" s="273"/>
    </row>
    <row r="12" spans="1:19" ht="25.5">
      <c r="A12" s="270" t="s">
        <v>1022</v>
      </c>
      <c r="B12" s="250">
        <v>700</v>
      </c>
      <c r="C12" s="250">
        <v>0</v>
      </c>
      <c r="D12" s="250">
        <v>423376.42</v>
      </c>
      <c r="E12" s="250">
        <v>0</v>
      </c>
      <c r="F12" s="250">
        <v>0</v>
      </c>
      <c r="G12" s="250">
        <f>SUM(B12:F12)</f>
        <v>424076.42</v>
      </c>
      <c r="H12" s="272"/>
      <c r="I12" s="250">
        <v>138.22</v>
      </c>
      <c r="J12" s="250">
        <v>141263.74</v>
      </c>
      <c r="K12" s="250">
        <v>110580</v>
      </c>
      <c r="L12" s="250"/>
      <c r="M12" s="250">
        <v>0</v>
      </c>
      <c r="N12" s="250">
        <f>I12+J12+K12</f>
        <v>251981.96</v>
      </c>
      <c r="O12" s="272"/>
      <c r="P12" s="250">
        <f>+G12-N12</f>
        <v>172094.46</v>
      </c>
      <c r="Q12" s="272"/>
      <c r="R12" s="250">
        <v>0</v>
      </c>
      <c r="S12" s="273"/>
    </row>
    <row r="13" spans="1:19">
      <c r="A13" s="270" t="s">
        <v>1220</v>
      </c>
      <c r="B13" s="250">
        <v>0</v>
      </c>
      <c r="C13" s="250">
        <v>0</v>
      </c>
      <c r="D13" s="250"/>
      <c r="E13" s="250">
        <v>0</v>
      </c>
      <c r="F13" s="250">
        <v>0</v>
      </c>
      <c r="G13" s="250">
        <f>+B13+C13+E13-F13</f>
        <v>0</v>
      </c>
      <c r="H13" s="272"/>
      <c r="I13" s="250">
        <v>0</v>
      </c>
      <c r="J13" s="250">
        <v>0</v>
      </c>
      <c r="K13" s="250"/>
      <c r="L13" s="250"/>
      <c r="M13" s="250">
        <v>0</v>
      </c>
      <c r="N13" s="250">
        <f>+I13+J13-M13</f>
        <v>0</v>
      </c>
      <c r="O13" s="272"/>
      <c r="P13" s="250">
        <f>+G13-N13</f>
        <v>0</v>
      </c>
      <c r="Q13" s="272"/>
      <c r="R13" s="250">
        <v>0</v>
      </c>
      <c r="S13" s="273"/>
    </row>
    <row r="14" spans="1:19">
      <c r="A14" s="270" t="s">
        <v>1221</v>
      </c>
      <c r="B14" s="250">
        <v>0</v>
      </c>
      <c r="C14" s="250">
        <v>0</v>
      </c>
      <c r="D14" s="250"/>
      <c r="E14" s="250">
        <v>0</v>
      </c>
      <c r="F14" s="250">
        <v>0</v>
      </c>
      <c r="G14" s="250">
        <f>+B14+C14+E14-F14</f>
        <v>0</v>
      </c>
      <c r="H14" s="272"/>
      <c r="I14" s="250">
        <v>0</v>
      </c>
      <c r="J14" s="250">
        <v>0</v>
      </c>
      <c r="K14" s="250"/>
      <c r="L14" s="250"/>
      <c r="M14" s="250">
        <v>0</v>
      </c>
      <c r="N14" s="250">
        <f>+I14+J14-M14</f>
        <v>0</v>
      </c>
      <c r="O14" s="272"/>
      <c r="P14" s="250">
        <f>+G14-N14</f>
        <v>0</v>
      </c>
      <c r="Q14" s="272"/>
      <c r="R14" s="250">
        <v>0</v>
      </c>
      <c r="S14" s="273"/>
    </row>
    <row r="15" spans="1:19">
      <c r="A15" s="270" t="s">
        <v>1030</v>
      </c>
      <c r="B15" s="250">
        <v>0</v>
      </c>
      <c r="C15" s="250">
        <v>0</v>
      </c>
      <c r="D15" s="250"/>
      <c r="E15" s="250">
        <v>0</v>
      </c>
      <c r="F15" s="250">
        <v>0</v>
      </c>
      <c r="G15" s="250">
        <f t="shared" ref="G15:G22" si="0">+B15+C15+E15-F15</f>
        <v>0</v>
      </c>
      <c r="H15" s="272"/>
      <c r="I15" s="250">
        <v>0</v>
      </c>
      <c r="J15" s="250">
        <v>0</v>
      </c>
      <c r="K15" s="250"/>
      <c r="L15" s="250"/>
      <c r="M15" s="250">
        <v>0</v>
      </c>
      <c r="N15" s="250">
        <f t="shared" ref="N15:N22" si="1">+I15+J15-M15</f>
        <v>0</v>
      </c>
      <c r="O15" s="272"/>
      <c r="P15" s="250">
        <f t="shared" ref="P15:P22" si="2">+G15-N15</f>
        <v>0</v>
      </c>
      <c r="Q15" s="272"/>
      <c r="R15" s="250">
        <v>0</v>
      </c>
      <c r="S15" s="273"/>
    </row>
    <row r="16" spans="1:19">
      <c r="A16" s="270" t="s">
        <v>1031</v>
      </c>
      <c r="B16" s="250">
        <v>0</v>
      </c>
      <c r="C16" s="250">
        <v>0</v>
      </c>
      <c r="D16" s="250"/>
      <c r="E16" s="250">
        <v>0</v>
      </c>
      <c r="F16" s="250">
        <v>0</v>
      </c>
      <c r="G16" s="250">
        <f t="shared" si="0"/>
        <v>0</v>
      </c>
      <c r="H16" s="272"/>
      <c r="I16" s="250">
        <v>0</v>
      </c>
      <c r="J16" s="250">
        <v>0</v>
      </c>
      <c r="K16" s="250"/>
      <c r="L16" s="250"/>
      <c r="M16" s="250">
        <v>0</v>
      </c>
      <c r="N16" s="250">
        <f t="shared" si="1"/>
        <v>0</v>
      </c>
      <c r="O16" s="272"/>
      <c r="P16" s="250">
        <f t="shared" si="2"/>
        <v>0</v>
      </c>
      <c r="Q16" s="272"/>
      <c r="R16" s="250">
        <v>0</v>
      </c>
      <c r="S16" s="273"/>
    </row>
    <row r="17" spans="1:20">
      <c r="A17" s="270" t="s">
        <v>1032</v>
      </c>
      <c r="B17" s="250">
        <v>0</v>
      </c>
      <c r="C17" s="250">
        <v>0</v>
      </c>
      <c r="D17" s="250"/>
      <c r="E17" s="250">
        <v>0</v>
      </c>
      <c r="F17" s="250">
        <v>0</v>
      </c>
      <c r="G17" s="250">
        <f t="shared" si="0"/>
        <v>0</v>
      </c>
      <c r="H17" s="272"/>
      <c r="I17" s="250">
        <v>0</v>
      </c>
      <c r="J17" s="250">
        <v>0</v>
      </c>
      <c r="K17" s="250"/>
      <c r="L17" s="250"/>
      <c r="M17" s="250">
        <v>0</v>
      </c>
      <c r="N17" s="250">
        <f t="shared" si="1"/>
        <v>0</v>
      </c>
      <c r="O17" s="272"/>
      <c r="P17" s="250">
        <f t="shared" si="2"/>
        <v>0</v>
      </c>
      <c r="Q17" s="272"/>
      <c r="R17" s="250">
        <v>0</v>
      </c>
      <c r="S17" s="273"/>
    </row>
    <row r="18" spans="1:20">
      <c r="A18" s="270" t="s">
        <v>1282</v>
      </c>
      <c r="B18" s="250">
        <v>0</v>
      </c>
      <c r="C18" s="250">
        <v>0</v>
      </c>
      <c r="D18" s="250"/>
      <c r="E18" s="250">
        <v>0</v>
      </c>
      <c r="F18" s="250">
        <v>0</v>
      </c>
      <c r="G18" s="250">
        <f t="shared" si="0"/>
        <v>0</v>
      </c>
      <c r="H18" s="272"/>
      <c r="I18" s="250">
        <v>0</v>
      </c>
      <c r="J18" s="250">
        <v>0</v>
      </c>
      <c r="K18" s="250"/>
      <c r="L18" s="250"/>
      <c r="M18" s="250">
        <v>0</v>
      </c>
      <c r="N18" s="250">
        <f t="shared" si="1"/>
        <v>0</v>
      </c>
      <c r="O18" s="272"/>
      <c r="P18" s="250">
        <f t="shared" si="2"/>
        <v>0</v>
      </c>
      <c r="Q18" s="272"/>
      <c r="R18" s="250">
        <v>0</v>
      </c>
      <c r="S18" s="273"/>
    </row>
    <row r="19" spans="1:20">
      <c r="A19" s="270" t="s">
        <v>1033</v>
      </c>
      <c r="B19" s="250">
        <v>0</v>
      </c>
      <c r="C19" s="250">
        <v>0</v>
      </c>
      <c r="D19" s="250"/>
      <c r="E19" s="250">
        <v>0</v>
      </c>
      <c r="F19" s="250">
        <v>0</v>
      </c>
      <c r="G19" s="250">
        <f t="shared" si="0"/>
        <v>0</v>
      </c>
      <c r="H19" s="272"/>
      <c r="I19" s="250">
        <v>0</v>
      </c>
      <c r="J19" s="250">
        <v>0</v>
      </c>
      <c r="K19" s="250"/>
      <c r="L19" s="250"/>
      <c r="M19" s="250">
        <v>0</v>
      </c>
      <c r="N19" s="250">
        <f t="shared" si="1"/>
        <v>0</v>
      </c>
      <c r="O19" s="272"/>
      <c r="P19" s="250">
        <f t="shared" si="2"/>
        <v>0</v>
      </c>
      <c r="Q19" s="272"/>
      <c r="R19" s="250">
        <v>0</v>
      </c>
      <c r="S19" s="273"/>
    </row>
    <row r="20" spans="1:20">
      <c r="A20" s="270" t="s">
        <v>459</v>
      </c>
      <c r="B20" s="250">
        <v>0</v>
      </c>
      <c r="C20" s="250">
        <v>0</v>
      </c>
      <c r="D20" s="250"/>
      <c r="E20" s="250">
        <v>0</v>
      </c>
      <c r="F20" s="250">
        <v>0</v>
      </c>
      <c r="G20" s="250">
        <f t="shared" si="0"/>
        <v>0</v>
      </c>
      <c r="H20" s="272"/>
      <c r="I20" s="250">
        <v>0</v>
      </c>
      <c r="J20" s="250">
        <v>0</v>
      </c>
      <c r="K20" s="250"/>
      <c r="L20" s="250"/>
      <c r="M20" s="250">
        <v>0</v>
      </c>
      <c r="N20" s="250">
        <f t="shared" si="1"/>
        <v>0</v>
      </c>
      <c r="O20" s="272"/>
      <c r="P20" s="250">
        <f t="shared" si="2"/>
        <v>0</v>
      </c>
      <c r="Q20" s="272"/>
      <c r="R20" s="250">
        <v>0</v>
      </c>
      <c r="S20" s="273"/>
    </row>
    <row r="21" spans="1:20">
      <c r="A21" s="270" t="s">
        <v>741</v>
      </c>
      <c r="B21" s="250">
        <v>0</v>
      </c>
      <c r="C21" s="250">
        <v>0</v>
      </c>
      <c r="D21" s="250"/>
      <c r="E21" s="250">
        <v>0</v>
      </c>
      <c r="F21" s="250">
        <v>0</v>
      </c>
      <c r="G21" s="250">
        <f t="shared" si="0"/>
        <v>0</v>
      </c>
      <c r="H21" s="272"/>
      <c r="I21" s="250">
        <v>0</v>
      </c>
      <c r="J21" s="250">
        <v>0</v>
      </c>
      <c r="K21" s="250"/>
      <c r="L21" s="250"/>
      <c r="M21" s="250">
        <v>0</v>
      </c>
      <c r="N21" s="250">
        <f t="shared" si="1"/>
        <v>0</v>
      </c>
      <c r="O21" s="272"/>
      <c r="P21" s="250">
        <f t="shared" si="2"/>
        <v>0</v>
      </c>
      <c r="Q21" s="272"/>
      <c r="R21" s="250">
        <v>0</v>
      </c>
      <c r="S21" s="273"/>
    </row>
    <row r="22" spans="1:20">
      <c r="A22" s="270" t="s">
        <v>460</v>
      </c>
      <c r="B22" s="250">
        <v>0</v>
      </c>
      <c r="C22" s="250">
        <v>0</v>
      </c>
      <c r="D22" s="250"/>
      <c r="E22" s="250">
        <v>0</v>
      </c>
      <c r="F22" s="250">
        <v>0</v>
      </c>
      <c r="G22" s="250">
        <f t="shared" si="0"/>
        <v>0</v>
      </c>
      <c r="H22" s="272"/>
      <c r="I22" s="250">
        <v>0</v>
      </c>
      <c r="J22" s="250">
        <v>0</v>
      </c>
      <c r="K22" s="250"/>
      <c r="L22" s="250"/>
      <c r="M22" s="250">
        <v>0</v>
      </c>
      <c r="N22" s="250">
        <f t="shared" si="1"/>
        <v>0</v>
      </c>
      <c r="O22" s="272"/>
      <c r="P22" s="250">
        <f t="shared" si="2"/>
        <v>0</v>
      </c>
      <c r="Q22" s="272"/>
      <c r="R22" s="250">
        <v>0</v>
      </c>
      <c r="S22" s="273"/>
    </row>
    <row r="23" spans="1:20">
      <c r="A23" s="270" t="s">
        <v>1222</v>
      </c>
      <c r="B23" s="254">
        <v>0</v>
      </c>
      <c r="C23" s="254">
        <v>0</v>
      </c>
      <c r="D23" s="254"/>
      <c r="E23" s="254">
        <v>0</v>
      </c>
      <c r="F23" s="254">
        <v>0</v>
      </c>
      <c r="G23" s="254">
        <f>+B23+C23+E23-F23</f>
        <v>0</v>
      </c>
      <c r="H23" s="272"/>
      <c r="I23" s="254">
        <v>0</v>
      </c>
      <c r="J23" s="254">
        <v>0</v>
      </c>
      <c r="K23" s="254"/>
      <c r="L23" s="254"/>
      <c r="M23" s="254">
        <v>0</v>
      </c>
      <c r="N23" s="254">
        <f>+I23+J23-M23</f>
        <v>0</v>
      </c>
      <c r="O23" s="275"/>
      <c r="P23" s="254">
        <f>+G23-N23</f>
        <v>0</v>
      </c>
      <c r="Q23" s="272"/>
      <c r="R23" s="254">
        <v>0</v>
      </c>
      <c r="S23" s="273"/>
    </row>
    <row r="24" spans="1:20" ht="25.5">
      <c r="A24" s="202" t="s">
        <v>1223</v>
      </c>
      <c r="B24" s="200">
        <f>B25</f>
        <v>0</v>
      </c>
      <c r="C24" s="200">
        <f>C25</f>
        <v>0</v>
      </c>
      <c r="D24" s="200"/>
      <c r="E24" s="200">
        <f>E25</f>
        <v>0</v>
      </c>
      <c r="F24" s="200">
        <f>F25</f>
        <v>0</v>
      </c>
      <c r="G24" s="200">
        <f>G25</f>
        <v>0</v>
      </c>
      <c r="H24" s="200"/>
      <c r="I24" s="200">
        <f>I25</f>
        <v>0</v>
      </c>
      <c r="J24" s="200">
        <f>J25</f>
        <v>0</v>
      </c>
      <c r="K24" s="200"/>
      <c r="L24" s="200"/>
      <c r="M24" s="200">
        <f>M25</f>
        <v>0</v>
      </c>
      <c r="N24" s="200">
        <f>N25</f>
        <v>0</v>
      </c>
      <c r="O24" s="183"/>
      <c r="P24" s="200">
        <f>P25</f>
        <v>0</v>
      </c>
      <c r="Q24" s="200"/>
      <c r="R24" s="200">
        <f>R25</f>
        <v>0</v>
      </c>
      <c r="S24" s="201"/>
    </row>
    <row r="25" spans="1:20">
      <c r="A25" s="270" t="s">
        <v>1034</v>
      </c>
      <c r="B25" s="274">
        <v>0</v>
      </c>
      <c r="C25" s="274">
        <v>0</v>
      </c>
      <c r="D25" s="274"/>
      <c r="E25" s="274">
        <v>0</v>
      </c>
      <c r="F25" s="274">
        <v>0</v>
      </c>
      <c r="G25" s="274">
        <f>+B25+C25+E25-F25</f>
        <v>0</v>
      </c>
      <c r="H25" s="272"/>
      <c r="I25" s="274">
        <v>0</v>
      </c>
      <c r="J25" s="274">
        <v>0</v>
      </c>
      <c r="K25" s="274"/>
      <c r="L25" s="274"/>
      <c r="M25" s="274">
        <v>0</v>
      </c>
      <c r="N25" s="274">
        <f>+I25+J25-M25</f>
        <v>0</v>
      </c>
      <c r="O25" s="272"/>
      <c r="P25" s="274">
        <f>+G25-N25</f>
        <v>0</v>
      </c>
      <c r="Q25" s="272"/>
      <c r="R25" s="274">
        <v>0</v>
      </c>
      <c r="S25" s="273"/>
      <c r="T25" s="276"/>
    </row>
    <row r="26" spans="1:20" ht="25.5">
      <c r="A26" s="270" t="s">
        <v>1224</v>
      </c>
      <c r="B26" s="254">
        <v>0</v>
      </c>
      <c r="C26" s="254">
        <v>0</v>
      </c>
      <c r="D26" s="254"/>
      <c r="E26" s="254">
        <v>0</v>
      </c>
      <c r="F26" s="254">
        <v>0</v>
      </c>
      <c r="G26" s="254">
        <f>+B26+C26+E26-F26</f>
        <v>0</v>
      </c>
      <c r="H26" s="272"/>
      <c r="I26" s="254">
        <v>0</v>
      </c>
      <c r="J26" s="254">
        <v>0</v>
      </c>
      <c r="K26" s="254"/>
      <c r="L26" s="254"/>
      <c r="M26" s="254">
        <v>0</v>
      </c>
      <c r="N26" s="254">
        <f>+I26+J26-M26</f>
        <v>0</v>
      </c>
      <c r="O26" s="272"/>
      <c r="P26" s="254">
        <f>+G26-N26</f>
        <v>0</v>
      </c>
      <c r="Q26" s="272"/>
      <c r="R26" s="254">
        <v>0</v>
      </c>
      <c r="S26" s="273"/>
    </row>
    <row r="27" spans="1:20">
      <c r="A27" s="202" t="s">
        <v>1225</v>
      </c>
      <c r="B27" s="200">
        <f>SUM(B28:B30)</f>
        <v>0</v>
      </c>
      <c r="C27" s="200">
        <f>SUM(C28:C30)</f>
        <v>0</v>
      </c>
      <c r="D27" s="200"/>
      <c r="E27" s="200">
        <f>SUM(E28:E30)</f>
        <v>0</v>
      </c>
      <c r="F27" s="200">
        <f>SUM(F28:F30)</f>
        <v>0</v>
      </c>
      <c r="G27" s="200">
        <f>SUM(G28:G30)</f>
        <v>0</v>
      </c>
      <c r="H27" s="200"/>
      <c r="I27" s="200">
        <f t="shared" ref="I27:P27" si="3">SUM(I28:I30)</f>
        <v>0</v>
      </c>
      <c r="J27" s="200">
        <f t="shared" si="3"/>
        <v>0</v>
      </c>
      <c r="K27" s="200"/>
      <c r="L27" s="200"/>
      <c r="M27" s="200">
        <f>SUM(M28:M30)</f>
        <v>0</v>
      </c>
      <c r="N27" s="200">
        <f t="shared" si="3"/>
        <v>0</v>
      </c>
      <c r="O27" s="200">
        <f t="shared" si="3"/>
        <v>0</v>
      </c>
      <c r="P27" s="200">
        <f t="shared" si="3"/>
        <v>0</v>
      </c>
      <c r="Q27" s="200"/>
      <c r="R27" s="200">
        <f>SUM(R28:R30)</f>
        <v>0</v>
      </c>
      <c r="S27" s="201"/>
    </row>
    <row r="28" spans="1:20" ht="25.5">
      <c r="A28" s="270" t="s">
        <v>1226</v>
      </c>
      <c r="B28" s="274">
        <v>0</v>
      </c>
      <c r="C28" s="274">
        <v>0</v>
      </c>
      <c r="D28" s="274"/>
      <c r="E28" s="274">
        <v>0</v>
      </c>
      <c r="F28" s="274">
        <v>0</v>
      </c>
      <c r="G28" s="274">
        <f>+B28+C28+E28-F28</f>
        <v>0</v>
      </c>
      <c r="H28" s="272"/>
      <c r="I28" s="274">
        <v>0</v>
      </c>
      <c r="J28" s="274">
        <v>0</v>
      </c>
      <c r="K28" s="274"/>
      <c r="L28" s="274"/>
      <c r="M28" s="274">
        <v>0</v>
      </c>
      <c r="N28" s="274">
        <f>+I28+J28-M28</f>
        <v>0</v>
      </c>
      <c r="O28" s="272"/>
      <c r="P28" s="274">
        <f>+G28-N28</f>
        <v>0</v>
      </c>
      <c r="Q28" s="272"/>
      <c r="R28" s="274">
        <v>0</v>
      </c>
      <c r="S28" s="273"/>
    </row>
    <row r="29" spans="1:20">
      <c r="A29" s="270" t="s">
        <v>1227</v>
      </c>
      <c r="B29" s="250">
        <v>0</v>
      </c>
      <c r="C29" s="250">
        <v>0</v>
      </c>
      <c r="D29" s="250"/>
      <c r="E29" s="250">
        <v>0</v>
      </c>
      <c r="F29" s="250">
        <v>0</v>
      </c>
      <c r="G29" s="250">
        <f>+B29+C29+E29-F29</f>
        <v>0</v>
      </c>
      <c r="H29" s="272"/>
      <c r="I29" s="250">
        <v>0</v>
      </c>
      <c r="J29" s="250">
        <v>0</v>
      </c>
      <c r="K29" s="250"/>
      <c r="L29" s="250"/>
      <c r="M29" s="250">
        <v>0</v>
      </c>
      <c r="N29" s="250">
        <f>+I29+J29-M29</f>
        <v>0</v>
      </c>
      <c r="O29" s="272"/>
      <c r="P29" s="250">
        <f>+G29-N29</f>
        <v>0</v>
      </c>
      <c r="Q29" s="272"/>
      <c r="R29" s="250">
        <v>0</v>
      </c>
      <c r="S29" s="273"/>
    </row>
    <row r="30" spans="1:20">
      <c r="A30" s="270" t="s">
        <v>1228</v>
      </c>
      <c r="B30" s="254">
        <v>0</v>
      </c>
      <c r="C30" s="254">
        <v>0</v>
      </c>
      <c r="D30" s="254"/>
      <c r="E30" s="254">
        <v>0</v>
      </c>
      <c r="F30" s="254">
        <v>0</v>
      </c>
      <c r="G30" s="254">
        <f>+B30+C30+E30-F30</f>
        <v>0</v>
      </c>
      <c r="H30" s="272"/>
      <c r="I30" s="254">
        <v>0</v>
      </c>
      <c r="J30" s="254">
        <v>0</v>
      </c>
      <c r="K30" s="254"/>
      <c r="L30" s="254"/>
      <c r="M30" s="254">
        <v>0</v>
      </c>
      <c r="N30" s="254">
        <f>+I30+J30-M30</f>
        <v>0</v>
      </c>
      <c r="O30" s="272"/>
      <c r="P30" s="254">
        <f>+G30-N30</f>
        <v>0</v>
      </c>
      <c r="Q30" s="272"/>
      <c r="R30" s="254">
        <v>0</v>
      </c>
      <c r="S30" s="273"/>
    </row>
    <row r="31" spans="1:20">
      <c r="A31" s="202" t="s">
        <v>1229</v>
      </c>
      <c r="B31" s="200">
        <f>SUM(B32:B34)</f>
        <v>0</v>
      </c>
      <c r="C31" s="200">
        <f>SUM(C32:C34)</f>
        <v>0</v>
      </c>
      <c r="D31" s="200"/>
      <c r="E31" s="200">
        <f>SUM(E32:E34)</f>
        <v>0</v>
      </c>
      <c r="F31" s="200">
        <f>SUM(F32:F34)</f>
        <v>0</v>
      </c>
      <c r="G31" s="200">
        <f>SUM(G32:G34)</f>
        <v>0</v>
      </c>
      <c r="H31" s="200"/>
      <c r="I31" s="200">
        <f>SUM(I32:I34)</f>
        <v>0</v>
      </c>
      <c r="J31" s="200">
        <f>SUM(J32:J34)</f>
        <v>0</v>
      </c>
      <c r="K31" s="200"/>
      <c r="L31" s="200"/>
      <c r="M31" s="200">
        <f>SUM(M32:M34)</f>
        <v>0</v>
      </c>
      <c r="N31" s="200">
        <f>SUM(N32:N34)</f>
        <v>0</v>
      </c>
      <c r="O31" s="200"/>
      <c r="P31" s="200">
        <f>SUM(P32:P34)</f>
        <v>0</v>
      </c>
      <c r="Q31" s="200"/>
      <c r="R31" s="200">
        <f>SUM(R32:R34)</f>
        <v>0</v>
      </c>
      <c r="S31" s="201"/>
    </row>
    <row r="32" spans="1:20">
      <c r="A32" s="270" t="s">
        <v>773</v>
      </c>
      <c r="B32" s="274">
        <v>0</v>
      </c>
      <c r="C32" s="274">
        <v>0</v>
      </c>
      <c r="D32" s="274"/>
      <c r="E32" s="274">
        <v>0</v>
      </c>
      <c r="F32" s="274">
        <v>0</v>
      </c>
      <c r="G32" s="274">
        <f>+B32+C32+E32-F32</f>
        <v>0</v>
      </c>
      <c r="H32" s="272"/>
      <c r="I32" s="274">
        <v>0</v>
      </c>
      <c r="J32" s="274">
        <v>0</v>
      </c>
      <c r="K32" s="274"/>
      <c r="L32" s="274"/>
      <c r="M32" s="274">
        <v>0</v>
      </c>
      <c r="N32" s="274">
        <f t="shared" ref="N32:N54" si="4">+I32+J32-M32</f>
        <v>0</v>
      </c>
      <c r="O32" s="272"/>
      <c r="P32" s="274">
        <f>+G32-N32</f>
        <v>0</v>
      </c>
      <c r="Q32" s="272"/>
      <c r="R32" s="274">
        <v>0</v>
      </c>
      <c r="S32" s="273"/>
    </row>
    <row r="33" spans="1:19">
      <c r="A33" s="270" t="s">
        <v>1035</v>
      </c>
      <c r="B33" s="250">
        <v>0</v>
      </c>
      <c r="C33" s="250">
        <v>0</v>
      </c>
      <c r="D33" s="250"/>
      <c r="E33" s="250">
        <v>0</v>
      </c>
      <c r="F33" s="250">
        <v>0</v>
      </c>
      <c r="G33" s="250">
        <f>+B33+C33+E33-F33</f>
        <v>0</v>
      </c>
      <c r="H33" s="272"/>
      <c r="I33" s="250">
        <v>0</v>
      </c>
      <c r="J33" s="250">
        <v>0</v>
      </c>
      <c r="K33" s="250"/>
      <c r="L33" s="250"/>
      <c r="M33" s="250">
        <v>0</v>
      </c>
      <c r="N33" s="250">
        <f>+I33+J33-M33</f>
        <v>0</v>
      </c>
      <c r="O33" s="272"/>
      <c r="P33" s="250">
        <f>+G33-N33</f>
        <v>0</v>
      </c>
      <c r="Q33" s="272"/>
      <c r="R33" s="250">
        <v>0</v>
      </c>
      <c r="S33" s="273"/>
    </row>
    <row r="34" spans="1:19">
      <c r="A34" s="270" t="s">
        <v>1257</v>
      </c>
      <c r="B34" s="254">
        <v>0</v>
      </c>
      <c r="C34" s="254">
        <v>0</v>
      </c>
      <c r="D34" s="254"/>
      <c r="E34" s="254">
        <v>0</v>
      </c>
      <c r="F34" s="254">
        <v>0</v>
      </c>
      <c r="G34" s="254">
        <f>+B34+C34+E34-F34</f>
        <v>0</v>
      </c>
      <c r="H34" s="272"/>
      <c r="I34" s="254">
        <v>0</v>
      </c>
      <c r="J34" s="254">
        <v>0</v>
      </c>
      <c r="K34" s="254"/>
      <c r="L34" s="254"/>
      <c r="M34" s="254">
        <v>0</v>
      </c>
      <c r="N34" s="254">
        <f t="shared" si="4"/>
        <v>0</v>
      </c>
      <c r="O34" s="272"/>
      <c r="P34" s="254">
        <f>+G34-N34</f>
        <v>0</v>
      </c>
      <c r="Q34" s="272"/>
      <c r="R34" s="254">
        <v>0</v>
      </c>
      <c r="S34" s="273"/>
    </row>
    <row r="35" spans="1:19" ht="25.5">
      <c r="A35" s="202" t="s">
        <v>1230</v>
      </c>
      <c r="B35" s="200">
        <f>SUM(B36:B39)</f>
        <v>0</v>
      </c>
      <c r="C35" s="200">
        <f>SUM(C36:C39)</f>
        <v>0</v>
      </c>
      <c r="D35" s="200"/>
      <c r="E35" s="200">
        <f>SUM(E36:E39)</f>
        <v>0</v>
      </c>
      <c r="F35" s="200">
        <f>SUM(F36:F39)</f>
        <v>0</v>
      </c>
      <c r="G35" s="200">
        <f>SUM(G36:G39)</f>
        <v>0</v>
      </c>
      <c r="H35" s="200"/>
      <c r="I35" s="200">
        <f>SUM(I36:I39)</f>
        <v>0</v>
      </c>
      <c r="J35" s="200">
        <f>SUM(J36:J39)</f>
        <v>0</v>
      </c>
      <c r="K35" s="200"/>
      <c r="L35" s="200"/>
      <c r="M35" s="200">
        <f>SUM(M36:M39)</f>
        <v>0</v>
      </c>
      <c r="N35" s="200">
        <f>SUM(N36:N39)</f>
        <v>0</v>
      </c>
      <c r="O35" s="200"/>
      <c r="P35" s="200">
        <f>SUM(P36:P39)</f>
        <v>0</v>
      </c>
      <c r="Q35" s="200"/>
      <c r="R35" s="200">
        <f>SUM(R36:R39)</f>
        <v>0</v>
      </c>
      <c r="S35" s="201"/>
    </row>
    <row r="36" spans="1:19">
      <c r="A36" s="270" t="s">
        <v>1231</v>
      </c>
      <c r="B36" s="274">
        <v>0</v>
      </c>
      <c r="C36" s="274">
        <v>0</v>
      </c>
      <c r="D36" s="274"/>
      <c r="E36" s="274">
        <v>0</v>
      </c>
      <c r="F36" s="274">
        <v>0</v>
      </c>
      <c r="G36" s="274">
        <f>+B36+C36+E36-F36</f>
        <v>0</v>
      </c>
      <c r="H36" s="272"/>
      <c r="I36" s="274">
        <v>0</v>
      </c>
      <c r="J36" s="274">
        <v>0</v>
      </c>
      <c r="K36" s="274"/>
      <c r="L36" s="274"/>
      <c r="M36" s="274">
        <v>0</v>
      </c>
      <c r="N36" s="274">
        <f t="shared" si="4"/>
        <v>0</v>
      </c>
      <c r="O36" s="272"/>
      <c r="P36" s="274">
        <f>+G36-N36</f>
        <v>0</v>
      </c>
      <c r="Q36" s="272"/>
      <c r="R36" s="274">
        <v>0</v>
      </c>
      <c r="S36" s="273"/>
    </row>
    <row r="37" spans="1:19" ht="25.5">
      <c r="A37" s="270" t="s">
        <v>1232</v>
      </c>
      <c r="B37" s="250">
        <v>0</v>
      </c>
      <c r="C37" s="250">
        <v>0</v>
      </c>
      <c r="D37" s="250"/>
      <c r="E37" s="250">
        <v>0</v>
      </c>
      <c r="F37" s="250">
        <v>0</v>
      </c>
      <c r="G37" s="250">
        <f>+B37+C37+E37-F37</f>
        <v>0</v>
      </c>
      <c r="H37" s="272"/>
      <c r="I37" s="250">
        <v>0</v>
      </c>
      <c r="J37" s="250">
        <v>0</v>
      </c>
      <c r="K37" s="250"/>
      <c r="L37" s="250"/>
      <c r="M37" s="250">
        <v>0</v>
      </c>
      <c r="N37" s="250">
        <f t="shared" si="4"/>
        <v>0</v>
      </c>
      <c r="O37" s="272"/>
      <c r="P37" s="250">
        <f>+G37-N37</f>
        <v>0</v>
      </c>
      <c r="Q37" s="272"/>
      <c r="R37" s="250">
        <v>0</v>
      </c>
      <c r="S37" s="273"/>
    </row>
    <row r="38" spans="1:19">
      <c r="A38" s="270" t="s">
        <v>457</v>
      </c>
      <c r="B38" s="250">
        <v>0</v>
      </c>
      <c r="C38" s="250">
        <v>0</v>
      </c>
      <c r="D38" s="250"/>
      <c r="E38" s="250">
        <v>0</v>
      </c>
      <c r="F38" s="250">
        <v>0</v>
      </c>
      <c r="G38" s="250">
        <f>+B38+C38+E38-F38</f>
        <v>0</v>
      </c>
      <c r="H38" s="272"/>
      <c r="I38" s="250">
        <v>0</v>
      </c>
      <c r="J38" s="250">
        <v>0</v>
      </c>
      <c r="K38" s="250"/>
      <c r="L38" s="250"/>
      <c r="M38" s="250">
        <v>0</v>
      </c>
      <c r="N38" s="250">
        <f>+I38+J38-M38</f>
        <v>0</v>
      </c>
      <c r="O38" s="272"/>
      <c r="P38" s="250">
        <f>+G38-N38</f>
        <v>0</v>
      </c>
      <c r="Q38" s="272"/>
      <c r="R38" s="250">
        <v>0</v>
      </c>
      <c r="S38" s="273"/>
    </row>
    <row r="39" spans="1:19" ht="25.5">
      <c r="A39" s="270" t="s">
        <v>1233</v>
      </c>
      <c r="B39" s="254">
        <v>0</v>
      </c>
      <c r="C39" s="254">
        <v>0</v>
      </c>
      <c r="D39" s="254"/>
      <c r="E39" s="254">
        <v>0</v>
      </c>
      <c r="F39" s="254">
        <v>0</v>
      </c>
      <c r="G39" s="254">
        <f>+B39+C39+E39-F39</f>
        <v>0</v>
      </c>
      <c r="H39" s="272"/>
      <c r="I39" s="254">
        <v>0</v>
      </c>
      <c r="J39" s="254">
        <v>0</v>
      </c>
      <c r="K39" s="254"/>
      <c r="L39" s="254"/>
      <c r="M39" s="254">
        <v>0</v>
      </c>
      <c r="N39" s="254">
        <f t="shared" si="4"/>
        <v>0</v>
      </c>
      <c r="O39" s="272"/>
      <c r="P39" s="254">
        <f>+G39-N39</f>
        <v>0</v>
      </c>
      <c r="Q39" s="272"/>
      <c r="R39" s="254">
        <v>0</v>
      </c>
      <c r="S39" s="273"/>
    </row>
    <row r="40" spans="1:19">
      <c r="A40" s="202" t="s">
        <v>1234</v>
      </c>
      <c r="B40" s="200">
        <f>SUM(B41:B42)</f>
        <v>0</v>
      </c>
      <c r="C40" s="200">
        <f>SUM(C41:C42)</f>
        <v>0</v>
      </c>
      <c r="D40" s="200"/>
      <c r="E40" s="200">
        <f>SUM(E41:E42)</f>
        <v>0</v>
      </c>
      <c r="F40" s="200">
        <f>SUM(F41:F42)</f>
        <v>0</v>
      </c>
      <c r="G40" s="200">
        <f>SUM(G41:G42)</f>
        <v>0</v>
      </c>
      <c r="H40" s="200"/>
      <c r="I40" s="200">
        <f t="shared" ref="I40:P40" si="5">SUM(I41:I42)</f>
        <v>0</v>
      </c>
      <c r="J40" s="200">
        <f t="shared" si="5"/>
        <v>0</v>
      </c>
      <c r="K40" s="200"/>
      <c r="L40" s="200"/>
      <c r="M40" s="200">
        <f>SUM(M41:M42)</f>
        <v>0</v>
      </c>
      <c r="N40" s="200">
        <f t="shared" si="5"/>
        <v>0</v>
      </c>
      <c r="O40" s="200">
        <f t="shared" si="5"/>
        <v>0</v>
      </c>
      <c r="P40" s="200">
        <f t="shared" si="5"/>
        <v>0</v>
      </c>
      <c r="Q40" s="200"/>
      <c r="R40" s="200">
        <f>SUM(R41:R42)</f>
        <v>0</v>
      </c>
      <c r="S40" s="201"/>
    </row>
    <row r="41" spans="1:19">
      <c r="A41" s="270" t="s">
        <v>2144</v>
      </c>
      <c r="B41" s="274">
        <v>0</v>
      </c>
      <c r="C41" s="274">
        <v>0</v>
      </c>
      <c r="D41" s="274"/>
      <c r="E41" s="274">
        <v>0</v>
      </c>
      <c r="F41" s="274">
        <v>0</v>
      </c>
      <c r="G41" s="274">
        <f>+B41+C41+E41-F41</f>
        <v>0</v>
      </c>
      <c r="H41" s="272"/>
      <c r="I41" s="274">
        <v>0</v>
      </c>
      <c r="J41" s="274">
        <v>0</v>
      </c>
      <c r="K41" s="274"/>
      <c r="L41" s="274"/>
      <c r="M41" s="274">
        <v>0</v>
      </c>
      <c r="N41" s="274">
        <v>0</v>
      </c>
      <c r="O41" s="272"/>
      <c r="P41" s="274">
        <f>+G41-N41</f>
        <v>0</v>
      </c>
      <c r="Q41" s="272"/>
      <c r="R41" s="274">
        <v>0</v>
      </c>
      <c r="S41" s="273"/>
    </row>
    <row r="42" spans="1:19">
      <c r="A42" s="270" t="s">
        <v>1235</v>
      </c>
      <c r="B42" s="254">
        <v>0</v>
      </c>
      <c r="C42" s="254">
        <v>0</v>
      </c>
      <c r="D42" s="254"/>
      <c r="E42" s="254">
        <v>0</v>
      </c>
      <c r="F42" s="254">
        <v>0</v>
      </c>
      <c r="G42" s="254">
        <f>+B42+C42+E42-F42</f>
        <v>0</v>
      </c>
      <c r="H42" s="272"/>
      <c r="I42" s="254">
        <v>0</v>
      </c>
      <c r="J42" s="254">
        <v>0</v>
      </c>
      <c r="K42" s="254"/>
      <c r="L42" s="254"/>
      <c r="M42" s="254">
        <v>0</v>
      </c>
      <c r="N42" s="254">
        <f t="shared" si="4"/>
        <v>0</v>
      </c>
      <c r="O42" s="272"/>
      <c r="P42" s="254">
        <f>+G42-N42</f>
        <v>0</v>
      </c>
      <c r="Q42" s="272"/>
      <c r="R42" s="254">
        <v>0</v>
      </c>
      <c r="S42" s="273"/>
    </row>
    <row r="43" spans="1:19" ht="25.5">
      <c r="A43" s="202" t="s">
        <v>1037</v>
      </c>
      <c r="B43" s="200">
        <f>B44</f>
        <v>0</v>
      </c>
      <c r="C43" s="200">
        <f>C44</f>
        <v>0</v>
      </c>
      <c r="D43" s="200"/>
      <c r="E43" s="200">
        <f>E44</f>
        <v>0</v>
      </c>
      <c r="F43" s="200">
        <f>F44</f>
        <v>0</v>
      </c>
      <c r="G43" s="200">
        <f>G44</f>
        <v>0</v>
      </c>
      <c r="H43" s="200"/>
      <c r="I43" s="200">
        <f t="shared" ref="I43:P43" si="6">I44</f>
        <v>0</v>
      </c>
      <c r="J43" s="200">
        <f t="shared" si="6"/>
        <v>0</v>
      </c>
      <c r="K43" s="200"/>
      <c r="L43" s="200"/>
      <c r="M43" s="200">
        <f t="shared" si="6"/>
        <v>0</v>
      </c>
      <c r="N43" s="200">
        <f t="shared" si="6"/>
        <v>0</v>
      </c>
      <c r="O43" s="200">
        <f t="shared" si="6"/>
        <v>0</v>
      </c>
      <c r="P43" s="200">
        <f t="shared" si="6"/>
        <v>0</v>
      </c>
      <c r="Q43" s="200"/>
      <c r="R43" s="200">
        <f>R44</f>
        <v>0</v>
      </c>
      <c r="S43" s="201"/>
    </row>
    <row r="44" spans="1:19">
      <c r="A44" s="270" t="s">
        <v>1036</v>
      </c>
      <c r="B44" s="271">
        <v>0</v>
      </c>
      <c r="C44" s="271">
        <v>0</v>
      </c>
      <c r="D44" s="271"/>
      <c r="E44" s="271">
        <v>0</v>
      </c>
      <c r="F44" s="271">
        <v>0</v>
      </c>
      <c r="G44" s="271">
        <f>+B44+C44+E44-F44</f>
        <v>0</v>
      </c>
      <c r="H44" s="272"/>
      <c r="I44" s="271">
        <v>0</v>
      </c>
      <c r="J44" s="271">
        <v>0</v>
      </c>
      <c r="K44" s="271"/>
      <c r="L44" s="271"/>
      <c r="M44" s="271">
        <v>0</v>
      </c>
      <c r="N44" s="271">
        <f t="shared" si="4"/>
        <v>0</v>
      </c>
      <c r="O44" s="272"/>
      <c r="P44" s="271">
        <f>+G44-N44</f>
        <v>0</v>
      </c>
      <c r="Q44" s="272"/>
      <c r="R44" s="271">
        <v>0</v>
      </c>
      <c r="S44" s="273"/>
    </row>
    <row r="45" spans="1:19" ht="25.5">
      <c r="A45" s="202" t="s">
        <v>1236</v>
      </c>
      <c r="B45" s="200">
        <f>SUM(B46:B47)</f>
        <v>0</v>
      </c>
      <c r="C45" s="200">
        <f>SUM(C46:C47)</f>
        <v>0</v>
      </c>
      <c r="D45" s="200"/>
      <c r="E45" s="200">
        <f>SUM(E46:E47)</f>
        <v>0</v>
      </c>
      <c r="F45" s="200">
        <f>SUM(F46:F47)</f>
        <v>0</v>
      </c>
      <c r="G45" s="200">
        <f>SUM(G46:G47)</f>
        <v>0</v>
      </c>
      <c r="H45" s="200"/>
      <c r="I45" s="200">
        <f>SUM(I46:I47)</f>
        <v>0</v>
      </c>
      <c r="J45" s="200">
        <f>SUM(J46:J47)</f>
        <v>0</v>
      </c>
      <c r="K45" s="200"/>
      <c r="L45" s="200"/>
      <c r="M45" s="200">
        <f>SUM(M46:M47)</f>
        <v>0</v>
      </c>
      <c r="N45" s="200">
        <f>SUM(N46:N47)</f>
        <v>0</v>
      </c>
      <c r="O45" s="200"/>
      <c r="P45" s="200">
        <f>SUM(P46:P47)</f>
        <v>0</v>
      </c>
      <c r="Q45" s="200"/>
      <c r="R45" s="200">
        <f>SUM(R46:R47)</f>
        <v>0</v>
      </c>
      <c r="S45" s="201"/>
    </row>
    <row r="46" spans="1:19">
      <c r="A46" s="270" t="s">
        <v>1116</v>
      </c>
      <c r="B46" s="274">
        <v>0</v>
      </c>
      <c r="C46" s="274">
        <v>0</v>
      </c>
      <c r="D46" s="274"/>
      <c r="E46" s="274">
        <v>0</v>
      </c>
      <c r="F46" s="274">
        <v>0</v>
      </c>
      <c r="G46" s="274">
        <f>+B46+C46+E46-F46</f>
        <v>0</v>
      </c>
      <c r="H46" s="272"/>
      <c r="I46" s="274">
        <v>0</v>
      </c>
      <c r="J46" s="274">
        <v>0</v>
      </c>
      <c r="K46" s="274"/>
      <c r="L46" s="274"/>
      <c r="M46" s="274">
        <v>0</v>
      </c>
      <c r="N46" s="274">
        <f t="shared" si="4"/>
        <v>0</v>
      </c>
      <c r="O46" s="272"/>
      <c r="P46" s="274">
        <f>+G46-N46</f>
        <v>0</v>
      </c>
      <c r="Q46" s="272"/>
      <c r="R46" s="274">
        <v>0</v>
      </c>
      <c r="S46" s="273"/>
    </row>
    <row r="47" spans="1:19">
      <c r="A47" s="270" t="s">
        <v>1237</v>
      </c>
      <c r="B47" s="254">
        <v>0</v>
      </c>
      <c r="C47" s="254">
        <v>0</v>
      </c>
      <c r="D47" s="254"/>
      <c r="E47" s="254">
        <v>0</v>
      </c>
      <c r="F47" s="254">
        <v>0</v>
      </c>
      <c r="G47" s="254">
        <f>+B47+C47+E47-F47</f>
        <v>0</v>
      </c>
      <c r="H47" s="272"/>
      <c r="I47" s="254">
        <v>0</v>
      </c>
      <c r="J47" s="254">
        <v>0</v>
      </c>
      <c r="K47" s="254"/>
      <c r="L47" s="254"/>
      <c r="M47" s="254">
        <v>0</v>
      </c>
      <c r="N47" s="254">
        <f t="shared" si="4"/>
        <v>0</v>
      </c>
      <c r="O47" s="272"/>
      <c r="P47" s="254">
        <f>+G47-N47</f>
        <v>0</v>
      </c>
      <c r="Q47" s="272"/>
      <c r="R47" s="254" t="s">
        <v>746</v>
      </c>
      <c r="S47" s="273"/>
    </row>
    <row r="48" spans="1:19" ht="25.5">
      <c r="A48" s="202" t="s">
        <v>1238</v>
      </c>
      <c r="B48" s="200">
        <f>B49</f>
        <v>0</v>
      </c>
      <c r="C48" s="200">
        <f>C49</f>
        <v>0</v>
      </c>
      <c r="D48" s="200"/>
      <c r="E48" s="200">
        <f>E49</f>
        <v>0</v>
      </c>
      <c r="F48" s="200">
        <f>F49</f>
        <v>0</v>
      </c>
      <c r="G48" s="200">
        <f>G49</f>
        <v>0</v>
      </c>
      <c r="H48" s="200"/>
      <c r="I48" s="200">
        <f>I49</f>
        <v>0</v>
      </c>
      <c r="J48" s="200">
        <f>J49</f>
        <v>0</v>
      </c>
      <c r="K48" s="200"/>
      <c r="L48" s="200"/>
      <c r="M48" s="200">
        <f>M49</f>
        <v>0</v>
      </c>
      <c r="N48" s="200">
        <f>N49</f>
        <v>0</v>
      </c>
      <c r="O48" s="200"/>
      <c r="P48" s="200">
        <f>P49</f>
        <v>0</v>
      </c>
      <c r="Q48" s="200"/>
      <c r="R48" s="200">
        <f>R49</f>
        <v>0</v>
      </c>
      <c r="S48" s="201"/>
    </row>
    <row r="49" spans="1:19">
      <c r="A49" s="270" t="s">
        <v>1239</v>
      </c>
      <c r="B49" s="271">
        <v>0</v>
      </c>
      <c r="C49" s="271">
        <v>0</v>
      </c>
      <c r="D49" s="271"/>
      <c r="E49" s="271">
        <v>0</v>
      </c>
      <c r="F49" s="271">
        <v>0</v>
      </c>
      <c r="G49" s="271">
        <f>+B49+C49+E49-F49</f>
        <v>0</v>
      </c>
      <c r="H49" s="272"/>
      <c r="I49" s="271">
        <v>0</v>
      </c>
      <c r="J49" s="271">
        <v>0</v>
      </c>
      <c r="K49" s="271"/>
      <c r="L49" s="271"/>
      <c r="M49" s="271">
        <v>0</v>
      </c>
      <c r="N49" s="271">
        <f t="shared" si="4"/>
        <v>0</v>
      </c>
      <c r="O49" s="272"/>
      <c r="P49" s="271">
        <f>+G49-N49</f>
        <v>0</v>
      </c>
      <c r="Q49" s="272"/>
      <c r="R49" s="271">
        <v>0</v>
      </c>
      <c r="S49" s="273"/>
    </row>
    <row r="50" spans="1:19">
      <c r="A50" s="202" t="s">
        <v>1240</v>
      </c>
      <c r="B50" s="200">
        <f>B51</f>
        <v>0</v>
      </c>
      <c r="C50" s="200">
        <f>C51</f>
        <v>0</v>
      </c>
      <c r="D50" s="200"/>
      <c r="E50" s="200">
        <f>E51</f>
        <v>0</v>
      </c>
      <c r="F50" s="200">
        <f>F51</f>
        <v>0</v>
      </c>
      <c r="G50" s="200">
        <f>G51</f>
        <v>0</v>
      </c>
      <c r="H50" s="200"/>
      <c r="I50" s="200">
        <f>I51</f>
        <v>0</v>
      </c>
      <c r="J50" s="200">
        <f>J51</f>
        <v>0</v>
      </c>
      <c r="K50" s="200"/>
      <c r="L50" s="200"/>
      <c r="M50" s="200">
        <f>M51</f>
        <v>0</v>
      </c>
      <c r="N50" s="200">
        <f>N51</f>
        <v>0</v>
      </c>
      <c r="O50" s="200"/>
      <c r="P50" s="200">
        <f>P51</f>
        <v>0</v>
      </c>
      <c r="Q50" s="200"/>
      <c r="R50" s="200">
        <f>R51</f>
        <v>0</v>
      </c>
      <c r="S50" s="201"/>
    </row>
    <row r="51" spans="1:19">
      <c r="A51" s="270" t="s">
        <v>767</v>
      </c>
      <c r="B51" s="271">
        <v>0</v>
      </c>
      <c r="C51" s="271">
        <v>0</v>
      </c>
      <c r="D51" s="271"/>
      <c r="E51" s="271">
        <v>0</v>
      </c>
      <c r="F51" s="271">
        <v>0</v>
      </c>
      <c r="G51" s="271">
        <f>+B51+C51+E51-F51</f>
        <v>0</v>
      </c>
      <c r="H51" s="272"/>
      <c r="I51" s="271">
        <v>0</v>
      </c>
      <c r="J51" s="271">
        <v>0</v>
      </c>
      <c r="K51" s="271"/>
      <c r="L51" s="271"/>
      <c r="M51" s="271">
        <v>0</v>
      </c>
      <c r="N51" s="271">
        <f t="shared" si="4"/>
        <v>0</v>
      </c>
      <c r="O51" s="272"/>
      <c r="P51" s="271">
        <f>+G51-N51</f>
        <v>0</v>
      </c>
      <c r="Q51" s="272"/>
      <c r="R51" s="271">
        <v>0</v>
      </c>
      <c r="S51" s="273"/>
    </row>
    <row r="52" spans="1:19">
      <c r="A52" s="202" t="s">
        <v>1241</v>
      </c>
      <c r="B52" s="200">
        <f>SUM(B53:B54)</f>
        <v>0</v>
      </c>
      <c r="C52" s="200">
        <f>SUM(C53:C54)</f>
        <v>0</v>
      </c>
      <c r="D52" s="200"/>
      <c r="E52" s="200">
        <f>SUM(E53:E54)</f>
        <v>0</v>
      </c>
      <c r="F52" s="200">
        <f>SUM(F53:F54)</f>
        <v>0</v>
      </c>
      <c r="G52" s="200">
        <f>SUM(G53:G54)</f>
        <v>0</v>
      </c>
      <c r="H52" s="200"/>
      <c r="I52" s="200">
        <f>SUM(I53:I54)</f>
        <v>0</v>
      </c>
      <c r="J52" s="200">
        <f>SUM(J53:J54)</f>
        <v>0</v>
      </c>
      <c r="K52" s="200"/>
      <c r="L52" s="200"/>
      <c r="M52" s="200">
        <f>SUM(M53:M54)</f>
        <v>0</v>
      </c>
      <c r="N52" s="200">
        <f>SUM(N53:N54)</f>
        <v>0</v>
      </c>
      <c r="O52" s="200"/>
      <c r="P52" s="200">
        <f>SUM(P53:P54)</f>
        <v>0</v>
      </c>
      <c r="Q52" s="200"/>
      <c r="R52" s="200">
        <f>SUM(R53:R54)</f>
        <v>0</v>
      </c>
      <c r="S52" s="201"/>
    </row>
    <row r="53" spans="1:19">
      <c r="A53" s="270" t="s">
        <v>1242</v>
      </c>
      <c r="B53" s="274">
        <v>0</v>
      </c>
      <c r="C53" s="274">
        <v>0</v>
      </c>
      <c r="D53" s="274"/>
      <c r="E53" s="274">
        <v>0</v>
      </c>
      <c r="F53" s="274">
        <v>0</v>
      </c>
      <c r="G53" s="274">
        <f>+B53+C53+E53-F53</f>
        <v>0</v>
      </c>
      <c r="H53" s="272"/>
      <c r="I53" s="274">
        <v>0</v>
      </c>
      <c r="J53" s="274">
        <v>0</v>
      </c>
      <c r="K53" s="274"/>
      <c r="L53" s="274"/>
      <c r="M53" s="274">
        <v>0</v>
      </c>
      <c r="N53" s="274">
        <f t="shared" si="4"/>
        <v>0</v>
      </c>
      <c r="O53" s="272"/>
      <c r="P53" s="274">
        <f>+G53-N53</f>
        <v>0</v>
      </c>
      <c r="Q53" s="272"/>
      <c r="R53" s="274">
        <v>0</v>
      </c>
      <c r="S53" s="273"/>
    </row>
    <row r="54" spans="1:19">
      <c r="A54" s="270" t="s">
        <v>1243</v>
      </c>
      <c r="B54" s="254">
        <v>0</v>
      </c>
      <c r="C54" s="254">
        <v>0</v>
      </c>
      <c r="D54" s="254"/>
      <c r="E54" s="254">
        <v>0</v>
      </c>
      <c r="F54" s="254">
        <v>0</v>
      </c>
      <c r="G54" s="254">
        <f>+B54+C54+E54-F54</f>
        <v>0</v>
      </c>
      <c r="H54" s="272"/>
      <c r="I54" s="254">
        <v>0</v>
      </c>
      <c r="J54" s="254">
        <v>0</v>
      </c>
      <c r="K54" s="254"/>
      <c r="L54" s="254"/>
      <c r="M54" s="254">
        <v>0</v>
      </c>
      <c r="N54" s="254">
        <f t="shared" si="4"/>
        <v>0</v>
      </c>
      <c r="O54" s="272"/>
      <c r="P54" s="254">
        <f>+G54-N54</f>
        <v>0</v>
      </c>
      <c r="Q54" s="272"/>
      <c r="R54" s="254">
        <v>0</v>
      </c>
      <c r="S54" s="273"/>
    </row>
    <row r="55" spans="1:19">
      <c r="A55" s="270"/>
      <c r="B55" s="272"/>
      <c r="C55" s="272"/>
      <c r="D55" s="272"/>
      <c r="E55" s="272"/>
      <c r="F55" s="272"/>
      <c r="G55" s="272"/>
      <c r="H55" s="272"/>
      <c r="I55" s="272"/>
      <c r="J55" s="272">
        <v>0</v>
      </c>
      <c r="K55" s="272"/>
      <c r="L55" s="272"/>
      <c r="M55" s="272">
        <v>0</v>
      </c>
      <c r="N55" s="272"/>
      <c r="O55" s="272"/>
      <c r="P55" s="272"/>
      <c r="Q55" s="272"/>
      <c r="R55" s="200"/>
      <c r="S55" s="273"/>
    </row>
    <row r="56" spans="1:19">
      <c r="A56" s="202" t="s">
        <v>1244</v>
      </c>
      <c r="B56" s="200">
        <f>SUM(B57:B58)</f>
        <v>0</v>
      </c>
      <c r="C56" s="200">
        <f>SUM(C57:C58)</f>
        <v>0</v>
      </c>
      <c r="D56" s="200"/>
      <c r="E56" s="200">
        <f>SUM(E57:E58)</f>
        <v>0</v>
      </c>
      <c r="F56" s="200">
        <f>SUM(F57:F58)</f>
        <v>0</v>
      </c>
      <c r="G56" s="200">
        <f>SUM(G57:G58)</f>
        <v>0</v>
      </c>
      <c r="H56" s="200"/>
      <c r="I56" s="200">
        <f>SUM(I57:I58)</f>
        <v>0</v>
      </c>
      <c r="J56" s="200">
        <f>SUM(J57:J58)</f>
        <v>0</v>
      </c>
      <c r="K56" s="200"/>
      <c r="L56" s="200"/>
      <c r="M56" s="200">
        <f>SUM(M57:M58)</f>
        <v>0</v>
      </c>
      <c r="N56" s="200">
        <f>SUM(N57:N58)</f>
        <v>0</v>
      </c>
      <c r="O56" s="200"/>
      <c r="P56" s="200">
        <f>SUM(P57:P58)</f>
        <v>0</v>
      </c>
      <c r="Q56" s="200"/>
      <c r="R56" s="200">
        <f>SUM(R57:R58)</f>
        <v>0</v>
      </c>
      <c r="S56" s="201"/>
    </row>
    <row r="57" spans="1:19" ht="25.5">
      <c r="A57" s="270" t="s">
        <v>1245</v>
      </c>
      <c r="B57" s="274">
        <v>0</v>
      </c>
      <c r="C57" s="274">
        <v>0</v>
      </c>
      <c r="D57" s="274"/>
      <c r="E57" s="274">
        <v>0</v>
      </c>
      <c r="F57" s="274">
        <v>0</v>
      </c>
      <c r="G57" s="274">
        <f>+B57+C57+E57-F57</f>
        <v>0</v>
      </c>
      <c r="H57" s="272"/>
      <c r="I57" s="274">
        <v>0</v>
      </c>
      <c r="J57" s="274">
        <v>0</v>
      </c>
      <c r="K57" s="274"/>
      <c r="L57" s="274"/>
      <c r="M57" s="274">
        <v>0</v>
      </c>
      <c r="N57" s="274">
        <f>+I57+J57-M57</f>
        <v>0</v>
      </c>
      <c r="O57" s="272"/>
      <c r="P57" s="274">
        <f>+G57-N57</f>
        <v>0</v>
      </c>
      <c r="Q57" s="272"/>
      <c r="R57" s="274">
        <v>0</v>
      </c>
      <c r="S57" s="273"/>
    </row>
    <row r="58" spans="1:19">
      <c r="A58" s="270" t="s">
        <v>768</v>
      </c>
      <c r="B58" s="254">
        <v>0</v>
      </c>
      <c r="C58" s="254">
        <v>0</v>
      </c>
      <c r="D58" s="254"/>
      <c r="E58" s="254">
        <v>0</v>
      </c>
      <c r="F58" s="254">
        <v>0</v>
      </c>
      <c r="G58" s="254">
        <f>+B58+C58+E58-F58</f>
        <v>0</v>
      </c>
      <c r="H58" s="272"/>
      <c r="I58" s="254">
        <v>0</v>
      </c>
      <c r="J58" s="254">
        <v>0</v>
      </c>
      <c r="K58" s="254"/>
      <c r="L58" s="254"/>
      <c r="M58" s="254">
        <v>0</v>
      </c>
      <c r="N58" s="254">
        <v>0</v>
      </c>
      <c r="O58" s="272"/>
      <c r="P58" s="254">
        <f>+G58-N58</f>
        <v>0</v>
      </c>
      <c r="Q58" s="272"/>
      <c r="R58" s="254">
        <v>0</v>
      </c>
      <c r="S58" s="273"/>
    </row>
    <row r="59" spans="1:19">
      <c r="A59" s="208" t="s">
        <v>2145</v>
      </c>
      <c r="B59" s="447">
        <f>B56+B52+B50+B48+B45+B43+B40+B35+B31+B27+B24+B10+B8</f>
        <v>700</v>
      </c>
      <c r="C59" s="447">
        <f>C56+C52+C50+C48+C45+C43+C40+C35+C31+C27+C24+C10+C8</f>
        <v>0</v>
      </c>
      <c r="D59" s="640"/>
      <c r="E59" s="447">
        <f>E56+E52+E50+E48+E45+E43+E40+E35+E31+E27+E24+E10+E8</f>
        <v>0</v>
      </c>
      <c r="F59" s="447">
        <f>F56+F52+F50+F48+F45+F43+F40+F35+F31+F27+F24+F10+F8</f>
        <v>0</v>
      </c>
      <c r="G59" s="447">
        <f>G56+G52+G50+G48+G45+G43+G40+G35+G31+G27+G24+G10+G8</f>
        <v>424076.42</v>
      </c>
      <c r="H59" s="447"/>
      <c r="I59" s="447">
        <f t="shared" ref="I59:P59" si="7">I56+I52+I50+I48+I45+I43+I40+I35+I31+I27+I24+I10+I8</f>
        <v>138.22</v>
      </c>
      <c r="J59" s="447">
        <f t="shared" si="7"/>
        <v>141263.74</v>
      </c>
      <c r="K59" s="640"/>
      <c r="L59" s="640"/>
      <c r="M59" s="447">
        <f t="shared" si="7"/>
        <v>0</v>
      </c>
      <c r="N59" s="447">
        <f t="shared" si="7"/>
        <v>251981.96</v>
      </c>
      <c r="O59" s="447">
        <f t="shared" si="7"/>
        <v>0</v>
      </c>
      <c r="P59" s="447">
        <f t="shared" si="7"/>
        <v>172094.46</v>
      </c>
      <c r="Q59" s="447"/>
      <c r="R59" s="447">
        <f>R56+R52+R50+R48+R45+R43+R40+R35+R31+R27+R24+R10+R8</f>
        <v>0</v>
      </c>
      <c r="S59" s="277"/>
    </row>
  </sheetData>
  <mergeCells count="6">
    <mergeCell ref="A1:R1"/>
    <mergeCell ref="A2:R2"/>
    <mergeCell ref="A3:R3"/>
    <mergeCell ref="B5:G5"/>
    <mergeCell ref="I5:N5"/>
    <mergeCell ref="R5:S5"/>
  </mergeCells>
  <printOptions horizontalCentered="1"/>
  <pageMargins left="0.70866141732283472" right="0.70866141732283472" top="0.74803149606299213" bottom="0.74803149606299213" header="0.31496062992125984" footer="0.31496062992125984"/>
  <pageSetup paperSize="9" scale="52" orientation="landscape" r:id="rId1"/>
  <headerFooter>
    <oddFooter>&amp;R&amp;P</oddFooter>
  </headerFooter>
</worksheet>
</file>

<file path=xl/worksheets/sheet28.xml><?xml version="1.0" encoding="utf-8"?>
<worksheet xmlns="http://schemas.openxmlformats.org/spreadsheetml/2006/main" xmlns:r="http://schemas.openxmlformats.org/officeDocument/2006/relationships">
  <sheetPr>
    <pageSetUpPr fitToPage="1"/>
  </sheetPr>
  <dimension ref="A1:Q59"/>
  <sheetViews>
    <sheetView tabSelected="1" view="pageBreakPreview" topLeftCell="A3" zoomScale="60" workbookViewId="0">
      <selection activeCell="B43" sqref="B43"/>
    </sheetView>
  </sheetViews>
  <sheetFormatPr defaultRowHeight="12.75"/>
  <cols>
    <col min="1" max="1" width="19.140625" style="264" bestFit="1" customWidth="1"/>
    <col min="2" max="2" width="18.5703125" style="265" customWidth="1"/>
    <col min="3" max="3" width="15.85546875" style="265" bestFit="1" customWidth="1"/>
    <col min="4" max="4" width="11.28515625" style="265" bestFit="1" customWidth="1"/>
    <col min="5" max="5" width="15.5703125" style="265" bestFit="1" customWidth="1"/>
    <col min="6" max="6" width="16.140625" style="265" bestFit="1" customWidth="1"/>
    <col min="7" max="7" width="1.42578125" style="265" customWidth="1"/>
    <col min="8" max="8" width="13.85546875" style="265" bestFit="1" customWidth="1"/>
    <col min="9" max="9" width="10.42578125" style="265" bestFit="1" customWidth="1"/>
    <col min="10" max="10" width="9.5703125" style="265" bestFit="1" customWidth="1"/>
    <col min="11" max="11" width="13.7109375" style="265" bestFit="1" customWidth="1"/>
    <col min="12" max="12" width="1.140625" style="265" customWidth="1"/>
    <col min="13" max="13" width="21.85546875" style="265" bestFit="1" customWidth="1"/>
    <col min="14" max="14" width="1.42578125" style="265" customWidth="1"/>
    <col min="15" max="15" width="9.42578125" style="265" bestFit="1" customWidth="1"/>
    <col min="16" max="16" width="3" style="264" customWidth="1"/>
    <col min="17" max="17" width="14" style="264" bestFit="1" customWidth="1"/>
    <col min="18" max="16384" width="9.140625" style="264"/>
  </cols>
  <sheetData>
    <row r="1" spans="1:16">
      <c r="A1" s="1919" t="s">
        <v>1246</v>
      </c>
      <c r="B1" s="1919"/>
      <c r="C1" s="1919"/>
      <c r="D1" s="1919"/>
      <c r="E1" s="1919"/>
      <c r="F1" s="1919"/>
      <c r="G1" s="1919"/>
      <c r="H1" s="1919"/>
      <c r="I1" s="1919"/>
      <c r="J1" s="1919"/>
      <c r="K1" s="1919"/>
      <c r="L1" s="1919"/>
      <c r="M1" s="1919"/>
      <c r="N1" s="1919"/>
      <c r="O1" s="1919"/>
    </row>
    <row r="2" spans="1:16">
      <c r="A2" s="1919" t="s">
        <v>3305</v>
      </c>
      <c r="B2" s="1919"/>
      <c r="C2" s="1919"/>
      <c r="D2" s="1919"/>
      <c r="E2" s="1919"/>
      <c r="F2" s="1919"/>
      <c r="G2" s="1919"/>
      <c r="H2" s="1919"/>
      <c r="I2" s="1919"/>
      <c r="J2" s="1919"/>
      <c r="K2" s="1919"/>
      <c r="L2" s="1919"/>
      <c r="M2" s="1919"/>
      <c r="N2" s="1919"/>
      <c r="O2" s="1919"/>
    </row>
    <row r="3" spans="1:16">
      <c r="A3" s="1919" t="s">
        <v>3525</v>
      </c>
      <c r="B3" s="1919"/>
      <c r="C3" s="1919"/>
      <c r="D3" s="1919"/>
      <c r="E3" s="1919"/>
      <c r="F3" s="1919"/>
      <c r="G3" s="1919"/>
      <c r="H3" s="1919"/>
      <c r="I3" s="1919"/>
      <c r="J3" s="1919"/>
      <c r="K3" s="1919"/>
      <c r="L3" s="1919"/>
      <c r="M3" s="1919"/>
      <c r="N3" s="1919"/>
      <c r="O3" s="1919"/>
    </row>
    <row r="5" spans="1:16">
      <c r="A5" s="206"/>
      <c r="B5" s="1926" t="s">
        <v>755</v>
      </c>
      <c r="C5" s="1926"/>
      <c r="D5" s="1926"/>
      <c r="E5" s="1926"/>
      <c r="F5" s="1926"/>
      <c r="G5" s="448"/>
      <c r="H5" s="1926" t="s">
        <v>756</v>
      </c>
      <c r="I5" s="1926"/>
      <c r="J5" s="1926"/>
      <c r="K5" s="1926"/>
      <c r="L5" s="448"/>
      <c r="M5" s="448"/>
      <c r="N5" s="448"/>
      <c r="O5" s="1927"/>
      <c r="P5" s="1928"/>
    </row>
    <row r="6" spans="1:16" ht="51">
      <c r="A6" s="202"/>
      <c r="B6" s="199" t="s">
        <v>3860</v>
      </c>
      <c r="C6" s="199" t="s">
        <v>757</v>
      </c>
      <c r="D6" s="199" t="s">
        <v>758</v>
      </c>
      <c r="E6" s="199" t="s">
        <v>1017</v>
      </c>
      <c r="F6" s="199" t="s">
        <v>3858</v>
      </c>
      <c r="G6" s="180"/>
      <c r="H6" s="199" t="s">
        <v>3859</v>
      </c>
      <c r="I6" s="199" t="s">
        <v>759</v>
      </c>
      <c r="J6" s="199" t="s">
        <v>1017</v>
      </c>
      <c r="K6" s="199" t="s">
        <v>3858</v>
      </c>
      <c r="L6" s="180"/>
      <c r="M6" s="199" t="s">
        <v>760</v>
      </c>
      <c r="N6" s="180"/>
      <c r="O6" s="199" t="s">
        <v>3763</v>
      </c>
      <c r="P6" s="207"/>
    </row>
    <row r="7" spans="1:16">
      <c r="A7" s="203"/>
      <c r="B7" s="183" t="s">
        <v>2422</v>
      </c>
      <c r="C7" s="183" t="s">
        <v>2422</v>
      </c>
      <c r="D7" s="183"/>
      <c r="E7" s="183" t="s">
        <v>2422</v>
      </c>
      <c r="F7" s="183" t="s">
        <v>2422</v>
      </c>
      <c r="G7" s="183"/>
      <c r="H7" s="183" t="s">
        <v>2422</v>
      </c>
      <c r="I7" s="183" t="s">
        <v>2422</v>
      </c>
      <c r="J7" s="183" t="s">
        <v>2422</v>
      </c>
      <c r="K7" s="183" t="s">
        <v>2422</v>
      </c>
      <c r="L7" s="183"/>
      <c r="M7" s="183" t="s">
        <v>2422</v>
      </c>
      <c r="N7" s="183"/>
      <c r="O7" s="183" t="s">
        <v>2422</v>
      </c>
      <c r="P7" s="204"/>
    </row>
    <row r="8" spans="1:16" ht="25.5">
      <c r="A8" s="202" t="s">
        <v>1018</v>
      </c>
      <c r="B8" s="200">
        <f>B9</f>
        <v>0</v>
      </c>
      <c r="C8" s="200">
        <f>C9</f>
        <v>0</v>
      </c>
      <c r="D8" s="200">
        <f>D9</f>
        <v>0</v>
      </c>
      <c r="E8" s="200">
        <f>E9</f>
        <v>0</v>
      </c>
      <c r="F8" s="200">
        <f>F9</f>
        <v>0</v>
      </c>
      <c r="G8" s="200"/>
      <c r="H8" s="200">
        <f>H9</f>
        <v>0</v>
      </c>
      <c r="I8" s="200">
        <f>I9</f>
        <v>0</v>
      </c>
      <c r="J8" s="200">
        <f>J9</f>
        <v>0</v>
      </c>
      <c r="K8" s="200">
        <f>K9</f>
        <v>0</v>
      </c>
      <c r="L8" s="200"/>
      <c r="M8" s="200">
        <f>M9</f>
        <v>0</v>
      </c>
      <c r="N8" s="200"/>
      <c r="O8" s="200">
        <f>O9</f>
        <v>0</v>
      </c>
      <c r="P8" s="201"/>
    </row>
    <row r="9" spans="1:16">
      <c r="A9" s="270" t="s">
        <v>1019</v>
      </c>
      <c r="B9" s="271">
        <v>0</v>
      </c>
      <c r="C9" s="271">
        <v>0</v>
      </c>
      <c r="D9" s="271">
        <v>0</v>
      </c>
      <c r="E9" s="271">
        <v>0</v>
      </c>
      <c r="F9" s="271">
        <f>+B9+C9+D9-E9</f>
        <v>0</v>
      </c>
      <c r="G9" s="272"/>
      <c r="H9" s="271">
        <v>0</v>
      </c>
      <c r="I9" s="271">
        <v>0</v>
      </c>
      <c r="J9" s="271">
        <v>0</v>
      </c>
      <c r="K9" s="271">
        <f>+H9+I9-J9</f>
        <v>0</v>
      </c>
      <c r="L9" s="272"/>
      <c r="M9" s="271">
        <f>+F9-K9</f>
        <v>0</v>
      </c>
      <c r="N9" s="272"/>
      <c r="O9" s="271">
        <v>0</v>
      </c>
      <c r="P9" s="273"/>
    </row>
    <row r="10" spans="1:16" ht="25.5">
      <c r="A10" s="202" t="s">
        <v>1020</v>
      </c>
      <c r="B10" s="200">
        <f>SUM(B11:B23)</f>
        <v>0</v>
      </c>
      <c r="C10" s="200">
        <f>SUM(C11:C23)</f>
        <v>0</v>
      </c>
      <c r="D10" s="200">
        <f>SUM(D11:D23)</f>
        <v>0</v>
      </c>
      <c r="E10" s="200">
        <f>SUM(E11:E23)</f>
        <v>0</v>
      </c>
      <c r="F10" s="200">
        <f>SUM(F11:F23)</f>
        <v>0</v>
      </c>
      <c r="G10" s="200"/>
      <c r="H10" s="200">
        <f>SUM(H11:H23)</f>
        <v>0</v>
      </c>
      <c r="I10" s="200">
        <f>SUM(I11:I23)</f>
        <v>0</v>
      </c>
      <c r="J10" s="200">
        <f>SUM(J11:J23)</f>
        <v>0</v>
      </c>
      <c r="K10" s="200">
        <f>SUM(K11:K23)</f>
        <v>0</v>
      </c>
      <c r="L10" s="200"/>
      <c r="M10" s="200">
        <f>SUM(M11:M23)</f>
        <v>0</v>
      </c>
      <c r="N10" s="200"/>
      <c r="O10" s="200">
        <f>SUM(O11:O23)</f>
        <v>0</v>
      </c>
      <c r="P10" s="201"/>
    </row>
    <row r="11" spans="1:16">
      <c r="A11" s="270" t="s">
        <v>1021</v>
      </c>
      <c r="B11" s="274">
        <v>0</v>
      </c>
      <c r="C11" s="274">
        <v>0</v>
      </c>
      <c r="D11" s="274">
        <v>0</v>
      </c>
      <c r="E11" s="274">
        <v>0</v>
      </c>
      <c r="F11" s="274">
        <f>+B11+C11+D11-E11</f>
        <v>0</v>
      </c>
      <c r="G11" s="272"/>
      <c r="H11" s="274">
        <v>0</v>
      </c>
      <c r="I11" s="274">
        <v>0</v>
      </c>
      <c r="J11" s="274">
        <v>0</v>
      </c>
      <c r="K11" s="274">
        <f>+H11+I11-J11</f>
        <v>0</v>
      </c>
      <c r="L11" s="272"/>
      <c r="M11" s="274">
        <f>+F11-K11</f>
        <v>0</v>
      </c>
      <c r="N11" s="272"/>
      <c r="O11" s="274">
        <v>0</v>
      </c>
      <c r="P11" s="273"/>
    </row>
    <row r="12" spans="1:16" ht="25.5">
      <c r="A12" s="270" t="s">
        <v>1022</v>
      </c>
      <c r="B12" s="250">
        <v>0</v>
      </c>
      <c r="C12" s="250">
        <v>0</v>
      </c>
      <c r="D12" s="250">
        <v>0</v>
      </c>
      <c r="E12" s="250">
        <v>0</v>
      </c>
      <c r="F12" s="250">
        <f>+B12+C12+D12-E12</f>
        <v>0</v>
      </c>
      <c r="G12" s="272"/>
      <c r="H12" s="250">
        <v>0</v>
      </c>
      <c r="I12" s="250">
        <v>0</v>
      </c>
      <c r="J12" s="250">
        <v>0</v>
      </c>
      <c r="K12" s="250">
        <f>+H12+I12-J12</f>
        <v>0</v>
      </c>
      <c r="L12" s="272"/>
      <c r="M12" s="250">
        <f>+F12-K12</f>
        <v>0</v>
      </c>
      <c r="N12" s="272"/>
      <c r="O12" s="250">
        <v>0</v>
      </c>
      <c r="P12" s="273"/>
    </row>
    <row r="13" spans="1:16">
      <c r="A13" s="270" t="s">
        <v>1220</v>
      </c>
      <c r="B13" s="250">
        <v>0</v>
      </c>
      <c r="C13" s="250">
        <v>0</v>
      </c>
      <c r="D13" s="250">
        <v>0</v>
      </c>
      <c r="E13" s="250">
        <v>0</v>
      </c>
      <c r="F13" s="250">
        <f>+B13+C13+D13-E13</f>
        <v>0</v>
      </c>
      <c r="G13" s="272"/>
      <c r="H13" s="250">
        <v>0</v>
      </c>
      <c r="I13" s="250">
        <v>0</v>
      </c>
      <c r="J13" s="250">
        <v>0</v>
      </c>
      <c r="K13" s="250">
        <f>+H13+I13-J13</f>
        <v>0</v>
      </c>
      <c r="L13" s="272"/>
      <c r="M13" s="250">
        <f>+F13-K13</f>
        <v>0</v>
      </c>
      <c r="N13" s="272"/>
      <c r="O13" s="250">
        <v>0</v>
      </c>
      <c r="P13" s="273"/>
    </row>
    <row r="14" spans="1:16">
      <c r="A14" s="270" t="s">
        <v>1221</v>
      </c>
      <c r="B14" s="250">
        <v>0</v>
      </c>
      <c r="C14" s="250">
        <v>0</v>
      </c>
      <c r="D14" s="250">
        <v>0</v>
      </c>
      <c r="E14" s="250">
        <v>0</v>
      </c>
      <c r="F14" s="250">
        <f>+B14+C14+D14-E14</f>
        <v>0</v>
      </c>
      <c r="G14" s="272"/>
      <c r="H14" s="250">
        <v>0</v>
      </c>
      <c r="I14" s="250">
        <v>0</v>
      </c>
      <c r="J14" s="250">
        <v>0</v>
      </c>
      <c r="K14" s="250">
        <f>+H14+I14-J14</f>
        <v>0</v>
      </c>
      <c r="L14" s="272"/>
      <c r="M14" s="250">
        <f>+F14-K14</f>
        <v>0</v>
      </c>
      <c r="N14" s="272"/>
      <c r="O14" s="250">
        <v>0</v>
      </c>
      <c r="P14" s="273"/>
    </row>
    <row r="15" spans="1:16">
      <c r="A15" s="270" t="s">
        <v>1030</v>
      </c>
      <c r="B15" s="250">
        <v>0</v>
      </c>
      <c r="C15" s="250">
        <v>0</v>
      </c>
      <c r="D15" s="250">
        <v>0</v>
      </c>
      <c r="E15" s="250">
        <v>0</v>
      </c>
      <c r="F15" s="250">
        <f t="shared" ref="F15:F22" si="0">+B15+C15+D15-E15</f>
        <v>0</v>
      </c>
      <c r="G15" s="272"/>
      <c r="H15" s="250">
        <v>0</v>
      </c>
      <c r="I15" s="250">
        <v>0</v>
      </c>
      <c r="J15" s="250">
        <v>0</v>
      </c>
      <c r="K15" s="250">
        <f t="shared" ref="K15:K22" si="1">+H15+I15-J15</f>
        <v>0</v>
      </c>
      <c r="L15" s="272"/>
      <c r="M15" s="250">
        <f t="shared" ref="M15:M22" si="2">+F15-K15</f>
        <v>0</v>
      </c>
      <c r="N15" s="272"/>
      <c r="O15" s="250">
        <v>0</v>
      </c>
      <c r="P15" s="273"/>
    </row>
    <row r="16" spans="1:16">
      <c r="A16" s="270" t="s">
        <v>1031</v>
      </c>
      <c r="B16" s="250">
        <v>0</v>
      </c>
      <c r="C16" s="250">
        <v>0</v>
      </c>
      <c r="D16" s="250">
        <v>0</v>
      </c>
      <c r="E16" s="250">
        <v>0</v>
      </c>
      <c r="F16" s="250">
        <f t="shared" si="0"/>
        <v>0</v>
      </c>
      <c r="G16" s="272"/>
      <c r="H16" s="250">
        <v>0</v>
      </c>
      <c r="I16" s="250">
        <v>0</v>
      </c>
      <c r="J16" s="250">
        <v>0</v>
      </c>
      <c r="K16" s="250">
        <f t="shared" si="1"/>
        <v>0</v>
      </c>
      <c r="L16" s="272"/>
      <c r="M16" s="250">
        <f t="shared" si="2"/>
        <v>0</v>
      </c>
      <c r="N16" s="272"/>
      <c r="O16" s="250">
        <v>0</v>
      </c>
      <c r="P16" s="273"/>
    </row>
    <row r="17" spans="1:17">
      <c r="A17" s="270" t="s">
        <v>1032</v>
      </c>
      <c r="B17" s="250">
        <v>0</v>
      </c>
      <c r="C17" s="250">
        <v>0</v>
      </c>
      <c r="D17" s="250">
        <v>0</v>
      </c>
      <c r="E17" s="250">
        <v>0</v>
      </c>
      <c r="F17" s="250">
        <f t="shared" si="0"/>
        <v>0</v>
      </c>
      <c r="G17" s="272"/>
      <c r="H17" s="250">
        <v>0</v>
      </c>
      <c r="I17" s="250">
        <v>0</v>
      </c>
      <c r="J17" s="250">
        <v>0</v>
      </c>
      <c r="K17" s="250">
        <f t="shared" si="1"/>
        <v>0</v>
      </c>
      <c r="L17" s="272"/>
      <c r="M17" s="250">
        <f t="shared" si="2"/>
        <v>0</v>
      </c>
      <c r="N17" s="272"/>
      <c r="O17" s="250">
        <v>0</v>
      </c>
      <c r="P17" s="273"/>
    </row>
    <row r="18" spans="1:17">
      <c r="A18" s="270" t="s">
        <v>1282</v>
      </c>
      <c r="B18" s="250">
        <v>0</v>
      </c>
      <c r="C18" s="250">
        <v>0</v>
      </c>
      <c r="D18" s="250">
        <v>0</v>
      </c>
      <c r="E18" s="250">
        <v>0</v>
      </c>
      <c r="F18" s="250">
        <f t="shared" si="0"/>
        <v>0</v>
      </c>
      <c r="G18" s="272"/>
      <c r="H18" s="250">
        <v>0</v>
      </c>
      <c r="I18" s="250">
        <v>0</v>
      </c>
      <c r="J18" s="250">
        <v>0</v>
      </c>
      <c r="K18" s="250">
        <f t="shared" si="1"/>
        <v>0</v>
      </c>
      <c r="L18" s="272"/>
      <c r="M18" s="250">
        <f t="shared" si="2"/>
        <v>0</v>
      </c>
      <c r="N18" s="272"/>
      <c r="O18" s="250">
        <v>0</v>
      </c>
      <c r="P18" s="273"/>
    </row>
    <row r="19" spans="1:17">
      <c r="A19" s="270" t="s">
        <v>1033</v>
      </c>
      <c r="B19" s="250">
        <v>0</v>
      </c>
      <c r="C19" s="250">
        <v>0</v>
      </c>
      <c r="D19" s="250">
        <v>0</v>
      </c>
      <c r="E19" s="250">
        <v>0</v>
      </c>
      <c r="F19" s="250">
        <f t="shared" si="0"/>
        <v>0</v>
      </c>
      <c r="G19" s="272"/>
      <c r="H19" s="250">
        <v>0</v>
      </c>
      <c r="I19" s="250">
        <v>0</v>
      </c>
      <c r="J19" s="250">
        <v>0</v>
      </c>
      <c r="K19" s="250">
        <f t="shared" si="1"/>
        <v>0</v>
      </c>
      <c r="L19" s="272"/>
      <c r="M19" s="250">
        <f t="shared" si="2"/>
        <v>0</v>
      </c>
      <c r="N19" s="272"/>
      <c r="O19" s="250">
        <v>0</v>
      </c>
      <c r="P19" s="273"/>
    </row>
    <row r="20" spans="1:17">
      <c r="A20" s="270" t="s">
        <v>459</v>
      </c>
      <c r="B20" s="250">
        <v>0</v>
      </c>
      <c r="C20" s="250">
        <v>0</v>
      </c>
      <c r="D20" s="250">
        <v>0</v>
      </c>
      <c r="E20" s="250">
        <v>0</v>
      </c>
      <c r="F20" s="250">
        <f t="shared" si="0"/>
        <v>0</v>
      </c>
      <c r="G20" s="272"/>
      <c r="H20" s="250">
        <v>0</v>
      </c>
      <c r="I20" s="250">
        <v>0</v>
      </c>
      <c r="J20" s="250">
        <v>0</v>
      </c>
      <c r="K20" s="250">
        <f t="shared" si="1"/>
        <v>0</v>
      </c>
      <c r="L20" s="272"/>
      <c r="M20" s="250">
        <f t="shared" si="2"/>
        <v>0</v>
      </c>
      <c r="N20" s="272"/>
      <c r="O20" s="250">
        <v>0</v>
      </c>
      <c r="P20" s="273"/>
    </row>
    <row r="21" spans="1:17">
      <c r="A21" s="270" t="s">
        <v>741</v>
      </c>
      <c r="B21" s="250">
        <v>0</v>
      </c>
      <c r="C21" s="250">
        <v>0</v>
      </c>
      <c r="D21" s="250">
        <v>0</v>
      </c>
      <c r="E21" s="250">
        <v>0</v>
      </c>
      <c r="F21" s="250">
        <f t="shared" si="0"/>
        <v>0</v>
      </c>
      <c r="G21" s="272"/>
      <c r="H21" s="250">
        <v>0</v>
      </c>
      <c r="I21" s="250">
        <v>0</v>
      </c>
      <c r="J21" s="250">
        <v>0</v>
      </c>
      <c r="K21" s="250">
        <f t="shared" si="1"/>
        <v>0</v>
      </c>
      <c r="L21" s="272"/>
      <c r="M21" s="250">
        <f t="shared" si="2"/>
        <v>0</v>
      </c>
      <c r="N21" s="272"/>
      <c r="O21" s="250">
        <v>0</v>
      </c>
      <c r="P21" s="273"/>
    </row>
    <row r="22" spans="1:17">
      <c r="A22" s="270" t="s">
        <v>460</v>
      </c>
      <c r="B22" s="250">
        <v>0</v>
      </c>
      <c r="C22" s="250">
        <v>0</v>
      </c>
      <c r="D22" s="250">
        <v>0</v>
      </c>
      <c r="E22" s="250">
        <v>0</v>
      </c>
      <c r="F22" s="250">
        <f t="shared" si="0"/>
        <v>0</v>
      </c>
      <c r="G22" s="272"/>
      <c r="H22" s="250">
        <v>0</v>
      </c>
      <c r="I22" s="250">
        <v>0</v>
      </c>
      <c r="J22" s="250">
        <v>0</v>
      </c>
      <c r="K22" s="250">
        <f t="shared" si="1"/>
        <v>0</v>
      </c>
      <c r="L22" s="272"/>
      <c r="M22" s="250">
        <f t="shared" si="2"/>
        <v>0</v>
      </c>
      <c r="N22" s="272"/>
      <c r="O22" s="250">
        <v>0</v>
      </c>
      <c r="P22" s="273"/>
    </row>
    <row r="23" spans="1:17">
      <c r="A23" s="270" t="s">
        <v>1222</v>
      </c>
      <c r="B23" s="254">
        <v>0</v>
      </c>
      <c r="C23" s="254">
        <v>0</v>
      </c>
      <c r="D23" s="254">
        <v>0</v>
      </c>
      <c r="E23" s="254">
        <v>0</v>
      </c>
      <c r="F23" s="254">
        <f>+B23+C23+D23-E23</f>
        <v>0</v>
      </c>
      <c r="G23" s="272"/>
      <c r="H23" s="254">
        <v>0</v>
      </c>
      <c r="I23" s="254">
        <v>0</v>
      </c>
      <c r="J23" s="254">
        <v>0</v>
      </c>
      <c r="K23" s="254">
        <f>+H23+I23-J23</f>
        <v>0</v>
      </c>
      <c r="L23" s="275"/>
      <c r="M23" s="254">
        <f>+F23-K23</f>
        <v>0</v>
      </c>
      <c r="N23" s="272"/>
      <c r="O23" s="254">
        <v>0</v>
      </c>
      <c r="P23" s="273"/>
    </row>
    <row r="24" spans="1:17" ht="25.5">
      <c r="A24" s="202" t="s">
        <v>1223</v>
      </c>
      <c r="B24" s="200">
        <f>B25</f>
        <v>49530850</v>
      </c>
      <c r="C24" s="200">
        <f>C25</f>
        <v>218000</v>
      </c>
      <c r="D24" s="200">
        <f>D25</f>
        <v>0</v>
      </c>
      <c r="E24" s="200">
        <f>E25</f>
        <v>14042850</v>
      </c>
      <c r="F24" s="200">
        <f>F25</f>
        <v>35706000</v>
      </c>
      <c r="G24" s="200"/>
      <c r="H24" s="200">
        <f>H25</f>
        <v>0</v>
      </c>
      <c r="I24" s="200">
        <f>I25</f>
        <v>0</v>
      </c>
      <c r="J24" s="200">
        <f>J25</f>
        <v>0</v>
      </c>
      <c r="K24" s="200">
        <f>K25</f>
        <v>0</v>
      </c>
      <c r="L24" s="183"/>
      <c r="M24" s="200">
        <f>M25</f>
        <v>35706000</v>
      </c>
      <c r="N24" s="200"/>
      <c r="O24" s="200">
        <f>O25</f>
        <v>0</v>
      </c>
      <c r="P24" s="201"/>
    </row>
    <row r="25" spans="1:17">
      <c r="A25" s="270" t="s">
        <v>1034</v>
      </c>
      <c r="B25" s="274">
        <v>49530850</v>
      </c>
      <c r="C25" s="274">
        <v>218000</v>
      </c>
      <c r="D25" s="274">
        <v>0</v>
      </c>
      <c r="E25" s="274">
        <v>14042850</v>
      </c>
      <c r="F25" s="274">
        <f>+B25+C25+D25-E25</f>
        <v>35706000</v>
      </c>
      <c r="G25" s="272"/>
      <c r="H25" s="274">
        <v>0</v>
      </c>
      <c r="I25" s="274">
        <v>0</v>
      </c>
      <c r="J25" s="274">
        <v>0</v>
      </c>
      <c r="K25" s="274">
        <f>+H25+I25-J25</f>
        <v>0</v>
      </c>
      <c r="L25" s="272"/>
      <c r="M25" s="274">
        <f>+F25-K25</f>
        <v>35706000</v>
      </c>
      <c r="N25" s="272"/>
      <c r="O25" s="274">
        <v>0</v>
      </c>
      <c r="P25" s="273"/>
      <c r="Q25" s="276"/>
    </row>
    <row r="26" spans="1:17" ht="25.5">
      <c r="A26" s="270" t="s">
        <v>1224</v>
      </c>
      <c r="B26" s="254">
        <v>0</v>
      </c>
      <c r="C26" s="254">
        <v>0</v>
      </c>
      <c r="D26" s="254">
        <v>0</v>
      </c>
      <c r="E26" s="254">
        <v>0</v>
      </c>
      <c r="F26" s="254">
        <f>+B26+C26+D26-E26</f>
        <v>0</v>
      </c>
      <c r="G26" s="272"/>
      <c r="H26" s="254">
        <v>0</v>
      </c>
      <c r="I26" s="254">
        <v>0</v>
      </c>
      <c r="J26" s="254">
        <v>0</v>
      </c>
      <c r="K26" s="254">
        <f>+H26+I26-J26</f>
        <v>0</v>
      </c>
      <c r="L26" s="272"/>
      <c r="M26" s="254">
        <f>+F26-K26</f>
        <v>0</v>
      </c>
      <c r="N26" s="272"/>
      <c r="O26" s="254">
        <v>0</v>
      </c>
      <c r="P26" s="273"/>
    </row>
    <row r="27" spans="1:17">
      <c r="A27" s="202" t="s">
        <v>1225</v>
      </c>
      <c r="B27" s="200">
        <f>SUM(B28:B30)</f>
        <v>0</v>
      </c>
      <c r="C27" s="200">
        <f>SUM(C28:C30)</f>
        <v>0</v>
      </c>
      <c r="D27" s="200">
        <f>SUM(D28:D30)</f>
        <v>0</v>
      </c>
      <c r="E27" s="200">
        <f>SUM(E28:E30)</f>
        <v>0</v>
      </c>
      <c r="F27" s="200">
        <f>SUM(F28:F30)</f>
        <v>0</v>
      </c>
      <c r="G27" s="200"/>
      <c r="H27" s="200">
        <f t="shared" ref="H27:M27" si="3">SUM(H28:H30)</f>
        <v>0</v>
      </c>
      <c r="I27" s="200">
        <f t="shared" si="3"/>
        <v>0</v>
      </c>
      <c r="J27" s="200">
        <f>SUM(J28:J30)</f>
        <v>0</v>
      </c>
      <c r="K27" s="200">
        <f t="shared" si="3"/>
        <v>0</v>
      </c>
      <c r="L27" s="200">
        <f t="shared" si="3"/>
        <v>0</v>
      </c>
      <c r="M27" s="200">
        <f t="shared" si="3"/>
        <v>0</v>
      </c>
      <c r="N27" s="200"/>
      <c r="O27" s="200">
        <f>SUM(O28:O30)</f>
        <v>0</v>
      </c>
      <c r="P27" s="201"/>
    </row>
    <row r="28" spans="1:17" ht="25.5">
      <c r="A28" s="270" t="s">
        <v>1226</v>
      </c>
      <c r="B28" s="274">
        <v>0</v>
      </c>
      <c r="C28" s="274">
        <v>0</v>
      </c>
      <c r="D28" s="274">
        <v>0</v>
      </c>
      <c r="E28" s="274">
        <v>0</v>
      </c>
      <c r="F28" s="274">
        <f>+B28+C28+D28-E28</f>
        <v>0</v>
      </c>
      <c r="G28" s="272"/>
      <c r="H28" s="274">
        <v>0</v>
      </c>
      <c r="I28" s="274">
        <v>0</v>
      </c>
      <c r="J28" s="274">
        <v>0</v>
      </c>
      <c r="K28" s="274">
        <f>+H28+I28-J28</f>
        <v>0</v>
      </c>
      <c r="L28" s="272"/>
      <c r="M28" s="274">
        <f>+F28-K28</f>
        <v>0</v>
      </c>
      <c r="N28" s="272"/>
      <c r="O28" s="274">
        <v>0</v>
      </c>
      <c r="P28" s="273"/>
    </row>
    <row r="29" spans="1:17">
      <c r="A29" s="270" t="s">
        <v>1227</v>
      </c>
      <c r="B29" s="250">
        <v>0</v>
      </c>
      <c r="C29" s="250">
        <v>0</v>
      </c>
      <c r="D29" s="250">
        <v>0</v>
      </c>
      <c r="E29" s="250">
        <v>0</v>
      </c>
      <c r="F29" s="250">
        <f>+B29+C29+D29-E29</f>
        <v>0</v>
      </c>
      <c r="G29" s="272"/>
      <c r="H29" s="250">
        <v>0</v>
      </c>
      <c r="I29" s="250">
        <v>0</v>
      </c>
      <c r="J29" s="250">
        <v>0</v>
      </c>
      <c r="K29" s="250">
        <f>+H29+I29-J29</f>
        <v>0</v>
      </c>
      <c r="L29" s="272"/>
      <c r="M29" s="250">
        <f>+F29-K29</f>
        <v>0</v>
      </c>
      <c r="N29" s="272"/>
      <c r="O29" s="250">
        <v>0</v>
      </c>
      <c r="P29" s="273"/>
    </row>
    <row r="30" spans="1:17">
      <c r="A30" s="270" t="s">
        <v>1228</v>
      </c>
      <c r="B30" s="254">
        <v>0</v>
      </c>
      <c r="C30" s="254">
        <v>0</v>
      </c>
      <c r="D30" s="254">
        <v>0</v>
      </c>
      <c r="E30" s="254">
        <v>0</v>
      </c>
      <c r="F30" s="254">
        <f>+B30+C30+D30-E30</f>
        <v>0</v>
      </c>
      <c r="G30" s="272"/>
      <c r="H30" s="254">
        <v>0</v>
      </c>
      <c r="I30" s="254">
        <v>0</v>
      </c>
      <c r="J30" s="254">
        <v>0</v>
      </c>
      <c r="K30" s="254">
        <f>+H30+I30-J30</f>
        <v>0</v>
      </c>
      <c r="L30" s="272"/>
      <c r="M30" s="254">
        <f>+F30-K30</f>
        <v>0</v>
      </c>
      <c r="N30" s="272"/>
      <c r="O30" s="254">
        <v>0</v>
      </c>
      <c r="P30" s="273"/>
    </row>
    <row r="31" spans="1:17">
      <c r="A31" s="202" t="s">
        <v>1229</v>
      </c>
      <c r="B31" s="200">
        <f>SUM(B32:B34)</f>
        <v>0</v>
      </c>
      <c r="C31" s="200">
        <f>SUM(C32:C34)</f>
        <v>0</v>
      </c>
      <c r="D31" s="200">
        <f>SUM(D32:D34)</f>
        <v>0</v>
      </c>
      <c r="E31" s="200">
        <f>SUM(E32:E34)</f>
        <v>0</v>
      </c>
      <c r="F31" s="200">
        <f>SUM(F32:F34)</f>
        <v>0</v>
      </c>
      <c r="G31" s="200"/>
      <c r="H31" s="200">
        <f>SUM(H32:H34)</f>
        <v>0</v>
      </c>
      <c r="I31" s="200">
        <f>SUM(I32:I34)</f>
        <v>0</v>
      </c>
      <c r="J31" s="200">
        <f>SUM(J32:J34)</f>
        <v>0</v>
      </c>
      <c r="K31" s="200">
        <f>SUM(K32:K34)</f>
        <v>0</v>
      </c>
      <c r="L31" s="200"/>
      <c r="M31" s="200">
        <f>SUM(M32:M34)</f>
        <v>0</v>
      </c>
      <c r="N31" s="200"/>
      <c r="O31" s="200">
        <f>SUM(O32:O34)</f>
        <v>0</v>
      </c>
      <c r="P31" s="201"/>
    </row>
    <row r="32" spans="1:17">
      <c r="A32" s="270" t="s">
        <v>773</v>
      </c>
      <c r="B32" s="274">
        <v>0</v>
      </c>
      <c r="C32" s="274">
        <v>0</v>
      </c>
      <c r="D32" s="274">
        <v>0</v>
      </c>
      <c r="E32" s="274">
        <v>0</v>
      </c>
      <c r="F32" s="274">
        <f>+B32+C32+D32-E32</f>
        <v>0</v>
      </c>
      <c r="G32" s="272"/>
      <c r="H32" s="274">
        <v>0</v>
      </c>
      <c r="I32" s="274">
        <v>0</v>
      </c>
      <c r="J32" s="274">
        <v>0</v>
      </c>
      <c r="K32" s="274">
        <f t="shared" ref="K32:K54" si="4">+H32+I32-J32</f>
        <v>0</v>
      </c>
      <c r="L32" s="272"/>
      <c r="M32" s="274">
        <f>+F32-K32</f>
        <v>0</v>
      </c>
      <c r="N32" s="272"/>
      <c r="O32" s="274">
        <v>0</v>
      </c>
      <c r="P32" s="273"/>
    </row>
    <row r="33" spans="1:16">
      <c r="A33" s="270" t="s">
        <v>1035</v>
      </c>
      <c r="B33" s="250">
        <v>0</v>
      </c>
      <c r="C33" s="250">
        <v>0</v>
      </c>
      <c r="D33" s="250">
        <v>0</v>
      </c>
      <c r="E33" s="250">
        <v>0</v>
      </c>
      <c r="F33" s="250">
        <f>+B33+C33+D33-E33</f>
        <v>0</v>
      </c>
      <c r="G33" s="272"/>
      <c r="H33" s="250">
        <v>0</v>
      </c>
      <c r="I33" s="250">
        <v>0</v>
      </c>
      <c r="J33" s="250">
        <v>0</v>
      </c>
      <c r="K33" s="250">
        <f>+H33+I33-J33</f>
        <v>0</v>
      </c>
      <c r="L33" s="272"/>
      <c r="M33" s="250">
        <f>+F33-K33</f>
        <v>0</v>
      </c>
      <c r="N33" s="272"/>
      <c r="O33" s="250">
        <v>0</v>
      </c>
      <c r="P33" s="273"/>
    </row>
    <row r="34" spans="1:16">
      <c r="A34" s="270" t="s">
        <v>1257</v>
      </c>
      <c r="B34" s="254">
        <v>0</v>
      </c>
      <c r="C34" s="254">
        <v>0</v>
      </c>
      <c r="D34" s="254">
        <v>0</v>
      </c>
      <c r="E34" s="254">
        <v>0</v>
      </c>
      <c r="F34" s="254">
        <f>+B34+C34+D34-E34</f>
        <v>0</v>
      </c>
      <c r="G34" s="272"/>
      <c r="H34" s="254">
        <v>0</v>
      </c>
      <c r="I34" s="254">
        <v>0</v>
      </c>
      <c r="J34" s="254">
        <v>0</v>
      </c>
      <c r="K34" s="254">
        <f t="shared" si="4"/>
        <v>0</v>
      </c>
      <c r="L34" s="272"/>
      <c r="M34" s="254">
        <f>+F34-K34</f>
        <v>0</v>
      </c>
      <c r="N34" s="272"/>
      <c r="O34" s="254">
        <v>0</v>
      </c>
      <c r="P34" s="273"/>
    </row>
    <row r="35" spans="1:16" ht="25.5">
      <c r="A35" s="202" t="s">
        <v>1230</v>
      </c>
      <c r="B35" s="200">
        <f>SUM(B36:B39)</f>
        <v>0</v>
      </c>
      <c r="C35" s="200">
        <f>SUM(C36:C39)</f>
        <v>0</v>
      </c>
      <c r="D35" s="200">
        <f>SUM(D36:D39)</f>
        <v>0</v>
      </c>
      <c r="E35" s="200">
        <f>SUM(E36:E39)</f>
        <v>0</v>
      </c>
      <c r="F35" s="200">
        <f>SUM(F36:F39)</f>
        <v>0</v>
      </c>
      <c r="G35" s="200"/>
      <c r="H35" s="200">
        <f>SUM(H36:H39)</f>
        <v>0</v>
      </c>
      <c r="I35" s="200">
        <f>SUM(I36:I39)</f>
        <v>0</v>
      </c>
      <c r="J35" s="200">
        <f>SUM(J36:J39)</f>
        <v>0</v>
      </c>
      <c r="K35" s="200">
        <f>SUM(K36:K39)</f>
        <v>0</v>
      </c>
      <c r="L35" s="200"/>
      <c r="M35" s="200">
        <f>SUM(M36:M39)</f>
        <v>0</v>
      </c>
      <c r="N35" s="200"/>
      <c r="O35" s="200">
        <f>SUM(O36:O39)</f>
        <v>0</v>
      </c>
      <c r="P35" s="201"/>
    </row>
    <row r="36" spans="1:16">
      <c r="A36" s="270" t="s">
        <v>1231</v>
      </c>
      <c r="B36" s="274">
        <v>0</v>
      </c>
      <c r="C36" s="274">
        <v>0</v>
      </c>
      <c r="D36" s="274">
        <v>0</v>
      </c>
      <c r="E36" s="274">
        <v>0</v>
      </c>
      <c r="F36" s="274">
        <f>+B36+C36+D36-E36</f>
        <v>0</v>
      </c>
      <c r="G36" s="272"/>
      <c r="H36" s="274">
        <v>0</v>
      </c>
      <c r="I36" s="274">
        <v>0</v>
      </c>
      <c r="J36" s="274">
        <v>0</v>
      </c>
      <c r="K36" s="274">
        <f t="shared" si="4"/>
        <v>0</v>
      </c>
      <c r="L36" s="272"/>
      <c r="M36" s="274">
        <f>+F36-K36</f>
        <v>0</v>
      </c>
      <c r="N36" s="272"/>
      <c r="O36" s="274">
        <v>0</v>
      </c>
      <c r="P36" s="273"/>
    </row>
    <row r="37" spans="1:16" ht="25.5">
      <c r="A37" s="270" t="s">
        <v>1232</v>
      </c>
      <c r="B37" s="250">
        <v>0</v>
      </c>
      <c r="C37" s="250">
        <v>0</v>
      </c>
      <c r="D37" s="250">
        <v>0</v>
      </c>
      <c r="E37" s="250">
        <v>0</v>
      </c>
      <c r="F37" s="250">
        <f>+B37+C37+D37-E37</f>
        <v>0</v>
      </c>
      <c r="G37" s="272"/>
      <c r="H37" s="250">
        <v>0</v>
      </c>
      <c r="I37" s="250">
        <v>0</v>
      </c>
      <c r="J37" s="250">
        <v>0</v>
      </c>
      <c r="K37" s="250">
        <f t="shared" si="4"/>
        <v>0</v>
      </c>
      <c r="L37" s="272"/>
      <c r="M37" s="250">
        <f>+F37-K37</f>
        <v>0</v>
      </c>
      <c r="N37" s="272"/>
      <c r="O37" s="250">
        <v>0</v>
      </c>
      <c r="P37" s="273"/>
    </row>
    <row r="38" spans="1:16">
      <c r="A38" s="270" t="s">
        <v>457</v>
      </c>
      <c r="B38" s="250">
        <v>0</v>
      </c>
      <c r="C38" s="250">
        <v>0</v>
      </c>
      <c r="D38" s="250">
        <v>0</v>
      </c>
      <c r="E38" s="250">
        <v>0</v>
      </c>
      <c r="F38" s="250">
        <f>+B38+C38+D38-E38</f>
        <v>0</v>
      </c>
      <c r="G38" s="272"/>
      <c r="H38" s="250">
        <v>0</v>
      </c>
      <c r="I38" s="250">
        <v>0</v>
      </c>
      <c r="J38" s="250">
        <v>0</v>
      </c>
      <c r="K38" s="250">
        <f>+H38+I38-J38</f>
        <v>0</v>
      </c>
      <c r="L38" s="272"/>
      <c r="M38" s="250">
        <f>+F38-K38</f>
        <v>0</v>
      </c>
      <c r="N38" s="272"/>
      <c r="O38" s="250">
        <v>0</v>
      </c>
      <c r="P38" s="273"/>
    </row>
    <row r="39" spans="1:16" ht="25.5">
      <c r="A39" s="270" t="s">
        <v>1233</v>
      </c>
      <c r="B39" s="254">
        <v>0</v>
      </c>
      <c r="C39" s="254">
        <v>0</v>
      </c>
      <c r="D39" s="254">
        <v>0</v>
      </c>
      <c r="E39" s="254">
        <v>0</v>
      </c>
      <c r="F39" s="254">
        <f>+B39+C39+D39-E39</f>
        <v>0</v>
      </c>
      <c r="G39" s="272"/>
      <c r="H39" s="254">
        <v>0</v>
      </c>
      <c r="I39" s="254">
        <v>0</v>
      </c>
      <c r="J39" s="254">
        <v>0</v>
      </c>
      <c r="K39" s="254">
        <f t="shared" si="4"/>
        <v>0</v>
      </c>
      <c r="L39" s="272"/>
      <c r="M39" s="254">
        <f>+F39-K39</f>
        <v>0</v>
      </c>
      <c r="N39" s="272"/>
      <c r="O39" s="254">
        <v>0</v>
      </c>
      <c r="P39" s="273"/>
    </row>
    <row r="40" spans="1:16">
      <c r="A40" s="202" t="s">
        <v>1234</v>
      </c>
      <c r="B40" s="200">
        <f>SUM(B41:B42)</f>
        <v>0</v>
      </c>
      <c r="C40" s="200">
        <f>SUM(C41:C42)</f>
        <v>0</v>
      </c>
      <c r="D40" s="200">
        <f>SUM(D41:D42)</f>
        <v>0</v>
      </c>
      <c r="E40" s="200">
        <f>SUM(E41:E42)</f>
        <v>0</v>
      </c>
      <c r="F40" s="200">
        <f>SUM(F41:F42)</f>
        <v>0</v>
      </c>
      <c r="G40" s="200"/>
      <c r="H40" s="200">
        <f t="shared" ref="H40:M40" si="5">SUM(H41:H42)</f>
        <v>0</v>
      </c>
      <c r="I40" s="200">
        <f t="shared" si="5"/>
        <v>0</v>
      </c>
      <c r="J40" s="200">
        <f>SUM(J41:J42)</f>
        <v>0</v>
      </c>
      <c r="K40" s="200">
        <f t="shared" si="5"/>
        <v>0</v>
      </c>
      <c r="L40" s="200">
        <f t="shared" si="5"/>
        <v>0</v>
      </c>
      <c r="M40" s="200">
        <f t="shared" si="5"/>
        <v>0</v>
      </c>
      <c r="N40" s="200"/>
      <c r="O40" s="200">
        <f>SUM(O41:O42)</f>
        <v>0</v>
      </c>
      <c r="P40" s="201"/>
    </row>
    <row r="41" spans="1:16">
      <c r="A41" s="270" t="s">
        <v>2144</v>
      </c>
      <c r="B41" s="274">
        <v>0</v>
      </c>
      <c r="C41" s="274">
        <v>0</v>
      </c>
      <c r="D41" s="274">
        <v>0</v>
      </c>
      <c r="E41" s="274">
        <v>0</v>
      </c>
      <c r="F41" s="274">
        <f>+B41+C41+D41-E41</f>
        <v>0</v>
      </c>
      <c r="G41" s="272"/>
      <c r="H41" s="274">
        <v>0</v>
      </c>
      <c r="I41" s="274">
        <v>0</v>
      </c>
      <c r="J41" s="274">
        <v>0</v>
      </c>
      <c r="K41" s="274">
        <v>0</v>
      </c>
      <c r="L41" s="272"/>
      <c r="M41" s="274">
        <f>+F41-K41</f>
        <v>0</v>
      </c>
      <c r="N41" s="272"/>
      <c r="O41" s="274">
        <v>0</v>
      </c>
      <c r="P41" s="273"/>
    </row>
    <row r="42" spans="1:16">
      <c r="A42" s="270" t="s">
        <v>1235</v>
      </c>
      <c r="B42" s="254">
        <v>0</v>
      </c>
      <c r="C42" s="254">
        <v>0</v>
      </c>
      <c r="D42" s="254">
        <v>0</v>
      </c>
      <c r="E42" s="254">
        <v>0</v>
      </c>
      <c r="F42" s="254">
        <f>+B42+C42+D42-E42</f>
        <v>0</v>
      </c>
      <c r="G42" s="272"/>
      <c r="H42" s="254">
        <v>0</v>
      </c>
      <c r="I42" s="254">
        <v>0</v>
      </c>
      <c r="J42" s="254">
        <v>0</v>
      </c>
      <c r="K42" s="254">
        <f t="shared" si="4"/>
        <v>0</v>
      </c>
      <c r="L42" s="272"/>
      <c r="M42" s="254">
        <f>+F42-K42</f>
        <v>0</v>
      </c>
      <c r="N42" s="272"/>
      <c r="O42" s="254">
        <v>0</v>
      </c>
      <c r="P42" s="273"/>
    </row>
    <row r="43" spans="1:16" ht="25.5">
      <c r="A43" s="202" t="s">
        <v>1037</v>
      </c>
      <c r="B43" s="200">
        <f>B44</f>
        <v>0</v>
      </c>
      <c r="C43" s="200">
        <f>C44</f>
        <v>0</v>
      </c>
      <c r="D43" s="200">
        <f>D44</f>
        <v>0</v>
      </c>
      <c r="E43" s="200">
        <f>E44</f>
        <v>0</v>
      </c>
      <c r="F43" s="200">
        <f>F44</f>
        <v>0</v>
      </c>
      <c r="G43" s="200"/>
      <c r="H43" s="200">
        <f t="shared" ref="H43:M43" si="6">H44</f>
        <v>0</v>
      </c>
      <c r="I43" s="200">
        <f t="shared" si="6"/>
        <v>0</v>
      </c>
      <c r="J43" s="200">
        <f t="shared" si="6"/>
        <v>0</v>
      </c>
      <c r="K43" s="200">
        <f t="shared" si="6"/>
        <v>0</v>
      </c>
      <c r="L43" s="200">
        <f t="shared" si="6"/>
        <v>0</v>
      </c>
      <c r="M43" s="200">
        <f t="shared" si="6"/>
        <v>0</v>
      </c>
      <c r="N43" s="200"/>
      <c r="O43" s="200">
        <f>O44</f>
        <v>0</v>
      </c>
      <c r="P43" s="201"/>
    </row>
    <row r="44" spans="1:16">
      <c r="A44" s="270" t="s">
        <v>1036</v>
      </c>
      <c r="B44" s="271">
        <v>0</v>
      </c>
      <c r="C44" s="271">
        <v>0</v>
      </c>
      <c r="D44" s="271">
        <v>0</v>
      </c>
      <c r="E44" s="271">
        <v>0</v>
      </c>
      <c r="F44" s="271">
        <f>+B44+C44+D44-E44</f>
        <v>0</v>
      </c>
      <c r="G44" s="272"/>
      <c r="H44" s="271">
        <v>0</v>
      </c>
      <c r="I44" s="271">
        <v>0</v>
      </c>
      <c r="J44" s="271">
        <v>0</v>
      </c>
      <c r="K44" s="271">
        <f t="shared" si="4"/>
        <v>0</v>
      </c>
      <c r="L44" s="272"/>
      <c r="M44" s="271">
        <f>+F44-K44</f>
        <v>0</v>
      </c>
      <c r="N44" s="272"/>
      <c r="O44" s="271">
        <v>0</v>
      </c>
      <c r="P44" s="273"/>
    </row>
    <row r="45" spans="1:16" ht="25.5">
      <c r="A45" s="202" t="s">
        <v>1236</v>
      </c>
      <c r="B45" s="200">
        <f>SUM(B46:B47)</f>
        <v>0</v>
      </c>
      <c r="C45" s="200">
        <f>SUM(C46:C47)</f>
        <v>0</v>
      </c>
      <c r="D45" s="200">
        <f>SUM(D46:D47)</f>
        <v>0</v>
      </c>
      <c r="E45" s="200">
        <f>SUM(E46:E47)</f>
        <v>0</v>
      </c>
      <c r="F45" s="200">
        <f>SUM(F46:F47)</f>
        <v>0</v>
      </c>
      <c r="G45" s="200"/>
      <c r="H45" s="200">
        <f>SUM(H46:H47)</f>
        <v>0</v>
      </c>
      <c r="I45" s="200">
        <f>SUM(I46:I47)</f>
        <v>0</v>
      </c>
      <c r="J45" s="200">
        <f>SUM(J46:J47)</f>
        <v>0</v>
      </c>
      <c r="K45" s="200">
        <f>SUM(K46:K47)</f>
        <v>0</v>
      </c>
      <c r="L45" s="200"/>
      <c r="M45" s="200">
        <f>SUM(M46:M47)</f>
        <v>0</v>
      </c>
      <c r="N45" s="200"/>
      <c r="O45" s="200">
        <f>SUM(O46:O47)</f>
        <v>0</v>
      </c>
      <c r="P45" s="201"/>
    </row>
    <row r="46" spans="1:16">
      <c r="A46" s="270" t="s">
        <v>1116</v>
      </c>
      <c r="B46" s="274">
        <v>0</v>
      </c>
      <c r="C46" s="274">
        <v>0</v>
      </c>
      <c r="D46" s="274">
        <v>0</v>
      </c>
      <c r="E46" s="274">
        <v>0</v>
      </c>
      <c r="F46" s="274">
        <f>+B46+C46+D46-E46</f>
        <v>0</v>
      </c>
      <c r="G46" s="272"/>
      <c r="H46" s="274">
        <v>0</v>
      </c>
      <c r="I46" s="274">
        <v>0</v>
      </c>
      <c r="J46" s="274">
        <v>0</v>
      </c>
      <c r="K46" s="274">
        <f t="shared" si="4"/>
        <v>0</v>
      </c>
      <c r="L46" s="272"/>
      <c r="M46" s="274">
        <f>+F46-K46</f>
        <v>0</v>
      </c>
      <c r="N46" s="272"/>
      <c r="O46" s="274">
        <v>0</v>
      </c>
      <c r="P46" s="273"/>
    </row>
    <row r="47" spans="1:16">
      <c r="A47" s="270" t="s">
        <v>1237</v>
      </c>
      <c r="B47" s="254">
        <v>0</v>
      </c>
      <c r="C47" s="254">
        <v>0</v>
      </c>
      <c r="D47" s="254">
        <v>0</v>
      </c>
      <c r="E47" s="254">
        <v>0</v>
      </c>
      <c r="F47" s="254">
        <f>+B47+C47+D47-E47</f>
        <v>0</v>
      </c>
      <c r="G47" s="272"/>
      <c r="H47" s="254">
        <v>0</v>
      </c>
      <c r="I47" s="254">
        <v>0</v>
      </c>
      <c r="J47" s="254">
        <v>0</v>
      </c>
      <c r="K47" s="254">
        <f t="shared" si="4"/>
        <v>0</v>
      </c>
      <c r="L47" s="272"/>
      <c r="M47" s="254">
        <f>+F47-K47</f>
        <v>0</v>
      </c>
      <c r="N47" s="272"/>
      <c r="O47" s="254" t="s">
        <v>746</v>
      </c>
      <c r="P47" s="273"/>
    </row>
    <row r="48" spans="1:16" ht="25.5">
      <c r="A48" s="202" t="s">
        <v>1238</v>
      </c>
      <c r="B48" s="200">
        <f>B49</f>
        <v>0</v>
      </c>
      <c r="C48" s="200">
        <f>C49</f>
        <v>0</v>
      </c>
      <c r="D48" s="200">
        <f>D49</f>
        <v>0</v>
      </c>
      <c r="E48" s="200">
        <f>E49</f>
        <v>0</v>
      </c>
      <c r="F48" s="200">
        <f>F49</f>
        <v>0</v>
      </c>
      <c r="G48" s="200"/>
      <c r="H48" s="200">
        <f>H49</f>
        <v>0</v>
      </c>
      <c r="I48" s="200">
        <f>I49</f>
        <v>0</v>
      </c>
      <c r="J48" s="200">
        <f>J49</f>
        <v>0</v>
      </c>
      <c r="K48" s="200">
        <f>K49</f>
        <v>0</v>
      </c>
      <c r="L48" s="200"/>
      <c r="M48" s="200">
        <f>M49</f>
        <v>0</v>
      </c>
      <c r="N48" s="200"/>
      <c r="O48" s="200">
        <f>O49</f>
        <v>0</v>
      </c>
      <c r="P48" s="201"/>
    </row>
    <row r="49" spans="1:16">
      <c r="A49" s="270" t="s">
        <v>1239</v>
      </c>
      <c r="B49" s="271">
        <v>0</v>
      </c>
      <c r="C49" s="271">
        <v>0</v>
      </c>
      <c r="D49" s="271">
        <v>0</v>
      </c>
      <c r="E49" s="271">
        <v>0</v>
      </c>
      <c r="F49" s="271">
        <f>+B49+C49+D49-E49</f>
        <v>0</v>
      </c>
      <c r="G49" s="272"/>
      <c r="H49" s="271">
        <v>0</v>
      </c>
      <c r="I49" s="271">
        <v>0</v>
      </c>
      <c r="J49" s="271">
        <v>0</v>
      </c>
      <c r="K49" s="271">
        <f t="shared" si="4"/>
        <v>0</v>
      </c>
      <c r="L49" s="272"/>
      <c r="M49" s="271">
        <f>+F49-K49</f>
        <v>0</v>
      </c>
      <c r="N49" s="272"/>
      <c r="O49" s="271">
        <v>0</v>
      </c>
      <c r="P49" s="273"/>
    </row>
    <row r="50" spans="1:16">
      <c r="A50" s="202" t="s">
        <v>1240</v>
      </c>
      <c r="B50" s="200">
        <f>B51</f>
        <v>0</v>
      </c>
      <c r="C50" s="200">
        <f>C51</f>
        <v>0</v>
      </c>
      <c r="D50" s="200">
        <f>D51</f>
        <v>0</v>
      </c>
      <c r="E50" s="200">
        <f>E51</f>
        <v>0</v>
      </c>
      <c r="F50" s="200">
        <f>F51</f>
        <v>0</v>
      </c>
      <c r="G50" s="200"/>
      <c r="H50" s="200">
        <f>H51</f>
        <v>0</v>
      </c>
      <c r="I50" s="200">
        <f>I51</f>
        <v>0</v>
      </c>
      <c r="J50" s="200">
        <f>J51</f>
        <v>0</v>
      </c>
      <c r="K50" s="200">
        <f>K51</f>
        <v>0</v>
      </c>
      <c r="L50" s="200"/>
      <c r="M50" s="200">
        <f>M51</f>
        <v>0</v>
      </c>
      <c r="N50" s="200"/>
      <c r="O50" s="200">
        <f>O51</f>
        <v>0</v>
      </c>
      <c r="P50" s="201"/>
    </row>
    <row r="51" spans="1:16">
      <c r="A51" s="270" t="s">
        <v>767</v>
      </c>
      <c r="B51" s="271">
        <v>0</v>
      </c>
      <c r="C51" s="271">
        <v>0</v>
      </c>
      <c r="D51" s="271">
        <v>0</v>
      </c>
      <c r="E51" s="271">
        <v>0</v>
      </c>
      <c r="F51" s="271">
        <f>+B51+C51+D51-E51</f>
        <v>0</v>
      </c>
      <c r="G51" s="272"/>
      <c r="H51" s="271">
        <v>0</v>
      </c>
      <c r="I51" s="271">
        <v>0</v>
      </c>
      <c r="J51" s="271">
        <v>0</v>
      </c>
      <c r="K51" s="271">
        <f t="shared" si="4"/>
        <v>0</v>
      </c>
      <c r="L51" s="272"/>
      <c r="M51" s="271">
        <f>+F51-K51</f>
        <v>0</v>
      </c>
      <c r="N51" s="272"/>
      <c r="O51" s="271">
        <v>0</v>
      </c>
      <c r="P51" s="273"/>
    </row>
    <row r="52" spans="1:16">
      <c r="A52" s="202" t="s">
        <v>1241</v>
      </c>
      <c r="B52" s="200">
        <f>SUM(B53:B54)</f>
        <v>0</v>
      </c>
      <c r="C52" s="200">
        <f>SUM(C53:C54)</f>
        <v>0</v>
      </c>
      <c r="D52" s="200">
        <f>SUM(D53:D54)</f>
        <v>0</v>
      </c>
      <c r="E52" s="200">
        <f>SUM(E53:E54)</f>
        <v>0</v>
      </c>
      <c r="F52" s="200">
        <f>SUM(F53:F54)</f>
        <v>0</v>
      </c>
      <c r="G52" s="200"/>
      <c r="H52" s="200">
        <f>SUM(H53:H54)</f>
        <v>0</v>
      </c>
      <c r="I52" s="200">
        <f>SUM(I53:I54)</f>
        <v>0</v>
      </c>
      <c r="J52" s="200">
        <f>SUM(J53:J54)</f>
        <v>0</v>
      </c>
      <c r="K52" s="200">
        <f>SUM(K53:K54)</f>
        <v>0</v>
      </c>
      <c r="L52" s="200"/>
      <c r="M52" s="200">
        <f>SUM(M53:M54)</f>
        <v>0</v>
      </c>
      <c r="N52" s="200"/>
      <c r="O52" s="200">
        <f>SUM(O53:O54)</f>
        <v>0</v>
      </c>
      <c r="P52" s="201"/>
    </row>
    <row r="53" spans="1:16">
      <c r="A53" s="270" t="s">
        <v>1242</v>
      </c>
      <c r="B53" s="274">
        <v>0</v>
      </c>
      <c r="C53" s="274">
        <v>0</v>
      </c>
      <c r="D53" s="274">
        <v>0</v>
      </c>
      <c r="E53" s="274">
        <v>0</v>
      </c>
      <c r="F53" s="274">
        <f>+B53+C53+D53-E53</f>
        <v>0</v>
      </c>
      <c r="G53" s="272"/>
      <c r="H53" s="274">
        <v>0</v>
      </c>
      <c r="I53" s="274">
        <v>0</v>
      </c>
      <c r="J53" s="274">
        <v>0</v>
      </c>
      <c r="K53" s="274">
        <f t="shared" si="4"/>
        <v>0</v>
      </c>
      <c r="L53" s="272"/>
      <c r="M53" s="274">
        <f>+F53-K53</f>
        <v>0</v>
      </c>
      <c r="N53" s="272"/>
      <c r="O53" s="274">
        <v>0</v>
      </c>
      <c r="P53" s="273"/>
    </row>
    <row r="54" spans="1:16">
      <c r="A54" s="270" t="s">
        <v>1243</v>
      </c>
      <c r="B54" s="254">
        <v>0</v>
      </c>
      <c r="C54" s="254">
        <v>0</v>
      </c>
      <c r="D54" s="254">
        <v>0</v>
      </c>
      <c r="E54" s="254">
        <v>0</v>
      </c>
      <c r="F54" s="254">
        <f>+B54+C54+D54-E54</f>
        <v>0</v>
      </c>
      <c r="G54" s="272"/>
      <c r="H54" s="254">
        <v>0</v>
      </c>
      <c r="I54" s="254">
        <v>0</v>
      </c>
      <c r="J54" s="254">
        <v>0</v>
      </c>
      <c r="K54" s="254">
        <f t="shared" si="4"/>
        <v>0</v>
      </c>
      <c r="L54" s="272"/>
      <c r="M54" s="254">
        <f>+F54-K54</f>
        <v>0</v>
      </c>
      <c r="N54" s="272"/>
      <c r="O54" s="254">
        <v>0</v>
      </c>
      <c r="P54" s="273"/>
    </row>
    <row r="55" spans="1:16">
      <c r="A55" s="270"/>
      <c r="B55" s="272"/>
      <c r="C55" s="272"/>
      <c r="D55" s="272"/>
      <c r="E55" s="272"/>
      <c r="F55" s="272"/>
      <c r="G55" s="272"/>
      <c r="H55" s="272"/>
      <c r="I55" s="272">
        <v>0</v>
      </c>
      <c r="J55" s="272">
        <v>0</v>
      </c>
      <c r="K55" s="272"/>
      <c r="L55" s="272"/>
      <c r="M55" s="272"/>
      <c r="N55" s="272"/>
      <c r="O55" s="200"/>
      <c r="P55" s="273"/>
    </row>
    <row r="56" spans="1:16">
      <c r="A56" s="202" t="s">
        <v>1244</v>
      </c>
      <c r="B56" s="200">
        <f>SUM(B57:B58)</f>
        <v>0</v>
      </c>
      <c r="C56" s="200">
        <f>SUM(C57:C58)</f>
        <v>0</v>
      </c>
      <c r="D56" s="200">
        <f>SUM(D57:D58)</f>
        <v>0</v>
      </c>
      <c r="E56" s="200">
        <f>SUM(E57:E58)</f>
        <v>0</v>
      </c>
      <c r="F56" s="200">
        <f>SUM(F57:F58)</f>
        <v>0</v>
      </c>
      <c r="G56" s="200"/>
      <c r="H56" s="200">
        <f>SUM(H57:H58)</f>
        <v>0</v>
      </c>
      <c r="I56" s="200">
        <f>SUM(I57:I58)</f>
        <v>0</v>
      </c>
      <c r="J56" s="200">
        <f>SUM(J57:J58)</f>
        <v>0</v>
      </c>
      <c r="K56" s="200">
        <f>SUM(K57:K58)</f>
        <v>0</v>
      </c>
      <c r="L56" s="200"/>
      <c r="M56" s="200">
        <f>SUM(M57:M58)</f>
        <v>0</v>
      </c>
      <c r="N56" s="200"/>
      <c r="O56" s="200">
        <f>SUM(O57:O58)</f>
        <v>0</v>
      </c>
      <c r="P56" s="201"/>
    </row>
    <row r="57" spans="1:16" ht="25.5">
      <c r="A57" s="270" t="s">
        <v>1245</v>
      </c>
      <c r="B57" s="274">
        <v>0</v>
      </c>
      <c r="C57" s="274">
        <v>0</v>
      </c>
      <c r="D57" s="274">
        <v>0</v>
      </c>
      <c r="E57" s="274">
        <v>0</v>
      </c>
      <c r="F57" s="274">
        <f>+B57+C57+D57-E57</f>
        <v>0</v>
      </c>
      <c r="G57" s="272"/>
      <c r="H57" s="274">
        <v>0</v>
      </c>
      <c r="I57" s="274">
        <v>0</v>
      </c>
      <c r="J57" s="274">
        <v>0</v>
      </c>
      <c r="K57" s="274">
        <f>+H57+I57-J57</f>
        <v>0</v>
      </c>
      <c r="L57" s="272"/>
      <c r="M57" s="274">
        <f>+F57-K57</f>
        <v>0</v>
      </c>
      <c r="N57" s="272"/>
      <c r="O57" s="274">
        <v>0</v>
      </c>
      <c r="P57" s="273"/>
    </row>
    <row r="58" spans="1:16">
      <c r="A58" s="270" t="s">
        <v>768</v>
      </c>
      <c r="B58" s="254">
        <v>0</v>
      </c>
      <c r="C58" s="254">
        <v>0</v>
      </c>
      <c r="D58" s="254">
        <v>0</v>
      </c>
      <c r="E58" s="254">
        <v>0</v>
      </c>
      <c r="F58" s="254">
        <f>+B58+C58+D58-E58</f>
        <v>0</v>
      </c>
      <c r="G58" s="272"/>
      <c r="H58" s="254">
        <v>0</v>
      </c>
      <c r="I58" s="254">
        <v>0</v>
      </c>
      <c r="J58" s="254">
        <v>0</v>
      </c>
      <c r="K58" s="254">
        <v>0</v>
      </c>
      <c r="L58" s="272"/>
      <c r="M58" s="254">
        <f>+F58-K58</f>
        <v>0</v>
      </c>
      <c r="N58" s="272"/>
      <c r="O58" s="254">
        <v>0</v>
      </c>
      <c r="P58" s="273"/>
    </row>
    <row r="59" spans="1:16">
      <c r="A59" s="208" t="s">
        <v>2145</v>
      </c>
      <c r="B59" s="447">
        <f>B56+B52+B50+B48+B45+B43+B40+B35+B31+B27+B24+B10+B8</f>
        <v>49530850</v>
      </c>
      <c r="C59" s="447">
        <f>C56+C52+C50+C48+C45+C43+C40+C35+C31+C27+C24+C10+C8</f>
        <v>218000</v>
      </c>
      <c r="D59" s="447">
        <f>D56+D52+D50+D48+D45+D43+D40+D35+D31+D27+D24+D10+D8</f>
        <v>0</v>
      </c>
      <c r="E59" s="447">
        <f>E56+E52+E50+E48+E45+E43+E40+E35+E31+E27+E24+E10+E8</f>
        <v>14042850</v>
      </c>
      <c r="F59" s="447">
        <f>F56+F52+F50+F48+F45+F43+F40+F35+F31+F27+F24+F10+F8</f>
        <v>35706000</v>
      </c>
      <c r="G59" s="447"/>
      <c r="H59" s="447">
        <f t="shared" ref="H59:M59" si="7">H56+H52+H50+H48+H45+H43+H40+H35+H31+H27+H24+H10+H8</f>
        <v>0</v>
      </c>
      <c r="I59" s="447">
        <f t="shared" si="7"/>
        <v>0</v>
      </c>
      <c r="J59" s="447">
        <f t="shared" si="7"/>
        <v>0</v>
      </c>
      <c r="K59" s="447">
        <f t="shared" si="7"/>
        <v>0</v>
      </c>
      <c r="L59" s="447">
        <f t="shared" si="7"/>
        <v>0</v>
      </c>
      <c r="M59" s="447">
        <f t="shared" si="7"/>
        <v>35706000</v>
      </c>
      <c r="N59" s="447"/>
      <c r="O59" s="447">
        <f>O56+O52+O50+O48+O45+O43+O40+O35+O31+O27+O24+O10+O8</f>
        <v>0</v>
      </c>
      <c r="P59" s="277"/>
    </row>
  </sheetData>
  <mergeCells count="6">
    <mergeCell ref="A1:O1"/>
    <mergeCell ref="A2:O2"/>
    <mergeCell ref="A3:O3"/>
    <mergeCell ref="B5:F5"/>
    <mergeCell ref="H5:K5"/>
    <mergeCell ref="O5:P5"/>
  </mergeCells>
  <printOptions horizontalCentered="1"/>
  <pageMargins left="0.70866141732283472" right="0.70866141732283472" top="0.74803149606299213" bottom="0.74803149606299213" header="0.31496062992125984" footer="0.31496062992125984"/>
  <pageSetup paperSize="9" scale="52" orientation="landscape" r:id="rId1"/>
  <headerFooter>
    <oddFooter>&amp;R&amp;P</oddFooter>
  </headerFooter>
</worksheet>
</file>

<file path=xl/worksheets/sheet29.xml><?xml version="1.0" encoding="utf-8"?>
<worksheet xmlns="http://schemas.openxmlformats.org/spreadsheetml/2006/main" xmlns:r="http://schemas.openxmlformats.org/officeDocument/2006/relationships">
  <sheetPr>
    <pageSetUpPr fitToPage="1"/>
  </sheetPr>
  <dimension ref="A1:W79"/>
  <sheetViews>
    <sheetView tabSelected="1" view="pageBreakPreview" topLeftCell="N46" zoomScaleSheetLayoutView="100" workbookViewId="0">
      <selection activeCell="B43" sqref="B43"/>
    </sheetView>
  </sheetViews>
  <sheetFormatPr defaultRowHeight="12.75"/>
  <cols>
    <col min="1" max="1" width="2.28515625" style="837" customWidth="1"/>
    <col min="2" max="2" width="15.85546875" style="978" hidden="1" customWidth="1"/>
    <col min="3" max="3" width="2.28515625" style="978" hidden="1" customWidth="1"/>
    <col min="4" max="4" width="15.85546875" style="978" hidden="1" customWidth="1"/>
    <col min="5" max="5" width="2.28515625" style="978" hidden="1" customWidth="1"/>
    <col min="6" max="6" width="15.5703125" style="978" hidden="1" customWidth="1"/>
    <col min="7" max="7" width="2.28515625" style="837" hidden="1" customWidth="1"/>
    <col min="8" max="8" width="26.140625" style="837" customWidth="1"/>
    <col min="9" max="9" width="2.28515625" style="837" customWidth="1"/>
    <col min="10" max="10" width="15.5703125" style="978" bestFit="1" customWidth="1"/>
    <col min="11" max="11" width="2.28515625" style="978" customWidth="1"/>
    <col min="12" max="12" width="15.85546875" style="978" bestFit="1" customWidth="1"/>
    <col min="13" max="13" width="2.28515625" style="978" customWidth="1"/>
    <col min="14" max="14" width="15.5703125" style="978" bestFit="1" customWidth="1"/>
    <col min="15" max="15" width="2.28515625" style="837" customWidth="1"/>
    <col min="16" max="16" width="16.7109375" style="837" customWidth="1"/>
    <col min="17" max="17" width="9.140625" style="837"/>
    <col min="18" max="18" width="13.28515625" style="837" customWidth="1"/>
    <col min="19" max="19" width="9.140625" style="837"/>
    <col min="20" max="20" width="14.5703125" style="837" customWidth="1"/>
    <col min="21" max="21" width="9.140625" style="837"/>
    <col min="22" max="22" width="15" style="837" customWidth="1"/>
    <col min="23" max="23" width="2.28515625" style="837" customWidth="1"/>
    <col min="24" max="16384" width="9.140625" style="837"/>
  </cols>
  <sheetData>
    <row r="1" spans="1:23" ht="15">
      <c r="B1" s="1937" t="s">
        <v>1263</v>
      </c>
      <c r="C1" s="1937"/>
      <c r="D1" s="1937"/>
      <c r="E1" s="1937"/>
      <c r="F1" s="1937"/>
      <c r="G1" s="1937"/>
      <c r="H1" s="1937"/>
      <c r="I1" s="1937"/>
      <c r="J1" s="1937"/>
      <c r="K1" s="1937"/>
      <c r="L1" s="1937"/>
      <c r="M1" s="1937"/>
      <c r="N1" s="1937"/>
      <c r="O1" s="1936"/>
      <c r="P1" s="1936"/>
      <c r="Q1" s="1936"/>
      <c r="R1" s="1936"/>
      <c r="S1" s="1936"/>
      <c r="T1" s="1936"/>
      <c r="U1" s="1936"/>
      <c r="V1" s="1936"/>
    </row>
    <row r="2" spans="1:23" ht="15">
      <c r="B2" s="1937" t="s">
        <v>1264</v>
      </c>
      <c r="C2" s="1937"/>
      <c r="D2" s="1937"/>
      <c r="E2" s="1937"/>
      <c r="F2" s="1937"/>
      <c r="G2" s="1937"/>
      <c r="H2" s="1937"/>
      <c r="I2" s="1937"/>
      <c r="J2" s="1937"/>
      <c r="K2" s="1937"/>
      <c r="L2" s="1937"/>
      <c r="M2" s="1937"/>
      <c r="N2" s="1937"/>
      <c r="O2" s="1936"/>
      <c r="P2" s="1936"/>
      <c r="Q2" s="1936"/>
      <c r="R2" s="1936"/>
      <c r="S2" s="1936"/>
      <c r="T2" s="1936"/>
      <c r="U2" s="1936"/>
      <c r="V2" s="1936"/>
      <c r="W2" s="1936"/>
    </row>
    <row r="3" spans="1:23" ht="15">
      <c r="B3" s="1937" t="s">
        <v>3483</v>
      </c>
      <c r="C3" s="1937"/>
      <c r="D3" s="1937"/>
      <c r="E3" s="1937"/>
      <c r="F3" s="1937"/>
      <c r="G3" s="1937"/>
      <c r="H3" s="1937"/>
      <c r="I3" s="1937"/>
      <c r="J3" s="1937"/>
      <c r="K3" s="1937"/>
      <c r="L3" s="1937"/>
      <c r="M3" s="1937"/>
      <c r="N3" s="1937"/>
      <c r="O3" s="1936"/>
      <c r="P3" s="1936"/>
      <c r="Q3" s="1936"/>
      <c r="R3" s="1936"/>
      <c r="S3" s="1936"/>
      <c r="T3" s="1936"/>
      <c r="U3" s="1936"/>
      <c r="V3" s="1936"/>
      <c r="W3" s="1936"/>
    </row>
    <row r="5" spans="1:23">
      <c r="A5" s="1929"/>
      <c r="B5" s="1202" t="s">
        <v>1634</v>
      </c>
      <c r="C5" s="1931"/>
      <c r="D5" s="1202" t="s">
        <v>1634</v>
      </c>
      <c r="E5" s="1931"/>
      <c r="F5" s="1202" t="s">
        <v>1634</v>
      </c>
      <c r="G5" s="1933"/>
      <c r="H5" s="1933"/>
      <c r="I5" s="1933"/>
      <c r="J5" s="1202" t="s">
        <v>2651</v>
      </c>
      <c r="K5" s="1931"/>
      <c r="L5" s="1202" t="s">
        <v>2651</v>
      </c>
      <c r="M5" s="1931"/>
      <c r="N5" s="1202" t="s">
        <v>2651</v>
      </c>
      <c r="O5" s="1939"/>
      <c r="P5" s="1933"/>
      <c r="Q5" s="1933"/>
      <c r="R5" s="1202" t="s">
        <v>3484</v>
      </c>
      <c r="S5" s="1931"/>
      <c r="T5" s="1202" t="s">
        <v>3484</v>
      </c>
      <c r="U5" s="1931"/>
      <c r="V5" s="1202" t="s">
        <v>3484</v>
      </c>
      <c r="W5" s="839"/>
    </row>
    <row r="6" spans="1:23">
      <c r="A6" s="1930"/>
      <c r="B6" s="1203" t="s">
        <v>1111</v>
      </c>
      <c r="C6" s="1932"/>
      <c r="D6" s="1203" t="s">
        <v>1111</v>
      </c>
      <c r="E6" s="1932"/>
      <c r="F6" s="1203" t="s">
        <v>1248</v>
      </c>
      <c r="G6" s="1934"/>
      <c r="H6" s="1934"/>
      <c r="I6" s="1934"/>
      <c r="J6" s="1203" t="s">
        <v>1111</v>
      </c>
      <c r="K6" s="1932"/>
      <c r="L6" s="1203" t="s">
        <v>1111</v>
      </c>
      <c r="M6" s="1932"/>
      <c r="N6" s="1203" t="s">
        <v>1111</v>
      </c>
      <c r="O6" s="1938"/>
      <c r="P6" s="1934"/>
      <c r="Q6" s="1934"/>
      <c r="R6" s="1203" t="s">
        <v>1111</v>
      </c>
      <c r="S6" s="1932"/>
      <c r="T6" s="1203" t="s">
        <v>1111</v>
      </c>
      <c r="U6" s="1932"/>
      <c r="V6" s="1203" t="s">
        <v>1111</v>
      </c>
      <c r="W6" s="840"/>
    </row>
    <row r="7" spans="1:23">
      <c r="A7" s="1930"/>
      <c r="B7" s="1203" t="s">
        <v>499</v>
      </c>
      <c r="C7" s="1932"/>
      <c r="D7" s="1203" t="s">
        <v>501</v>
      </c>
      <c r="E7" s="1932"/>
      <c r="F7" s="1203" t="s">
        <v>1249</v>
      </c>
      <c r="G7" s="1934"/>
      <c r="H7" s="1934"/>
      <c r="I7" s="1934"/>
      <c r="J7" s="1203" t="s">
        <v>499</v>
      </c>
      <c r="K7" s="1932"/>
      <c r="L7" s="1203" t="s">
        <v>501</v>
      </c>
      <c r="M7" s="1932"/>
      <c r="N7" s="1203" t="s">
        <v>1248</v>
      </c>
      <c r="O7" s="1938"/>
      <c r="P7" s="1934"/>
      <c r="Q7" s="1934"/>
      <c r="R7" s="1203" t="s">
        <v>499</v>
      </c>
      <c r="S7" s="1932"/>
      <c r="T7" s="1203" t="s">
        <v>501</v>
      </c>
      <c r="U7" s="1932"/>
      <c r="V7" s="1203" t="s">
        <v>1248</v>
      </c>
      <c r="W7" s="840"/>
    </row>
    <row r="8" spans="1:23">
      <c r="A8" s="1930"/>
      <c r="B8" s="1203"/>
      <c r="C8" s="1932"/>
      <c r="D8" s="1203"/>
      <c r="E8" s="1932"/>
      <c r="F8" s="1203"/>
      <c r="G8" s="1934"/>
      <c r="H8" s="1934"/>
      <c r="I8" s="1934"/>
      <c r="J8" s="1203"/>
      <c r="K8" s="1932"/>
      <c r="L8" s="1203" t="s">
        <v>45</v>
      </c>
      <c r="M8" s="1932"/>
      <c r="N8" s="1203" t="s">
        <v>1249</v>
      </c>
      <c r="O8" s="1938"/>
      <c r="P8" s="1934"/>
      <c r="Q8" s="1934"/>
      <c r="R8" s="1203"/>
      <c r="S8" s="1932"/>
      <c r="T8" s="1203" t="s">
        <v>45</v>
      </c>
      <c r="U8" s="1932"/>
      <c r="V8" s="1203" t="s">
        <v>1249</v>
      </c>
      <c r="W8" s="840"/>
    </row>
    <row r="9" spans="1:23">
      <c r="A9" s="1930"/>
      <c r="B9" s="1203" t="s">
        <v>2422</v>
      </c>
      <c r="C9" s="1932"/>
      <c r="D9" s="1203" t="s">
        <v>2422</v>
      </c>
      <c r="E9" s="1932"/>
      <c r="F9" s="1203" t="s">
        <v>2422</v>
      </c>
      <c r="G9" s="1934"/>
      <c r="H9" s="1934"/>
      <c r="I9" s="1934"/>
      <c r="J9" s="1203" t="s">
        <v>2422</v>
      </c>
      <c r="K9" s="1932"/>
      <c r="L9" s="1203" t="s">
        <v>2422</v>
      </c>
      <c r="M9" s="1932"/>
      <c r="N9" s="1203" t="s">
        <v>2422</v>
      </c>
      <c r="O9" s="1938"/>
      <c r="P9" s="1934"/>
      <c r="Q9" s="1934"/>
      <c r="R9" s="1203" t="s">
        <v>2422</v>
      </c>
      <c r="S9" s="1932"/>
      <c r="T9" s="1203" t="s">
        <v>2422</v>
      </c>
      <c r="U9" s="1932"/>
      <c r="V9" s="1203" t="s">
        <v>2422</v>
      </c>
      <c r="W9" s="840"/>
    </row>
    <row r="10" spans="1:23" ht="25.5">
      <c r="A10" s="1204"/>
      <c r="B10" s="1205">
        <f>+B11</f>
        <v>8357782.709999999</v>
      </c>
      <c r="C10" s="793"/>
      <c r="D10" s="1205">
        <f>D11</f>
        <v>14628087.82</v>
      </c>
      <c r="E10" s="793"/>
      <c r="F10" s="1205">
        <f>F11</f>
        <v>-6270305.1100000013</v>
      </c>
      <c r="G10" s="792"/>
      <c r="H10" s="792" t="s">
        <v>1250</v>
      </c>
      <c r="I10" s="792"/>
      <c r="J10" s="1205">
        <f>J11</f>
        <v>102680380.59</v>
      </c>
      <c r="K10" s="793"/>
      <c r="L10" s="1205">
        <f>L11</f>
        <v>25310143.319999997</v>
      </c>
      <c r="M10" s="793"/>
      <c r="N10" s="1205">
        <f>N11</f>
        <v>77370237.270000011</v>
      </c>
      <c r="O10" s="1206"/>
      <c r="P10" s="792" t="s">
        <v>1250</v>
      </c>
      <c r="Q10" s="792"/>
      <c r="R10" s="1205">
        <f>R11</f>
        <v>9841314.3499999996</v>
      </c>
      <c r="S10" s="793"/>
      <c r="T10" s="1205">
        <f>T11</f>
        <v>27034042.279999997</v>
      </c>
      <c r="U10" s="793"/>
      <c r="V10" s="1205">
        <f>V11</f>
        <v>-17192727.93</v>
      </c>
      <c r="W10" s="840"/>
    </row>
    <row r="11" spans="1:23" ht="25.5">
      <c r="A11" s="1207"/>
      <c r="B11" s="1208">
        <f>-'TRAIL BALANCE'!E23</f>
        <v>8357782.709999999</v>
      </c>
      <c r="C11" s="884"/>
      <c r="D11" s="1208">
        <f>'TRAIL BALANCE'!E121+'TRAIL BALANCE'!E140+'TRAIL BALANCE'!E90</f>
        <v>14628087.82</v>
      </c>
      <c r="E11" s="884"/>
      <c r="F11" s="1208">
        <f>+B11-D11</f>
        <v>-6270305.1100000013</v>
      </c>
      <c r="G11" s="798"/>
      <c r="H11" s="798" t="s">
        <v>1250</v>
      </c>
      <c r="I11" s="798"/>
      <c r="J11" s="1208">
        <f>-'TRAIL BALANCE'!G23</f>
        <v>102680380.59</v>
      </c>
      <c r="K11" s="884"/>
      <c r="L11" s="1208">
        <f>'TRAIL BALANCE'!G121+'TRAIL BALANCE'!G140+'TRAIL BALANCE'!G90</f>
        <v>25310143.319999997</v>
      </c>
      <c r="M11" s="884"/>
      <c r="N11" s="1208">
        <f>+J11-L11</f>
        <v>77370237.270000011</v>
      </c>
      <c r="O11" s="1209"/>
      <c r="P11" s="798" t="s">
        <v>1250</v>
      </c>
      <c r="Q11" s="798"/>
      <c r="R11" s="1208">
        <f>-'TRAIL BALANCE'!S23</f>
        <v>9841314.3499999996</v>
      </c>
      <c r="S11" s="884"/>
      <c r="T11" s="1208">
        <f>'TRAIL BALANCE'!S121+'TRAIL BALANCE'!S140+'TRAIL BALANCE'!S90</f>
        <v>27034042.279999997</v>
      </c>
      <c r="U11" s="884"/>
      <c r="V11" s="1208">
        <f>+R11-T11</f>
        <v>-17192727.93</v>
      </c>
      <c r="W11" s="840"/>
    </row>
    <row r="12" spans="1:23">
      <c r="A12" s="1207"/>
      <c r="B12" s="1210"/>
      <c r="C12" s="884"/>
      <c r="D12" s="1210"/>
      <c r="E12" s="884"/>
      <c r="F12" s="1210"/>
      <c r="G12" s="798"/>
      <c r="H12" s="798"/>
      <c r="I12" s="798"/>
      <c r="J12" s="1210"/>
      <c r="K12" s="884"/>
      <c r="L12" s="1210"/>
      <c r="M12" s="884"/>
      <c r="N12" s="1210"/>
      <c r="O12" s="1209"/>
      <c r="P12" s="798"/>
      <c r="Q12" s="798"/>
      <c r="R12" s="1210"/>
      <c r="S12" s="884"/>
      <c r="T12" s="1210"/>
      <c r="U12" s="884"/>
      <c r="V12" s="1210"/>
      <c r="W12" s="840"/>
    </row>
    <row r="13" spans="1:23">
      <c r="A13" s="1207"/>
      <c r="B13" s="1205">
        <f>SUM(B14:B18)</f>
        <v>14088369.060000001</v>
      </c>
      <c r="C13" s="793"/>
      <c r="D13" s="1205">
        <f>SUM(D14:D18)</f>
        <v>18352421.220000003</v>
      </c>
      <c r="E13" s="793"/>
      <c r="F13" s="1205">
        <f>SUM(F14:F18)</f>
        <v>-4264052.1600000039</v>
      </c>
      <c r="G13" s="798"/>
      <c r="H13" s="792" t="s">
        <v>1251</v>
      </c>
      <c r="I13" s="792"/>
      <c r="J13" s="1205">
        <f>SUM(J14:J18)</f>
        <v>22940199.019999996</v>
      </c>
      <c r="K13" s="793"/>
      <c r="L13" s="1205">
        <f>SUM(L14:L18)</f>
        <v>25168797.450000003</v>
      </c>
      <c r="M13" s="793"/>
      <c r="N13" s="1205">
        <f>SUM(N14:N18)</f>
        <v>-2228598.4300000044</v>
      </c>
      <c r="O13" s="1206"/>
      <c r="P13" s="792" t="s">
        <v>1251</v>
      </c>
      <c r="Q13" s="792"/>
      <c r="R13" s="1205">
        <f>SUM(R14:R18)</f>
        <v>24745273.839999996</v>
      </c>
      <c r="S13" s="793"/>
      <c r="T13" s="1205">
        <f>SUM(T14:T18)</f>
        <v>26925955.09</v>
      </c>
      <c r="U13" s="793"/>
      <c r="V13" s="1205">
        <f>SUM(V14:V18)</f>
        <v>-2180681.2500000042</v>
      </c>
      <c r="W13" s="840"/>
    </row>
    <row r="14" spans="1:23">
      <c r="A14" s="1207"/>
      <c r="B14" s="1211">
        <f>-'TRAIL BALANCE'!E277</f>
        <v>12287369.060000001</v>
      </c>
      <c r="C14" s="884"/>
      <c r="D14" s="1211">
        <f>'TRAIL BALANCE'!E329+'TRAIL BALANCE'!E342-36000</f>
        <v>11834686.740000004</v>
      </c>
      <c r="E14" s="884"/>
      <c r="F14" s="1211">
        <f>+B14-D14</f>
        <v>452682.31999999657</v>
      </c>
      <c r="G14" s="798"/>
      <c r="H14" s="798" t="s">
        <v>1021</v>
      </c>
      <c r="I14" s="798"/>
      <c r="J14" s="1211">
        <f>-'TRAIL BALANCE'!G277</f>
        <v>17387086.759999998</v>
      </c>
      <c r="K14" s="884"/>
      <c r="L14" s="1211">
        <f>'TRAIL BALANCE'!G329+'TRAIL BALANCE'!G342</f>
        <v>16800680.670000002</v>
      </c>
      <c r="M14" s="884"/>
      <c r="N14" s="1211">
        <f>+J14-L14</f>
        <v>586406.08999999613</v>
      </c>
      <c r="O14" s="1209"/>
      <c r="P14" s="798" t="s">
        <v>1021</v>
      </c>
      <c r="Q14" s="798"/>
      <c r="R14" s="1211">
        <f>-'TRAIL BALANCE'!S277</f>
        <v>23227273.839999996</v>
      </c>
      <c r="S14" s="884"/>
      <c r="T14" s="1211">
        <f>'TRAIL BALANCE'!S329+'TRAIL BALANCE'!S342</f>
        <v>14675671.49</v>
      </c>
      <c r="U14" s="884"/>
      <c r="V14" s="1211">
        <f>+R14-T14</f>
        <v>8551602.3499999959</v>
      </c>
      <c r="W14" s="840"/>
    </row>
    <row r="15" spans="1:23">
      <c r="A15" s="1207"/>
      <c r="B15" s="1212">
        <v>0</v>
      </c>
      <c r="C15" s="884"/>
      <c r="D15" s="1212">
        <f>'TRAIL BALANCE'!E215</f>
        <v>527292.11</v>
      </c>
      <c r="E15" s="884"/>
      <c r="F15" s="1212">
        <f>+B15-D15</f>
        <v>-527292.11</v>
      </c>
      <c r="G15" s="798"/>
      <c r="H15" s="798" t="s">
        <v>1252</v>
      </c>
      <c r="I15" s="798"/>
      <c r="J15" s="1212">
        <v>0</v>
      </c>
      <c r="K15" s="884"/>
      <c r="L15" s="1212">
        <f>'TRAIL BALANCE'!G215</f>
        <v>782301</v>
      </c>
      <c r="M15" s="884"/>
      <c r="N15" s="1212">
        <f>+J15-L15</f>
        <v>-782301</v>
      </c>
      <c r="O15" s="1209"/>
      <c r="P15" s="798" t="s">
        <v>1252</v>
      </c>
      <c r="Q15" s="798"/>
      <c r="R15" s="1212">
        <v>0</v>
      </c>
      <c r="S15" s="884"/>
      <c r="T15" s="1212">
        <f>'TRAIL BALANCE'!S215</f>
        <v>540791.89</v>
      </c>
      <c r="U15" s="884"/>
      <c r="V15" s="1212">
        <f>+R15-T15</f>
        <v>-540791.89</v>
      </c>
      <c r="W15" s="840"/>
    </row>
    <row r="16" spans="1:23" ht="25.5">
      <c r="A16" s="1207"/>
      <c r="B16" s="1212">
        <f>-'TRAIL BALANCE'!E346</f>
        <v>1234000</v>
      </c>
      <c r="C16" s="884"/>
      <c r="D16" s="1212">
        <f>'TRAIL BALANCE'!E372</f>
        <v>1433110.47</v>
      </c>
      <c r="E16" s="884"/>
      <c r="F16" s="1212">
        <f>+B16-D16</f>
        <v>-199110.46999999997</v>
      </c>
      <c r="G16" s="798"/>
      <c r="H16" s="798" t="s">
        <v>1253</v>
      </c>
      <c r="I16" s="798"/>
      <c r="J16" s="1212">
        <f>-'TRAIL BALANCE'!G346</f>
        <v>735000</v>
      </c>
      <c r="K16" s="884"/>
      <c r="L16" s="1212">
        <f>'TRAIL BALANCE'!G372</f>
        <v>2053426.78</v>
      </c>
      <c r="M16" s="884"/>
      <c r="N16" s="1212">
        <f>+J16-L16</f>
        <v>-1318426.78</v>
      </c>
      <c r="O16" s="1209"/>
      <c r="P16" s="798" t="s">
        <v>1253</v>
      </c>
      <c r="Q16" s="798"/>
      <c r="R16" s="1212">
        <f>-'TRAIL BALANCE'!S346</f>
        <v>735000</v>
      </c>
      <c r="S16" s="884"/>
      <c r="T16" s="1212">
        <f>'TRAIL BALANCE'!S372</f>
        <v>3137428.6</v>
      </c>
      <c r="U16" s="884"/>
      <c r="V16" s="1212">
        <f>+R16-T16</f>
        <v>-2402428.6</v>
      </c>
      <c r="W16" s="840"/>
    </row>
    <row r="17" spans="1:23">
      <c r="A17" s="1207"/>
      <c r="B17" s="1212">
        <v>0</v>
      </c>
      <c r="C17" s="884"/>
      <c r="D17" s="1212">
        <f>'TRAIL BALANCE'!E619</f>
        <v>720232.53</v>
      </c>
      <c r="E17" s="884"/>
      <c r="F17" s="1212">
        <f>+B17-D17</f>
        <v>-720232.53</v>
      </c>
      <c r="G17" s="798"/>
      <c r="H17" s="798" t="s">
        <v>1254</v>
      </c>
      <c r="I17" s="798"/>
      <c r="J17" s="1212">
        <f>-'TRAIL BALANCE'!G594</f>
        <v>4485112.26</v>
      </c>
      <c r="K17" s="884"/>
      <c r="L17" s="1212">
        <f>'TRAIL BALANCE'!G619</f>
        <v>973919.96000000008</v>
      </c>
      <c r="M17" s="884"/>
      <c r="N17" s="1212">
        <f>+J17-L17</f>
        <v>3511192.3</v>
      </c>
      <c r="O17" s="1209"/>
      <c r="P17" s="798" t="s">
        <v>1254</v>
      </c>
      <c r="Q17" s="798"/>
      <c r="R17" s="1212">
        <f>-'TRAIL BALANCE'!S594</f>
        <v>783000</v>
      </c>
      <c r="S17" s="884"/>
      <c r="T17" s="1212">
        <f>'TRAIL BALANCE'!S619</f>
        <v>5727078.75</v>
      </c>
      <c r="U17" s="884"/>
      <c r="V17" s="1212">
        <f>+R17-T17</f>
        <v>-4944078.75</v>
      </c>
      <c r="W17" s="840"/>
    </row>
    <row r="18" spans="1:23">
      <c r="A18" s="1207"/>
      <c r="B18" s="1213">
        <f>-'TRAIL BALANCE'!E157</f>
        <v>567000</v>
      </c>
      <c r="C18" s="884"/>
      <c r="D18" s="1213">
        <f>'TRAIL BALANCE'!E171+'TRAIL BALANCE'!E201</f>
        <v>3837099.37</v>
      </c>
      <c r="E18" s="884"/>
      <c r="F18" s="1213">
        <f>+B18-D18</f>
        <v>-3270099.37</v>
      </c>
      <c r="G18" s="798"/>
      <c r="H18" s="798" t="s">
        <v>1255</v>
      </c>
      <c r="I18" s="798"/>
      <c r="J18" s="1213">
        <f>-'TRAIL BALANCE'!G157</f>
        <v>333000</v>
      </c>
      <c r="K18" s="884"/>
      <c r="L18" s="1213">
        <f>'TRAIL BALANCE'!G171+'TRAIL BALANCE'!G201</f>
        <v>4558469.04</v>
      </c>
      <c r="M18" s="884"/>
      <c r="N18" s="1213">
        <f>+J18-L18</f>
        <v>-4225469.04</v>
      </c>
      <c r="O18" s="1209"/>
      <c r="P18" s="798" t="s">
        <v>1255</v>
      </c>
      <c r="Q18" s="798"/>
      <c r="R18" s="1213">
        <f>-'TRAIL BALANCE'!S157</f>
        <v>0</v>
      </c>
      <c r="S18" s="884"/>
      <c r="T18" s="1213">
        <f>'TRAIL BALANCE'!S171+'TRAIL BALANCE'!S201</f>
        <v>2844984.36</v>
      </c>
      <c r="U18" s="884"/>
      <c r="V18" s="1213">
        <f>+R18-T18</f>
        <v>-2844984.36</v>
      </c>
      <c r="W18" s="840"/>
    </row>
    <row r="19" spans="1:23">
      <c r="A19" s="1207"/>
      <c r="B19" s="884"/>
      <c r="C19" s="884"/>
      <c r="D19" s="1210"/>
      <c r="E19" s="884"/>
      <c r="F19" s="884"/>
      <c r="G19" s="798"/>
      <c r="H19" s="798"/>
      <c r="I19" s="798"/>
      <c r="J19" s="884"/>
      <c r="K19" s="884"/>
      <c r="L19" s="1210"/>
      <c r="M19" s="884"/>
      <c r="N19" s="884"/>
      <c r="O19" s="1209"/>
      <c r="P19" s="798"/>
      <c r="Q19" s="798"/>
      <c r="R19" s="884"/>
      <c r="S19" s="884"/>
      <c r="T19" s="1210"/>
      <c r="U19" s="884"/>
      <c r="V19" s="884"/>
      <c r="W19" s="840"/>
    </row>
    <row r="20" spans="1:23" ht="25.5">
      <c r="A20" s="1207"/>
      <c r="B20" s="1205">
        <f>SUM(B21:B24)</f>
        <v>4908</v>
      </c>
      <c r="C20" s="793"/>
      <c r="D20" s="1205">
        <f>SUM(D21:D24)</f>
        <v>1351293.58</v>
      </c>
      <c r="E20" s="793"/>
      <c r="F20" s="1205">
        <f>SUM(F21:F24)</f>
        <v>-1346385.58</v>
      </c>
      <c r="G20" s="798"/>
      <c r="H20" s="792" t="s">
        <v>1256</v>
      </c>
      <c r="I20" s="792"/>
      <c r="J20" s="1205">
        <f>SUM(J21:J24)</f>
        <v>0</v>
      </c>
      <c r="K20" s="793"/>
      <c r="L20" s="1205">
        <f>SUM(L21:L24)</f>
        <v>1647612.07</v>
      </c>
      <c r="M20" s="793"/>
      <c r="N20" s="1205">
        <f>SUM(N21:N24)</f>
        <v>-1647612.07</v>
      </c>
      <c r="O20" s="1209"/>
      <c r="P20" s="792" t="s">
        <v>1256</v>
      </c>
      <c r="Q20" s="792"/>
      <c r="R20" s="1205">
        <f>SUM(R21:R24)</f>
        <v>0</v>
      </c>
      <c r="S20" s="793"/>
      <c r="T20" s="1205">
        <f>SUM(T21:T24)</f>
        <v>1660603.6799999995</v>
      </c>
      <c r="U20" s="793"/>
      <c r="V20" s="1205">
        <f>SUM(V21:V24)</f>
        <v>-1660603.6799999995</v>
      </c>
      <c r="W20" s="840"/>
    </row>
    <row r="21" spans="1:23">
      <c r="A21" s="1207"/>
      <c r="B21" s="1211">
        <f>-'TRAIL BALANCE'!E594</f>
        <v>4908</v>
      </c>
      <c r="C21" s="884"/>
      <c r="D21" s="1211">
        <f>'TRAIL BALANCE'!E538+'TRAIL BALANCE'!E154</f>
        <v>1027770.61</v>
      </c>
      <c r="E21" s="884"/>
      <c r="F21" s="1212">
        <f>+B21-D21</f>
        <v>-1022862.61</v>
      </c>
      <c r="G21" s="798"/>
      <c r="H21" s="798" t="s">
        <v>689</v>
      </c>
      <c r="I21" s="798"/>
      <c r="J21" s="1211">
        <v>0</v>
      </c>
      <c r="K21" s="884"/>
      <c r="L21" s="1211">
        <f>'TRAIL BALANCE'!G538+'TRAIL BALANCE'!G154</f>
        <v>1369436.3900000001</v>
      </c>
      <c r="M21" s="884"/>
      <c r="N21" s="1211">
        <f>+J21-L21</f>
        <v>-1369436.3900000001</v>
      </c>
      <c r="O21" s="1209"/>
      <c r="P21" s="798" t="s">
        <v>689</v>
      </c>
      <c r="Q21" s="798"/>
      <c r="R21" s="1211">
        <v>0</v>
      </c>
      <c r="S21" s="884"/>
      <c r="T21" s="1211">
        <f>'TRAIL BALANCE'!S538+'TRAIL BALANCE'!S154</f>
        <v>1162551.9199999997</v>
      </c>
      <c r="U21" s="884"/>
      <c r="V21" s="1211">
        <f>+R21-T21</f>
        <v>-1162551.9199999997</v>
      </c>
      <c r="W21" s="840"/>
    </row>
    <row r="22" spans="1:23">
      <c r="A22" s="1207"/>
      <c r="B22" s="1212">
        <v>0</v>
      </c>
      <c r="C22" s="884"/>
      <c r="D22" s="1212">
        <f>'TRAIL BALANCE'!E689</f>
        <v>11265.060000000001</v>
      </c>
      <c r="E22" s="884"/>
      <c r="F22" s="1212">
        <f>+B22-D22</f>
        <v>-11265.060000000001</v>
      </c>
      <c r="G22" s="798"/>
      <c r="H22" s="798" t="s">
        <v>460</v>
      </c>
      <c r="I22" s="798"/>
      <c r="J22" s="1212">
        <v>0</v>
      </c>
      <c r="K22" s="884"/>
      <c r="L22" s="1212">
        <f>'TRAIL BALANCE'!G689</f>
        <v>350.78000000000003</v>
      </c>
      <c r="M22" s="884"/>
      <c r="N22" s="1212">
        <f>+J22-L22</f>
        <v>-350.78000000000003</v>
      </c>
      <c r="O22" s="1209"/>
      <c r="P22" s="798" t="s">
        <v>460</v>
      </c>
      <c r="Q22" s="798"/>
      <c r="R22" s="1212">
        <v>0</v>
      </c>
      <c r="S22" s="884"/>
      <c r="T22" s="1212">
        <f>'TRAIL BALANCE'!S689</f>
        <v>2446.89</v>
      </c>
      <c r="U22" s="884"/>
      <c r="V22" s="1212">
        <f>+R22-T22</f>
        <v>-2446.89</v>
      </c>
      <c r="W22" s="840"/>
    </row>
    <row r="23" spans="1:23">
      <c r="A23" s="1207"/>
      <c r="B23" s="1212">
        <v>0</v>
      </c>
      <c r="C23" s="884"/>
      <c r="D23" s="1212">
        <f>'TRAIL BALANCE'!E706</f>
        <v>268694.11</v>
      </c>
      <c r="E23" s="884"/>
      <c r="F23" s="1212">
        <f>+B23-D23</f>
        <v>-268694.11</v>
      </c>
      <c r="G23" s="798"/>
      <c r="H23" s="798" t="s">
        <v>458</v>
      </c>
      <c r="I23" s="798"/>
      <c r="J23" s="1212">
        <v>0</v>
      </c>
      <c r="K23" s="884"/>
      <c r="L23" s="1212">
        <f>'TRAIL BALANCE'!G706</f>
        <v>230486.40999999997</v>
      </c>
      <c r="M23" s="884"/>
      <c r="N23" s="1212">
        <f>+J23-L23</f>
        <v>-230486.40999999997</v>
      </c>
      <c r="O23" s="1209"/>
      <c r="P23" s="798" t="s">
        <v>458</v>
      </c>
      <c r="Q23" s="798"/>
      <c r="R23" s="1212">
        <v>0</v>
      </c>
      <c r="S23" s="884"/>
      <c r="T23" s="1212">
        <f>'TRAIL BALANCE'!S706</f>
        <v>433406.38999999996</v>
      </c>
      <c r="U23" s="884"/>
      <c r="V23" s="1212">
        <f>+R23-T23</f>
        <v>-433406.38999999996</v>
      </c>
      <c r="W23" s="840"/>
    </row>
    <row r="24" spans="1:23">
      <c r="A24" s="1207"/>
      <c r="B24" s="1213">
        <v>0</v>
      </c>
      <c r="C24" s="884"/>
      <c r="D24" s="1213">
        <f>'TRAIL BALANCE'!E713</f>
        <v>43563.8</v>
      </c>
      <c r="E24" s="884"/>
      <c r="F24" s="1212">
        <f>+B24-D24</f>
        <v>-43563.8</v>
      </c>
      <c r="G24" s="798"/>
      <c r="H24" s="798" t="s">
        <v>461</v>
      </c>
      <c r="I24" s="798"/>
      <c r="J24" s="1213">
        <v>0</v>
      </c>
      <c r="K24" s="884"/>
      <c r="L24" s="1213">
        <f>'TRAIL BALANCE'!G713</f>
        <v>47338.490000000005</v>
      </c>
      <c r="M24" s="884"/>
      <c r="N24" s="1213">
        <f>+J24-L24</f>
        <v>-47338.490000000005</v>
      </c>
      <c r="O24" s="1209"/>
      <c r="P24" s="798" t="s">
        <v>461</v>
      </c>
      <c r="Q24" s="798"/>
      <c r="R24" s="1213">
        <v>0</v>
      </c>
      <c r="S24" s="884"/>
      <c r="T24" s="1213">
        <f>'TRAIL BALANCE'!S713</f>
        <v>62198.479999999996</v>
      </c>
      <c r="U24" s="884"/>
      <c r="V24" s="1213">
        <f>+R24-T24</f>
        <v>-62198.479999999996</v>
      </c>
      <c r="W24" s="840"/>
    </row>
    <row r="25" spans="1:23">
      <c r="A25" s="1207"/>
      <c r="B25" s="1210"/>
      <c r="C25" s="884"/>
      <c r="D25" s="1210"/>
      <c r="E25" s="884"/>
      <c r="F25" s="1210"/>
      <c r="G25" s="798"/>
      <c r="H25" s="798"/>
      <c r="I25" s="798"/>
      <c r="J25" s="1210"/>
      <c r="K25" s="884"/>
      <c r="L25" s="1210"/>
      <c r="M25" s="884"/>
      <c r="N25" s="1210"/>
      <c r="O25" s="1209"/>
      <c r="P25" s="798"/>
      <c r="Q25" s="798"/>
      <c r="R25" s="1210"/>
      <c r="S25" s="884"/>
      <c r="T25" s="1210"/>
      <c r="U25" s="884"/>
      <c r="V25" s="1210"/>
      <c r="W25" s="840"/>
    </row>
    <row r="26" spans="1:23">
      <c r="A26" s="1207"/>
      <c r="B26" s="1205">
        <f>SUM(B27:B28)</f>
        <v>0</v>
      </c>
      <c r="C26" s="793"/>
      <c r="D26" s="1205">
        <f>SUM(D27:D28)</f>
        <v>468963.62</v>
      </c>
      <c r="E26" s="793"/>
      <c r="F26" s="1205">
        <f>SUM(F27:F28)</f>
        <v>-468963.62</v>
      </c>
      <c r="G26" s="798"/>
      <c r="H26" s="792" t="s">
        <v>1257</v>
      </c>
      <c r="I26" s="792"/>
      <c r="J26" s="1205">
        <f>SUM(J27:J28)</f>
        <v>0</v>
      </c>
      <c r="K26" s="793"/>
      <c r="L26" s="1205">
        <f>SUM(L27:L28)</f>
        <v>145530.77999999997</v>
      </c>
      <c r="M26" s="793"/>
      <c r="N26" s="1205">
        <f>SUM(N27:N28)</f>
        <v>-145530.77999999997</v>
      </c>
      <c r="O26" s="1209"/>
      <c r="P26" s="792" t="s">
        <v>1257</v>
      </c>
      <c r="Q26" s="792"/>
      <c r="R26" s="1205">
        <f>SUM(R27:R28)</f>
        <v>0</v>
      </c>
      <c r="S26" s="793"/>
      <c r="T26" s="1205">
        <f>SUM(T27:T28)</f>
        <v>24954.050000000003</v>
      </c>
      <c r="U26" s="793"/>
      <c r="V26" s="1205">
        <f>SUM(V27:V28)</f>
        <v>-24954.050000000003</v>
      </c>
      <c r="W26" s="840"/>
    </row>
    <row r="27" spans="1:23">
      <c r="A27" s="1207"/>
      <c r="B27" s="1211">
        <v>0</v>
      </c>
      <c r="C27" s="884"/>
      <c r="D27" s="1211">
        <v>0</v>
      </c>
      <c r="E27" s="884"/>
      <c r="F27" s="1211">
        <f>+B27-D27</f>
        <v>0</v>
      </c>
      <c r="G27" s="798"/>
      <c r="H27" s="798" t="s">
        <v>773</v>
      </c>
      <c r="I27" s="798"/>
      <c r="J27" s="1211">
        <v>0</v>
      </c>
      <c r="K27" s="884"/>
      <c r="L27" s="1211">
        <v>0</v>
      </c>
      <c r="M27" s="884"/>
      <c r="N27" s="1211">
        <f>+J27-L27</f>
        <v>0</v>
      </c>
      <c r="O27" s="1209"/>
      <c r="P27" s="798" t="s">
        <v>773</v>
      </c>
      <c r="Q27" s="798"/>
      <c r="R27" s="1211">
        <v>0</v>
      </c>
      <c r="S27" s="884"/>
      <c r="T27" s="1211">
        <v>0</v>
      </c>
      <c r="U27" s="884"/>
      <c r="V27" s="1211">
        <f>+R27-T27</f>
        <v>0</v>
      </c>
      <c r="W27" s="840"/>
    </row>
    <row r="28" spans="1:23">
      <c r="A28" s="1207"/>
      <c r="B28" s="1213">
        <v>0</v>
      </c>
      <c r="C28" s="884"/>
      <c r="D28" s="1213">
        <f>'TRAIL BALANCE'!E409</f>
        <v>468963.62</v>
      </c>
      <c r="E28" s="884"/>
      <c r="F28" s="1213">
        <f>+B28-D28</f>
        <v>-468963.62</v>
      </c>
      <c r="G28" s="798"/>
      <c r="H28" s="798" t="s">
        <v>1258</v>
      </c>
      <c r="I28" s="798"/>
      <c r="J28" s="1213">
        <v>0</v>
      </c>
      <c r="K28" s="884"/>
      <c r="L28" s="1213">
        <f>'TRAIL BALANCE'!G409</f>
        <v>145530.77999999997</v>
      </c>
      <c r="M28" s="884"/>
      <c r="N28" s="1213">
        <f>+J28-L28</f>
        <v>-145530.77999999997</v>
      </c>
      <c r="O28" s="1209"/>
      <c r="P28" s="798" t="s">
        <v>1258</v>
      </c>
      <c r="Q28" s="798"/>
      <c r="R28" s="1213">
        <v>0</v>
      </c>
      <c r="S28" s="884"/>
      <c r="T28" s="1213">
        <f>'TRAIL BALANCE'!S409</f>
        <v>24954.050000000003</v>
      </c>
      <c r="U28" s="884"/>
      <c r="V28" s="1213">
        <f>+R28-T28</f>
        <v>-24954.050000000003</v>
      </c>
      <c r="W28" s="840"/>
    </row>
    <row r="29" spans="1:23">
      <c r="A29" s="1207"/>
      <c r="B29" s="884"/>
      <c r="C29" s="884"/>
      <c r="D29" s="1210"/>
      <c r="E29" s="884"/>
      <c r="F29" s="884"/>
      <c r="G29" s="798"/>
      <c r="H29" s="798"/>
      <c r="I29" s="798"/>
      <c r="J29" s="884"/>
      <c r="K29" s="884"/>
      <c r="L29" s="1210"/>
      <c r="M29" s="884"/>
      <c r="N29" s="884"/>
      <c r="O29" s="1209"/>
      <c r="P29" s="798"/>
      <c r="Q29" s="798"/>
      <c r="R29" s="884"/>
      <c r="S29" s="884"/>
      <c r="T29" s="1210"/>
      <c r="U29" s="884"/>
      <c r="V29" s="884"/>
      <c r="W29" s="840"/>
    </row>
    <row r="30" spans="1:23" ht="25.5">
      <c r="A30" s="1207"/>
      <c r="B30" s="1205">
        <f>SUM(B31:B34)</f>
        <v>649455.90000000014</v>
      </c>
      <c r="C30" s="793"/>
      <c r="D30" s="1205">
        <f>SUM(D31:D34)</f>
        <v>793933.46</v>
      </c>
      <c r="E30" s="793"/>
      <c r="F30" s="1205">
        <f>SUM(F31:F34)</f>
        <v>-144477.56</v>
      </c>
      <c r="G30" s="798"/>
      <c r="H30" s="792" t="s">
        <v>1259</v>
      </c>
      <c r="I30" s="792"/>
      <c r="J30" s="1205">
        <f>SUM(J31:J34)</f>
        <v>106135.19</v>
      </c>
      <c r="K30" s="793"/>
      <c r="L30" s="1205">
        <f>SUM(L31:L34)</f>
        <v>888593.22</v>
      </c>
      <c r="M30" s="793"/>
      <c r="N30" s="1205">
        <f>SUM(N31:N34)</f>
        <v>-782458.03</v>
      </c>
      <c r="O30" s="1209"/>
      <c r="P30" s="792" t="s">
        <v>1259</v>
      </c>
      <c r="Q30" s="792"/>
      <c r="R30" s="1205">
        <f>SUM(R31:R34)</f>
        <v>112244.03</v>
      </c>
      <c r="S30" s="793"/>
      <c r="T30" s="1205">
        <f>SUM(T31:T34)</f>
        <v>692421.84999999986</v>
      </c>
      <c r="U30" s="793"/>
      <c r="V30" s="1205">
        <f>SUM(V31:V34)</f>
        <v>-580177.81999999983</v>
      </c>
      <c r="W30" s="840"/>
    </row>
    <row r="31" spans="1:23">
      <c r="A31" s="1207"/>
      <c r="B31" s="1211">
        <f>-'TRAIL BALANCE'!E218</f>
        <v>10960.29</v>
      </c>
      <c r="C31" s="884"/>
      <c r="D31" s="1211">
        <f>'TRAIL BALANCE'!E246</f>
        <v>285877.21999999997</v>
      </c>
      <c r="E31" s="884"/>
      <c r="F31" s="1211">
        <f>+B31-D31</f>
        <v>-274916.93</v>
      </c>
      <c r="G31" s="798"/>
      <c r="H31" s="798" t="s">
        <v>772</v>
      </c>
      <c r="I31" s="798"/>
      <c r="J31" s="1211">
        <f>-'TRAIL BALANCE'!G218</f>
        <v>11747.43</v>
      </c>
      <c r="K31" s="884"/>
      <c r="L31" s="1211">
        <f>'TRAIL BALANCE'!G246</f>
        <v>302028.68999999994</v>
      </c>
      <c r="M31" s="884"/>
      <c r="N31" s="1211">
        <f>+J31-L31</f>
        <v>-290281.25999999995</v>
      </c>
      <c r="O31" s="1209"/>
      <c r="P31" s="798" t="s">
        <v>772</v>
      </c>
      <c r="Q31" s="798"/>
      <c r="R31" s="1211">
        <f>-'TRAIL BALANCE'!S218</f>
        <v>7621.47</v>
      </c>
      <c r="S31" s="884"/>
      <c r="T31" s="1211">
        <f>'TRAIL BALANCE'!S246</f>
        <v>184259.88</v>
      </c>
      <c r="U31" s="884"/>
      <c r="V31" s="1211">
        <f>+R31-T31</f>
        <v>-176638.41</v>
      </c>
      <c r="W31" s="840"/>
    </row>
    <row r="32" spans="1:23" ht="25.5">
      <c r="A32" s="1207"/>
      <c r="B32" s="1212">
        <v>0</v>
      </c>
      <c r="C32" s="884"/>
      <c r="D32" s="1212">
        <f>'TRAIL BALANCE'!E270+'TRAIL BALANCE'!E743</f>
        <v>343877.42000000004</v>
      </c>
      <c r="E32" s="884"/>
      <c r="F32" s="1212">
        <f>+B32-D32</f>
        <v>-343877.42000000004</v>
      </c>
      <c r="G32" s="798"/>
      <c r="H32" s="798" t="s">
        <v>2725</v>
      </c>
      <c r="I32" s="798"/>
      <c r="J32" s="1212">
        <v>0</v>
      </c>
      <c r="K32" s="884"/>
      <c r="L32" s="1212">
        <f>'TRAIL BALANCE'!G270+'TRAIL BALANCE'!G743</f>
        <v>403742.75000000006</v>
      </c>
      <c r="M32" s="884"/>
      <c r="N32" s="1212">
        <f>+J32-L32</f>
        <v>-403742.75000000006</v>
      </c>
      <c r="O32" s="1209"/>
      <c r="P32" s="798" t="s">
        <v>2725</v>
      </c>
      <c r="Q32" s="798"/>
      <c r="R32" s="1212">
        <v>0</v>
      </c>
      <c r="S32" s="884"/>
      <c r="T32" s="1212">
        <f>'TRAIL BALANCE'!S270+'TRAIL BALANCE'!S743</f>
        <v>309370.23999999993</v>
      </c>
      <c r="U32" s="884"/>
      <c r="V32" s="1212">
        <f>+R32-T32</f>
        <v>-309370.23999999993</v>
      </c>
      <c r="W32" s="840"/>
    </row>
    <row r="33" spans="1:23" ht="25.5">
      <c r="A33" s="1207"/>
      <c r="B33" s="1212">
        <v>0</v>
      </c>
      <c r="C33" s="884"/>
      <c r="D33" s="1212">
        <v>0</v>
      </c>
      <c r="E33" s="884"/>
      <c r="F33" s="1212">
        <f>+B33-D33</f>
        <v>0</v>
      </c>
      <c r="G33" s="798"/>
      <c r="H33" s="798" t="s">
        <v>2723</v>
      </c>
      <c r="I33" s="798"/>
      <c r="J33" s="1212">
        <v>0</v>
      </c>
      <c r="K33" s="884"/>
      <c r="L33" s="1212">
        <f>'TRAIL BALANCE'!G763</f>
        <v>4850</v>
      </c>
      <c r="M33" s="884"/>
      <c r="N33" s="1212">
        <f>+J33-L33</f>
        <v>-4850</v>
      </c>
      <c r="O33" s="1209"/>
      <c r="P33" s="798" t="s">
        <v>2723</v>
      </c>
      <c r="Q33" s="798"/>
      <c r="R33" s="1212">
        <v>0</v>
      </c>
      <c r="S33" s="884"/>
      <c r="T33" s="1212">
        <f>'TRAIL BALANCE'!S763</f>
        <v>5202.58</v>
      </c>
      <c r="U33" s="884"/>
      <c r="V33" s="1212">
        <f>+R33-T33</f>
        <v>-5202.58</v>
      </c>
      <c r="W33" s="840"/>
    </row>
    <row r="34" spans="1:23">
      <c r="A34" s="1207"/>
      <c r="B34" s="1213">
        <f>-'TRAIL BALANCE'!E443</f>
        <v>638495.6100000001</v>
      </c>
      <c r="C34" s="884"/>
      <c r="D34" s="1213">
        <f>'TRAIL BALANCE'!E465</f>
        <v>164178.82</v>
      </c>
      <c r="E34" s="884"/>
      <c r="F34" s="1213">
        <f>+B34-D34</f>
        <v>474316.7900000001</v>
      </c>
      <c r="G34" s="798"/>
      <c r="H34" s="798" t="s">
        <v>1260</v>
      </c>
      <c r="I34" s="798"/>
      <c r="J34" s="1213">
        <f>-'TRAIL BALANCE'!G443</f>
        <v>94387.76</v>
      </c>
      <c r="K34" s="884"/>
      <c r="L34" s="1213">
        <f>'TRAIL BALANCE'!G465</f>
        <v>177971.78</v>
      </c>
      <c r="M34" s="884"/>
      <c r="N34" s="1213">
        <f>+J34-L34</f>
        <v>-83584.02</v>
      </c>
      <c r="O34" s="1209"/>
      <c r="P34" s="798" t="s">
        <v>1260</v>
      </c>
      <c r="Q34" s="798"/>
      <c r="R34" s="1213">
        <f>-'TRAIL BALANCE'!S443</f>
        <v>104622.56</v>
      </c>
      <c r="S34" s="884"/>
      <c r="T34" s="1213">
        <f>'TRAIL BALANCE'!S465</f>
        <v>193589.14999999997</v>
      </c>
      <c r="U34" s="884"/>
      <c r="V34" s="1213">
        <f>+R34-T34</f>
        <v>-88966.589999999967</v>
      </c>
      <c r="W34" s="840"/>
    </row>
    <row r="35" spans="1:23">
      <c r="A35" s="1207"/>
      <c r="B35" s="884"/>
      <c r="C35" s="884"/>
      <c r="D35" s="1210"/>
      <c r="E35" s="884"/>
      <c r="F35" s="884"/>
      <c r="G35" s="798"/>
      <c r="H35" s="798"/>
      <c r="I35" s="798"/>
      <c r="J35" s="884"/>
      <c r="K35" s="884"/>
      <c r="L35" s="1210"/>
      <c r="M35" s="884"/>
      <c r="N35" s="884"/>
      <c r="O35" s="1209"/>
      <c r="P35" s="798"/>
      <c r="Q35" s="798"/>
      <c r="R35" s="884"/>
      <c r="S35" s="884"/>
      <c r="T35" s="1210"/>
      <c r="U35" s="884"/>
      <c r="V35" s="884"/>
      <c r="W35" s="840"/>
    </row>
    <row r="36" spans="1:23">
      <c r="A36" s="1207"/>
      <c r="B36" s="1205">
        <f>B37</f>
        <v>0</v>
      </c>
      <c r="C36" s="793"/>
      <c r="D36" s="1205">
        <f>D37</f>
        <v>3731.7400000000002</v>
      </c>
      <c r="E36" s="793"/>
      <c r="F36" s="1205">
        <f>F37</f>
        <v>-3731.7400000000002</v>
      </c>
      <c r="G36" s="798"/>
      <c r="H36" s="792" t="s">
        <v>767</v>
      </c>
      <c r="I36" s="792"/>
      <c r="J36" s="1205">
        <f>J37</f>
        <v>0</v>
      </c>
      <c r="K36" s="793"/>
      <c r="L36" s="1205">
        <f>L37</f>
        <v>8241.4500000000007</v>
      </c>
      <c r="M36" s="793"/>
      <c r="N36" s="1205">
        <f>N37</f>
        <v>-8241.4500000000007</v>
      </c>
      <c r="O36" s="1209"/>
      <c r="P36" s="792" t="s">
        <v>767</v>
      </c>
      <c r="Q36" s="792"/>
      <c r="R36" s="1205">
        <f>R37</f>
        <v>0</v>
      </c>
      <c r="S36" s="793"/>
      <c r="T36" s="1205">
        <f>T37</f>
        <v>704.11</v>
      </c>
      <c r="U36" s="793"/>
      <c r="V36" s="1205">
        <f>V37</f>
        <v>-704.11</v>
      </c>
      <c r="W36" s="840"/>
    </row>
    <row r="37" spans="1:23">
      <c r="A37" s="1207"/>
      <c r="B37" s="1208">
        <v>0</v>
      </c>
      <c r="C37" s="884"/>
      <c r="D37" s="1208">
        <f>'TRAIL BALANCE'!E733</f>
        <v>3731.7400000000002</v>
      </c>
      <c r="E37" s="884"/>
      <c r="F37" s="1208">
        <f>+B37-D37</f>
        <v>-3731.7400000000002</v>
      </c>
      <c r="G37" s="798"/>
      <c r="H37" s="798" t="s">
        <v>767</v>
      </c>
      <c r="I37" s="798"/>
      <c r="J37" s="1208">
        <v>0</v>
      </c>
      <c r="K37" s="884"/>
      <c r="L37" s="1208">
        <f>'TRAIL BALANCE'!G733</f>
        <v>8241.4500000000007</v>
      </c>
      <c r="M37" s="884"/>
      <c r="N37" s="1208">
        <f>+J37-L37</f>
        <v>-8241.4500000000007</v>
      </c>
      <c r="O37" s="1209"/>
      <c r="P37" s="798" t="s">
        <v>767</v>
      </c>
      <c r="Q37" s="798"/>
      <c r="R37" s="1208">
        <v>0</v>
      </c>
      <c r="S37" s="884"/>
      <c r="T37" s="1208">
        <f>'TRAIL BALANCE'!S733</f>
        <v>704.11</v>
      </c>
      <c r="U37" s="884"/>
      <c r="V37" s="1208">
        <f>+R37-T37</f>
        <v>-704.11</v>
      </c>
      <c r="W37" s="840"/>
    </row>
    <row r="38" spans="1:23">
      <c r="A38" s="1207"/>
      <c r="B38" s="884"/>
      <c r="C38" s="884"/>
      <c r="D38" s="1210"/>
      <c r="E38" s="884"/>
      <c r="F38" s="884"/>
      <c r="G38" s="798"/>
      <c r="H38" s="798"/>
      <c r="I38" s="798"/>
      <c r="J38" s="884"/>
      <c r="K38" s="884"/>
      <c r="L38" s="1210"/>
      <c r="M38" s="884"/>
      <c r="N38" s="884"/>
      <c r="O38" s="1209"/>
      <c r="P38" s="798"/>
      <c r="Q38" s="798"/>
      <c r="R38" s="884"/>
      <c r="S38" s="884"/>
      <c r="T38" s="1210"/>
      <c r="U38" s="884"/>
      <c r="V38" s="884"/>
      <c r="W38" s="840"/>
    </row>
    <row r="39" spans="1:23">
      <c r="A39" s="1207"/>
      <c r="B39" s="1205">
        <f>SUM(B40:B41)</f>
        <v>0</v>
      </c>
      <c r="C39" s="793"/>
      <c r="D39" s="1205">
        <f>SUM(D40:D41)</f>
        <v>0</v>
      </c>
      <c r="E39" s="793"/>
      <c r="F39" s="1205">
        <f>SUM(F40:F41)</f>
        <v>0</v>
      </c>
      <c r="G39" s="798"/>
      <c r="H39" s="792" t="s">
        <v>1261</v>
      </c>
      <c r="I39" s="792"/>
      <c r="J39" s="1205">
        <f>SUM(J40:J41)</f>
        <v>0</v>
      </c>
      <c r="K39" s="793"/>
      <c r="L39" s="1205">
        <f>SUM(L40:L41)</f>
        <v>0</v>
      </c>
      <c r="M39" s="793"/>
      <c r="N39" s="1205">
        <f>SUM(N40:N41)</f>
        <v>0</v>
      </c>
      <c r="O39" s="1209"/>
      <c r="P39" s="792" t="s">
        <v>1261</v>
      </c>
      <c r="Q39" s="792"/>
      <c r="R39" s="1205">
        <f>SUM(R40:R41)</f>
        <v>0</v>
      </c>
      <c r="S39" s="793"/>
      <c r="T39" s="1205">
        <f>SUM(T40:T41)</f>
        <v>0</v>
      </c>
      <c r="U39" s="793"/>
      <c r="V39" s="1205">
        <f>SUM(V40:V41)</f>
        <v>0</v>
      </c>
      <c r="W39" s="840"/>
    </row>
    <row r="40" spans="1:23">
      <c r="A40" s="1207"/>
      <c r="B40" s="1211">
        <v>0</v>
      </c>
      <c r="C40" s="884"/>
      <c r="D40" s="1211">
        <v>0</v>
      </c>
      <c r="E40" s="884"/>
      <c r="F40" s="1211">
        <f>+B40-D40</f>
        <v>0</v>
      </c>
      <c r="G40" s="798"/>
      <c r="H40" s="798" t="s">
        <v>1262</v>
      </c>
      <c r="I40" s="798"/>
      <c r="J40" s="1211">
        <v>0</v>
      </c>
      <c r="K40" s="884"/>
      <c r="L40" s="1211">
        <v>0</v>
      </c>
      <c r="M40" s="884"/>
      <c r="N40" s="1211">
        <f>+J40-L40</f>
        <v>0</v>
      </c>
      <c r="O40" s="1209"/>
      <c r="P40" s="798" t="s">
        <v>1262</v>
      </c>
      <c r="Q40" s="798"/>
      <c r="R40" s="1211">
        <v>0</v>
      </c>
      <c r="S40" s="884"/>
      <c r="T40" s="1211">
        <v>0</v>
      </c>
      <c r="U40" s="884"/>
      <c r="V40" s="1211">
        <f>+R40-T40</f>
        <v>0</v>
      </c>
      <c r="W40" s="840"/>
    </row>
    <row r="41" spans="1:23">
      <c r="A41" s="1207"/>
      <c r="B41" s="1213">
        <v>0</v>
      </c>
      <c r="C41" s="884"/>
      <c r="D41" s="1213">
        <v>0</v>
      </c>
      <c r="E41" s="884"/>
      <c r="F41" s="1213">
        <f>+B41-D41</f>
        <v>0</v>
      </c>
      <c r="G41" s="798"/>
      <c r="H41" s="798" t="s">
        <v>1235</v>
      </c>
      <c r="I41" s="798"/>
      <c r="J41" s="1213">
        <v>0</v>
      </c>
      <c r="K41" s="884"/>
      <c r="L41" s="1213">
        <v>0</v>
      </c>
      <c r="M41" s="884"/>
      <c r="N41" s="1213">
        <f>+J41-L41</f>
        <v>0</v>
      </c>
      <c r="O41" s="1209"/>
      <c r="P41" s="798" t="s">
        <v>1235</v>
      </c>
      <c r="Q41" s="798"/>
      <c r="R41" s="1213">
        <v>0</v>
      </c>
      <c r="S41" s="884"/>
      <c r="T41" s="1213">
        <v>0</v>
      </c>
      <c r="U41" s="884"/>
      <c r="V41" s="1213">
        <f>+R41-T41</f>
        <v>0</v>
      </c>
      <c r="W41" s="840"/>
    </row>
    <row r="42" spans="1:23">
      <c r="A42" s="1214"/>
      <c r="B42" s="1215"/>
      <c r="C42" s="1215"/>
      <c r="D42" s="1215"/>
      <c r="E42" s="1215"/>
      <c r="F42" s="1215"/>
      <c r="G42" s="1216"/>
      <c r="H42" s="1216"/>
      <c r="I42" s="1216"/>
      <c r="J42" s="1215"/>
      <c r="K42" s="1215"/>
      <c r="L42" s="1215"/>
      <c r="M42" s="1215"/>
      <c r="N42" s="1215"/>
      <c r="O42" s="1217"/>
      <c r="P42" s="1216"/>
      <c r="Q42" s="1216"/>
      <c r="R42" s="1215"/>
      <c r="S42" s="1215"/>
      <c r="T42" s="1215"/>
      <c r="U42" s="1215"/>
      <c r="V42" s="1215"/>
      <c r="W42" s="847"/>
    </row>
    <row r="43" spans="1:23">
      <c r="A43" s="977"/>
      <c r="B43" s="825"/>
      <c r="C43" s="825"/>
      <c r="D43" s="825"/>
      <c r="E43" s="825"/>
      <c r="F43" s="825"/>
      <c r="G43" s="977"/>
      <c r="H43" s="977"/>
      <c r="I43" s="977"/>
      <c r="J43" s="825"/>
      <c r="K43" s="825"/>
      <c r="L43" s="825"/>
      <c r="M43" s="825"/>
      <c r="N43" s="825"/>
      <c r="O43" s="977"/>
    </row>
    <row r="44" spans="1:23" s="749" customFormat="1">
      <c r="B44" s="579"/>
      <c r="C44" s="579"/>
      <c r="D44" s="579"/>
      <c r="E44" s="579"/>
      <c r="F44" s="579"/>
      <c r="J44" s="579"/>
      <c r="K44" s="579"/>
      <c r="L44" s="579"/>
      <c r="M44" s="579"/>
      <c r="N44" s="579"/>
    </row>
    <row r="45" spans="1:23" s="749" customFormat="1" ht="15">
      <c r="B45" s="1807" t="s">
        <v>1263</v>
      </c>
      <c r="C45" s="1807"/>
      <c r="D45" s="1807"/>
      <c r="E45" s="1807"/>
      <c r="F45" s="1807"/>
      <c r="G45" s="1807"/>
      <c r="H45" s="1807"/>
      <c r="I45" s="1807"/>
      <c r="J45" s="1807"/>
      <c r="K45" s="1807"/>
      <c r="L45" s="1807"/>
      <c r="M45" s="1807"/>
      <c r="N45" s="1807"/>
      <c r="O45" s="1935"/>
      <c r="P45" s="1935"/>
      <c r="Q45" s="1935"/>
      <c r="R45" s="1935"/>
      <c r="S45" s="1935"/>
      <c r="T45" s="1935"/>
      <c r="U45" s="1935"/>
      <c r="V45" s="1935"/>
      <c r="W45" s="960"/>
    </row>
    <row r="46" spans="1:23" s="749" customFormat="1" ht="15">
      <c r="B46" s="1807" t="s">
        <v>1264</v>
      </c>
      <c r="C46" s="1807"/>
      <c r="D46" s="1807"/>
      <c r="E46" s="1807"/>
      <c r="F46" s="1807"/>
      <c r="G46" s="1807"/>
      <c r="H46" s="1807"/>
      <c r="I46" s="1807"/>
      <c r="J46" s="1807"/>
      <c r="K46" s="1807"/>
      <c r="L46" s="1807"/>
      <c r="M46" s="1807"/>
      <c r="N46" s="1807"/>
      <c r="O46" s="1936"/>
      <c r="P46" s="1936"/>
      <c r="Q46" s="1936"/>
      <c r="R46" s="1936"/>
      <c r="S46" s="1936"/>
      <c r="T46" s="1936"/>
      <c r="U46" s="1936"/>
      <c r="V46" s="1936"/>
    </row>
    <row r="47" spans="1:23" s="749" customFormat="1" ht="15">
      <c r="B47" s="1807" t="s">
        <v>3483</v>
      </c>
      <c r="C47" s="1807"/>
      <c r="D47" s="1807"/>
      <c r="E47" s="1807"/>
      <c r="F47" s="1807"/>
      <c r="G47" s="1807"/>
      <c r="H47" s="1807"/>
      <c r="I47" s="1807"/>
      <c r="J47" s="1807"/>
      <c r="K47" s="1807"/>
      <c r="L47" s="1807"/>
      <c r="M47" s="1807"/>
      <c r="N47" s="1807"/>
      <c r="O47" s="1936"/>
      <c r="P47" s="1936"/>
      <c r="Q47" s="1936"/>
      <c r="R47" s="1936"/>
      <c r="S47" s="1936"/>
      <c r="T47" s="1936"/>
      <c r="U47" s="1936"/>
      <c r="V47" s="1936"/>
    </row>
    <row r="48" spans="1:23" s="749" customFormat="1">
      <c r="A48" s="999"/>
      <c r="B48" s="1218"/>
      <c r="C48" s="1218"/>
      <c r="D48" s="1218"/>
      <c r="E48" s="1218"/>
      <c r="F48" s="1218"/>
      <c r="G48" s="1218"/>
      <c r="H48" s="1218"/>
      <c r="I48" s="1218"/>
      <c r="J48" s="1218"/>
      <c r="K48" s="1218"/>
      <c r="L48" s="1218"/>
      <c r="M48" s="1218"/>
      <c r="N48" s="1218"/>
      <c r="O48" s="999"/>
    </row>
    <row r="49" spans="1:23" s="749" customFormat="1">
      <c r="A49" s="976"/>
      <c r="B49" s="1219"/>
      <c r="C49" s="1219"/>
      <c r="D49" s="1219"/>
      <c r="E49" s="1219"/>
      <c r="F49" s="1219"/>
      <c r="G49" s="1219"/>
      <c r="H49" s="1219"/>
      <c r="I49" s="1219"/>
      <c r="J49" s="1219"/>
      <c r="K49" s="1219"/>
      <c r="L49" s="1219"/>
      <c r="M49" s="1219"/>
      <c r="N49" s="1219"/>
      <c r="O49" s="839"/>
      <c r="P49" s="976"/>
      <c r="Q49" s="977"/>
      <c r="R49" s="977"/>
      <c r="S49" s="977"/>
      <c r="T49" s="977"/>
      <c r="U49" s="977"/>
      <c r="V49" s="977"/>
      <c r="W49" s="839"/>
    </row>
    <row r="50" spans="1:23" s="749" customFormat="1">
      <c r="A50" s="1930"/>
      <c r="B50" s="1220" t="s">
        <v>1634</v>
      </c>
      <c r="C50" s="1932"/>
      <c r="D50" s="1220" t="s">
        <v>1634</v>
      </c>
      <c r="E50" s="1932"/>
      <c r="F50" s="1220" t="s">
        <v>1634</v>
      </c>
      <c r="G50" s="1934"/>
      <c r="H50" s="1934"/>
      <c r="I50" s="1934"/>
      <c r="J50" s="1220" t="s">
        <v>2651</v>
      </c>
      <c r="K50" s="1932"/>
      <c r="L50" s="1220" t="s">
        <v>2651</v>
      </c>
      <c r="M50" s="1932"/>
      <c r="N50" s="1220" t="s">
        <v>2651</v>
      </c>
      <c r="O50" s="1938"/>
      <c r="P50" s="1934"/>
      <c r="Q50" s="1934"/>
      <c r="R50" s="1220" t="s">
        <v>3484</v>
      </c>
      <c r="S50" s="1932"/>
      <c r="T50" s="1220" t="s">
        <v>3484</v>
      </c>
      <c r="U50" s="1932"/>
      <c r="V50" s="1220" t="s">
        <v>3484</v>
      </c>
      <c r="W50" s="840"/>
    </row>
    <row r="51" spans="1:23">
      <c r="A51" s="1930"/>
      <c r="B51" s="1203" t="s">
        <v>1111</v>
      </c>
      <c r="C51" s="1932"/>
      <c r="D51" s="1203" t="s">
        <v>1111</v>
      </c>
      <c r="E51" s="1932"/>
      <c r="F51" s="1203" t="s">
        <v>1248</v>
      </c>
      <c r="G51" s="1934"/>
      <c r="H51" s="1934"/>
      <c r="I51" s="1934"/>
      <c r="J51" s="1203" t="s">
        <v>1111</v>
      </c>
      <c r="K51" s="1932"/>
      <c r="L51" s="1203" t="s">
        <v>1111</v>
      </c>
      <c r="M51" s="1932"/>
      <c r="N51" s="1203" t="s">
        <v>1111</v>
      </c>
      <c r="O51" s="1938"/>
      <c r="P51" s="1934"/>
      <c r="Q51" s="1934"/>
      <c r="R51" s="1203" t="s">
        <v>1111</v>
      </c>
      <c r="S51" s="1932"/>
      <c r="T51" s="1203" t="s">
        <v>1111</v>
      </c>
      <c r="U51" s="1932"/>
      <c r="V51" s="1203" t="s">
        <v>1111</v>
      </c>
      <c r="W51" s="840"/>
    </row>
    <row r="52" spans="1:23">
      <c r="A52" s="1930"/>
      <c r="B52" s="1203" t="s">
        <v>499</v>
      </c>
      <c r="C52" s="1932"/>
      <c r="D52" s="1203" t="s">
        <v>501</v>
      </c>
      <c r="E52" s="1932"/>
      <c r="F52" s="1203" t="s">
        <v>1249</v>
      </c>
      <c r="G52" s="1934"/>
      <c r="H52" s="1934"/>
      <c r="I52" s="1934"/>
      <c r="J52" s="1203" t="s">
        <v>499</v>
      </c>
      <c r="K52" s="1932"/>
      <c r="L52" s="1203" t="s">
        <v>501</v>
      </c>
      <c r="M52" s="1932"/>
      <c r="N52" s="1203" t="s">
        <v>1248</v>
      </c>
      <c r="O52" s="1938"/>
      <c r="P52" s="1934"/>
      <c r="Q52" s="1934"/>
      <c r="R52" s="1203" t="s">
        <v>499</v>
      </c>
      <c r="S52" s="1932"/>
      <c r="T52" s="1203" t="s">
        <v>501</v>
      </c>
      <c r="U52" s="1932"/>
      <c r="V52" s="1203" t="s">
        <v>1248</v>
      </c>
      <c r="W52" s="840"/>
    </row>
    <row r="53" spans="1:23">
      <c r="A53" s="1930"/>
      <c r="B53" s="1203"/>
      <c r="C53" s="1932"/>
      <c r="D53" s="1203"/>
      <c r="E53" s="1932"/>
      <c r="F53" s="1203"/>
      <c r="G53" s="1934"/>
      <c r="H53" s="1934"/>
      <c r="I53" s="1934"/>
      <c r="J53" s="1203"/>
      <c r="K53" s="1932"/>
      <c r="L53" s="1203"/>
      <c r="M53" s="1932"/>
      <c r="N53" s="1203" t="s">
        <v>1249</v>
      </c>
      <c r="O53" s="1938"/>
      <c r="P53" s="1934"/>
      <c r="Q53" s="1934"/>
      <c r="R53" s="1203"/>
      <c r="S53" s="1932"/>
      <c r="T53" s="1203"/>
      <c r="U53" s="1932"/>
      <c r="V53" s="1203" t="s">
        <v>1249</v>
      </c>
      <c r="W53" s="840"/>
    </row>
    <row r="54" spans="1:23">
      <c r="A54" s="1930"/>
      <c r="B54" s="1203" t="s">
        <v>2422</v>
      </c>
      <c r="C54" s="1932"/>
      <c r="D54" s="1203" t="s">
        <v>2422</v>
      </c>
      <c r="E54" s="1932"/>
      <c r="F54" s="1203" t="s">
        <v>2422</v>
      </c>
      <c r="G54" s="1934"/>
      <c r="H54" s="1934"/>
      <c r="I54" s="1934"/>
      <c r="J54" s="1203" t="s">
        <v>2422</v>
      </c>
      <c r="K54" s="1932"/>
      <c r="L54" s="1203" t="s">
        <v>2422</v>
      </c>
      <c r="M54" s="1932"/>
      <c r="N54" s="1203" t="s">
        <v>2422</v>
      </c>
      <c r="O54" s="1938"/>
      <c r="P54" s="1934"/>
      <c r="Q54" s="1934"/>
      <c r="R54" s="1203" t="s">
        <v>2422</v>
      </c>
      <c r="S54" s="1932"/>
      <c r="T54" s="1203" t="s">
        <v>2422</v>
      </c>
      <c r="U54" s="1932"/>
      <c r="V54" s="1203" t="s">
        <v>2422</v>
      </c>
      <c r="W54" s="840"/>
    </row>
    <row r="55" spans="1:23" ht="25.5">
      <c r="A55" s="1204"/>
      <c r="B55" s="1205">
        <f>B56</f>
        <v>32312.2</v>
      </c>
      <c r="C55" s="792"/>
      <c r="D55" s="1205">
        <f>D56</f>
        <v>1845488.9100000001</v>
      </c>
      <c r="E55" s="792"/>
      <c r="F55" s="1205">
        <f>F56</f>
        <v>-1813176.7100000002</v>
      </c>
      <c r="G55" s="792"/>
      <c r="H55" s="792" t="s">
        <v>1265</v>
      </c>
      <c r="I55" s="792"/>
      <c r="J55" s="1205">
        <f>J56</f>
        <v>0</v>
      </c>
      <c r="K55" s="579"/>
      <c r="L55" s="1205">
        <f>L56</f>
        <v>2621619.8000000007</v>
      </c>
      <c r="M55" s="792"/>
      <c r="N55" s="1205">
        <f>N56</f>
        <v>-2621619.8000000007</v>
      </c>
      <c r="O55" s="1206"/>
      <c r="P55" s="792" t="s">
        <v>1265</v>
      </c>
      <c r="Q55" s="792"/>
      <c r="R55" s="1205">
        <f>R56</f>
        <v>0</v>
      </c>
      <c r="S55" s="579"/>
      <c r="T55" s="1205">
        <f>T56</f>
        <v>2508040.2599999998</v>
      </c>
      <c r="U55" s="792"/>
      <c r="V55" s="1205">
        <f>V56</f>
        <v>-2508040.2599999998</v>
      </c>
      <c r="W55" s="840"/>
    </row>
    <row r="56" spans="1:23" ht="25.5">
      <c r="A56" s="1207"/>
      <c r="B56" s="1208">
        <f>-'TRAIL BALANCE'!E412</f>
        <v>32312.2</v>
      </c>
      <c r="C56" s="798"/>
      <c r="D56" s="1208">
        <f>'TRAIL BALANCE'!E439</f>
        <v>1845488.9100000001</v>
      </c>
      <c r="E56" s="798"/>
      <c r="F56" s="1208">
        <f>+B56-D56</f>
        <v>-1813176.7100000002</v>
      </c>
      <c r="G56" s="798"/>
      <c r="H56" s="798" t="s">
        <v>1265</v>
      </c>
      <c r="I56" s="798"/>
      <c r="J56" s="1208">
        <f>-'TRAIL BALANCE'!G412</f>
        <v>0</v>
      </c>
      <c r="K56" s="798"/>
      <c r="L56" s="1208">
        <f>'TRAIL BALANCE'!G439</f>
        <v>2621619.8000000007</v>
      </c>
      <c r="M56" s="798"/>
      <c r="N56" s="1208">
        <f>+J56-L56</f>
        <v>-2621619.8000000007</v>
      </c>
      <c r="O56" s="1209"/>
      <c r="P56" s="798" t="s">
        <v>1265</v>
      </c>
      <c r="Q56" s="798"/>
      <c r="R56" s="1208">
        <f>-'TRAIL BALANCE'!S412</f>
        <v>0</v>
      </c>
      <c r="S56" s="798"/>
      <c r="T56" s="1208">
        <f>'TRAIL BALANCE'!S439</f>
        <v>2508040.2599999998</v>
      </c>
      <c r="U56" s="798"/>
      <c r="V56" s="1208">
        <f>+R56-T56</f>
        <v>-2508040.2599999998</v>
      </c>
      <c r="W56" s="840"/>
    </row>
    <row r="57" spans="1:23">
      <c r="A57" s="1207"/>
      <c r="B57" s="1210"/>
      <c r="C57" s="798"/>
      <c r="D57" s="1210"/>
      <c r="E57" s="798"/>
      <c r="F57" s="1210"/>
      <c r="G57" s="798"/>
      <c r="H57" s="798"/>
      <c r="I57" s="798"/>
      <c r="J57" s="1210"/>
      <c r="K57" s="579"/>
      <c r="L57" s="1210"/>
      <c r="M57" s="798"/>
      <c r="N57" s="1210"/>
      <c r="O57" s="1209"/>
      <c r="P57" s="798"/>
      <c r="Q57" s="798"/>
      <c r="R57" s="1210"/>
      <c r="S57" s="579"/>
      <c r="T57" s="1210"/>
      <c r="U57" s="798"/>
      <c r="V57" s="1210"/>
      <c r="W57" s="840"/>
    </row>
    <row r="58" spans="1:23" ht="25.5">
      <c r="A58" s="1207"/>
      <c r="B58" s="1205">
        <f>SUM(B59:B61)</f>
        <v>3910829.34</v>
      </c>
      <c r="C58" s="792"/>
      <c r="D58" s="1205">
        <f>SUM(D59:D61)</f>
        <v>4168816.3199999994</v>
      </c>
      <c r="E58" s="792"/>
      <c r="F58" s="1205">
        <f>SUM(F59:F61)</f>
        <v>-257986.97999999952</v>
      </c>
      <c r="G58" s="798"/>
      <c r="H58" s="792" t="s">
        <v>1266</v>
      </c>
      <c r="I58" s="798"/>
      <c r="J58" s="1205">
        <f>SUM(J59:J61)</f>
        <v>4232136.21</v>
      </c>
      <c r="K58" s="579"/>
      <c r="L58" s="1205">
        <f>SUM(L59:L61)</f>
        <v>6925742.1200000001</v>
      </c>
      <c r="M58" s="792"/>
      <c r="N58" s="1205">
        <f>SUM(N59:N61)</f>
        <v>-2693605.91</v>
      </c>
      <c r="O58" s="1209"/>
      <c r="P58" s="792" t="s">
        <v>1266</v>
      </c>
      <c r="Q58" s="798"/>
      <c r="R58" s="1205">
        <f>SUM(R59:R61)</f>
        <v>5016917.6399999997</v>
      </c>
      <c r="S58" s="579"/>
      <c r="T58" s="1205">
        <f>SUM(T59:T61)</f>
        <v>5587239.5900000008</v>
      </c>
      <c r="U58" s="792"/>
      <c r="V58" s="1205">
        <f>SUM(V59:V61)</f>
        <v>-570321.95000000112</v>
      </c>
      <c r="W58" s="840"/>
    </row>
    <row r="59" spans="1:23">
      <c r="A59" s="1207"/>
      <c r="B59" s="1211">
        <v>0</v>
      </c>
      <c r="C59" s="798"/>
      <c r="D59" s="1211">
        <v>0</v>
      </c>
      <c r="E59" s="798"/>
      <c r="F59" s="1211">
        <f>+B59-D59</f>
        <v>0</v>
      </c>
      <c r="G59" s="798"/>
      <c r="H59" s="798" t="s">
        <v>1116</v>
      </c>
      <c r="I59" s="798"/>
      <c r="J59" s="1211">
        <f>-'TRAIL BALANCE'!G816</f>
        <v>0</v>
      </c>
      <c r="K59" s="798"/>
      <c r="L59" s="1211">
        <f>'TRAIL BALANCE'!G837</f>
        <v>0</v>
      </c>
      <c r="M59" s="798"/>
      <c r="N59" s="1211">
        <f>+J59-L59</f>
        <v>0</v>
      </c>
      <c r="O59" s="1209"/>
      <c r="P59" s="798" t="s">
        <v>1116</v>
      </c>
      <c r="Q59" s="798"/>
      <c r="R59" s="1211">
        <f>-'TRAIL BALANCE'!S816</f>
        <v>0</v>
      </c>
      <c r="S59" s="798"/>
      <c r="T59" s="1211">
        <f>'TRAIL BALANCE'!S837</f>
        <v>0</v>
      </c>
      <c r="U59" s="798"/>
      <c r="V59" s="1211">
        <f>+R59-T59</f>
        <v>0</v>
      </c>
      <c r="W59" s="840"/>
    </row>
    <row r="60" spans="1:23">
      <c r="A60" s="1207"/>
      <c r="B60" s="1212">
        <v>0</v>
      </c>
      <c r="C60" s="798"/>
      <c r="D60" s="1212">
        <v>0</v>
      </c>
      <c r="E60" s="798"/>
      <c r="F60" s="1212">
        <f>+B60-D60</f>
        <v>0</v>
      </c>
      <c r="G60" s="798"/>
      <c r="H60" s="798" t="s">
        <v>1267</v>
      </c>
      <c r="I60" s="798"/>
      <c r="J60" s="1212">
        <v>0</v>
      </c>
      <c r="K60" s="798"/>
      <c r="L60" s="1212">
        <v>0</v>
      </c>
      <c r="M60" s="798"/>
      <c r="N60" s="1212">
        <f>+J60-L60</f>
        <v>0</v>
      </c>
      <c r="O60" s="1209"/>
      <c r="P60" s="798" t="s">
        <v>1267</v>
      </c>
      <c r="Q60" s="798"/>
      <c r="R60" s="1212">
        <v>0</v>
      </c>
      <c r="S60" s="798"/>
      <c r="T60" s="1212">
        <v>0</v>
      </c>
      <c r="U60" s="798"/>
      <c r="V60" s="1212">
        <f>+R60-T60</f>
        <v>0</v>
      </c>
      <c r="W60" s="840"/>
    </row>
    <row r="61" spans="1:23" ht="25.5">
      <c r="A61" s="1207"/>
      <c r="B61" s="1213">
        <f>-'TRAIL BALANCE'!E468</f>
        <v>3910829.34</v>
      </c>
      <c r="C61" s="798"/>
      <c r="D61" s="1213">
        <f>'TRAIL BALANCE'!E503</f>
        <v>4168816.3199999994</v>
      </c>
      <c r="E61" s="798"/>
      <c r="F61" s="1213">
        <f>+B61-D61</f>
        <v>-257986.97999999952</v>
      </c>
      <c r="G61" s="798"/>
      <c r="H61" s="798" t="s">
        <v>2726</v>
      </c>
      <c r="I61" s="798"/>
      <c r="J61" s="1213">
        <f>-'TRAIL BALANCE'!G468</f>
        <v>4232136.21</v>
      </c>
      <c r="K61" s="798"/>
      <c r="L61" s="1213">
        <f>'TRAIL BALANCE'!G503</f>
        <v>6925742.1200000001</v>
      </c>
      <c r="M61" s="798"/>
      <c r="N61" s="1213">
        <f>+J61-L61</f>
        <v>-2693605.91</v>
      </c>
      <c r="O61" s="1209"/>
      <c r="P61" s="798" t="s">
        <v>2726</v>
      </c>
      <c r="Q61" s="798"/>
      <c r="R61" s="1213">
        <f>-'TRAIL BALANCE'!S468</f>
        <v>5016917.6399999997</v>
      </c>
      <c r="S61" s="798"/>
      <c r="T61" s="1213">
        <f>'TRAIL BALANCE'!S503</f>
        <v>5587239.5900000008</v>
      </c>
      <c r="U61" s="798"/>
      <c r="V61" s="1213">
        <f>+R61-T61</f>
        <v>-570321.95000000112</v>
      </c>
      <c r="W61" s="840"/>
    </row>
    <row r="62" spans="1:23">
      <c r="A62" s="1207"/>
      <c r="B62" s="884"/>
      <c r="C62" s="798"/>
      <c r="D62" s="1210"/>
      <c r="E62" s="798"/>
      <c r="F62" s="884"/>
      <c r="G62" s="798"/>
      <c r="H62" s="798"/>
      <c r="I62" s="798"/>
      <c r="J62" s="884"/>
      <c r="K62" s="579"/>
      <c r="L62" s="1210"/>
      <c r="M62" s="798"/>
      <c r="N62" s="884"/>
      <c r="O62" s="1209"/>
      <c r="P62" s="798"/>
      <c r="Q62" s="798"/>
      <c r="R62" s="884"/>
      <c r="S62" s="579"/>
      <c r="T62" s="1210"/>
      <c r="U62" s="798"/>
      <c r="V62" s="884"/>
      <c r="W62" s="840"/>
    </row>
    <row r="63" spans="1:23">
      <c r="A63" s="1207"/>
      <c r="B63" s="1205">
        <f>SUM(B64:B66)</f>
        <v>26476610.470000003</v>
      </c>
      <c r="C63" s="792"/>
      <c r="D63" s="1205">
        <f>SUM(D64:D66)</f>
        <v>6319803.6600000001</v>
      </c>
      <c r="E63" s="792"/>
      <c r="F63" s="1205">
        <f>SUM(F64:F66)</f>
        <v>20156806.810000002</v>
      </c>
      <c r="G63" s="798"/>
      <c r="H63" s="792" t="s">
        <v>1268</v>
      </c>
      <c r="I63" s="798"/>
      <c r="J63" s="1205">
        <f>SUM(J64:J66)</f>
        <v>3625861.96</v>
      </c>
      <c r="K63" s="579"/>
      <c r="L63" s="1205">
        <f>SUM(L64:L66)</f>
        <v>7316176.5600000005</v>
      </c>
      <c r="M63" s="792"/>
      <c r="N63" s="1205">
        <f>SUM(N64:N66)</f>
        <v>-3690314.600000001</v>
      </c>
      <c r="O63" s="1209"/>
      <c r="P63" s="792" t="s">
        <v>1268</v>
      </c>
      <c r="Q63" s="798"/>
      <c r="R63" s="1205">
        <f>SUM(R64:R66)</f>
        <v>11845539.17</v>
      </c>
      <c r="S63" s="579"/>
      <c r="T63" s="1205">
        <f>SUM(T64:T66)</f>
        <v>8852799.2799999993</v>
      </c>
      <c r="U63" s="792"/>
      <c r="V63" s="1205">
        <f>SUM(V64:V66)</f>
        <v>2992739.8900000006</v>
      </c>
      <c r="W63" s="840"/>
    </row>
    <row r="64" spans="1:23">
      <c r="A64" s="1207"/>
      <c r="B64" s="1211">
        <f>-'TRAIL BALANCE'!E549</f>
        <v>23447646.260000002</v>
      </c>
      <c r="C64" s="798"/>
      <c r="D64" s="1211">
        <f>'TRAIL BALANCE'!E587</f>
        <v>3294584.3499999992</v>
      </c>
      <c r="E64" s="798"/>
      <c r="F64" s="1211">
        <f>+B64-D64</f>
        <v>20153061.910000004</v>
      </c>
      <c r="G64" s="798"/>
      <c r="H64" s="798" t="s">
        <v>2724</v>
      </c>
      <c r="I64" s="798"/>
      <c r="J64" s="1211">
        <f>-'TRAIL BALANCE'!G549</f>
        <v>898980.91</v>
      </c>
      <c r="K64" s="798"/>
      <c r="L64" s="1211">
        <f>'TRAIL BALANCE'!G587</f>
        <v>3652518.8600000008</v>
      </c>
      <c r="M64" s="798"/>
      <c r="N64" s="1211">
        <f>+J64-L64</f>
        <v>-2753537.9500000007</v>
      </c>
      <c r="O64" s="1209"/>
      <c r="P64" s="798" t="s">
        <v>2724</v>
      </c>
      <c r="Q64" s="798"/>
      <c r="R64" s="1211">
        <f>-'TRAIL BALANCE'!S549</f>
        <v>9042647.0800000001</v>
      </c>
      <c r="S64" s="798"/>
      <c r="T64" s="1211">
        <f>'TRAIL BALANCE'!S587</f>
        <v>4362370.3900000006</v>
      </c>
      <c r="U64" s="798"/>
      <c r="V64" s="1211">
        <f>+R64-T64</f>
        <v>4680276.6899999995</v>
      </c>
      <c r="W64" s="840"/>
    </row>
    <row r="65" spans="1:23" ht="25.5">
      <c r="A65" s="1207"/>
      <c r="B65" s="1212">
        <f>-'TRAIL BALANCE'!E768</f>
        <v>3028964.21</v>
      </c>
      <c r="C65" s="798"/>
      <c r="D65" s="1212">
        <f>'TRAIL BALANCE'!E810</f>
        <v>3025219.3100000005</v>
      </c>
      <c r="E65" s="798"/>
      <c r="F65" s="1212">
        <f>+B65-D65</f>
        <v>3744.8999999994412</v>
      </c>
      <c r="G65" s="798"/>
      <c r="H65" s="798" t="s">
        <v>2296</v>
      </c>
      <c r="I65" s="798"/>
      <c r="J65" s="1212">
        <f>-'TRAIL BALANCE'!G768</f>
        <v>2726881.05</v>
      </c>
      <c r="K65" s="798"/>
      <c r="L65" s="1212">
        <f>'TRAIL BALANCE'!G810</f>
        <v>3663657.7</v>
      </c>
      <c r="M65" s="798"/>
      <c r="N65" s="1212">
        <f>+J65-L65</f>
        <v>-936776.65000000037</v>
      </c>
      <c r="O65" s="1209"/>
      <c r="P65" s="798" t="s">
        <v>2296</v>
      </c>
      <c r="Q65" s="798"/>
      <c r="R65" s="1212">
        <f>-'TRAIL BALANCE'!S768</f>
        <v>2802892.09</v>
      </c>
      <c r="S65" s="798"/>
      <c r="T65" s="1212">
        <f>'TRAIL BALANCE'!S810</f>
        <v>4490428.8899999987</v>
      </c>
      <c r="U65" s="798"/>
      <c r="V65" s="1212">
        <f>+R65-T65</f>
        <v>-1687536.7999999989</v>
      </c>
      <c r="W65" s="840"/>
    </row>
    <row r="66" spans="1:23">
      <c r="A66" s="1207"/>
      <c r="B66" s="1213">
        <v>0</v>
      </c>
      <c r="C66" s="798"/>
      <c r="D66" s="1213">
        <v>0</v>
      </c>
      <c r="E66" s="798"/>
      <c r="F66" s="1213">
        <f>+B66-D66</f>
        <v>0</v>
      </c>
      <c r="G66" s="798"/>
      <c r="H66" s="798" t="s">
        <v>2297</v>
      </c>
      <c r="I66" s="798"/>
      <c r="J66" s="1213">
        <v>0</v>
      </c>
      <c r="K66" s="798"/>
      <c r="L66" s="1213">
        <v>0</v>
      </c>
      <c r="M66" s="798"/>
      <c r="N66" s="1213">
        <f>+J66-L66</f>
        <v>0</v>
      </c>
      <c r="O66" s="1209"/>
      <c r="P66" s="798" t="s">
        <v>2297</v>
      </c>
      <c r="Q66" s="798"/>
      <c r="R66" s="1213">
        <v>0</v>
      </c>
      <c r="S66" s="798"/>
      <c r="T66" s="1213">
        <v>0</v>
      </c>
      <c r="U66" s="798"/>
      <c r="V66" s="1213">
        <f>+R66-T66</f>
        <v>0</v>
      </c>
      <c r="W66" s="840"/>
    </row>
    <row r="67" spans="1:23">
      <c r="A67" s="1207"/>
      <c r="B67" s="1210"/>
      <c r="C67" s="798"/>
      <c r="D67" s="1210"/>
      <c r="E67" s="798"/>
      <c r="F67" s="1210"/>
      <c r="G67" s="798"/>
      <c r="H67" s="798"/>
      <c r="I67" s="798"/>
      <c r="J67" s="1210"/>
      <c r="K67" s="579"/>
      <c r="L67" s="1210"/>
      <c r="M67" s="798"/>
      <c r="N67" s="1210"/>
      <c r="O67" s="1209"/>
      <c r="P67" s="798"/>
      <c r="Q67" s="798"/>
      <c r="R67" s="1210"/>
      <c r="S67" s="579"/>
      <c r="T67" s="1210"/>
      <c r="U67" s="798"/>
      <c r="V67" s="1210"/>
      <c r="W67" s="840"/>
    </row>
    <row r="68" spans="1:23">
      <c r="A68" s="1207"/>
      <c r="B68" s="1205">
        <f>SUM(B69:B70)</f>
        <v>0</v>
      </c>
      <c r="C68" s="792"/>
      <c r="D68" s="1205">
        <f>SUM(D69:D70)</f>
        <v>0</v>
      </c>
      <c r="E68" s="792"/>
      <c r="F68" s="1205">
        <f>SUM(F69:F70)</f>
        <v>0</v>
      </c>
      <c r="G68" s="798"/>
      <c r="H68" s="792" t="s">
        <v>1117</v>
      </c>
      <c r="I68" s="798"/>
      <c r="J68" s="1205">
        <f>SUM(J69:J70)</f>
        <v>0</v>
      </c>
      <c r="K68" s="579"/>
      <c r="L68" s="1205">
        <f>SUM(L69:L70)</f>
        <v>0</v>
      </c>
      <c r="M68" s="792"/>
      <c r="N68" s="1205">
        <f>SUM(N69:N70)</f>
        <v>0</v>
      </c>
      <c r="O68" s="1209"/>
      <c r="P68" s="792" t="s">
        <v>1117</v>
      </c>
      <c r="Q68" s="798"/>
      <c r="R68" s="1205">
        <f>SUM(R69:R70)</f>
        <v>0</v>
      </c>
      <c r="S68" s="579"/>
      <c r="T68" s="1205">
        <f>SUM(T69:T70)</f>
        <v>0</v>
      </c>
      <c r="U68" s="792"/>
      <c r="V68" s="1205">
        <f>SUM(V69:V70)</f>
        <v>0</v>
      </c>
      <c r="W68" s="840"/>
    </row>
    <row r="69" spans="1:23">
      <c r="A69" s="1207"/>
      <c r="B69" s="1211">
        <v>0</v>
      </c>
      <c r="C69" s="798"/>
      <c r="D69" s="1211">
        <v>0</v>
      </c>
      <c r="E69" s="798"/>
      <c r="F69" s="1211">
        <f>+B69-D69</f>
        <v>0</v>
      </c>
      <c r="G69" s="798"/>
      <c r="H69" s="798" t="s">
        <v>2298</v>
      </c>
      <c r="I69" s="798"/>
      <c r="J69" s="1211">
        <f>-'TRAIL BALANCE'!G846</f>
        <v>0</v>
      </c>
      <c r="K69" s="798"/>
      <c r="L69" s="1211">
        <f>'TRAIL BALANCE'!G900</f>
        <v>0</v>
      </c>
      <c r="M69" s="798"/>
      <c r="N69" s="1211">
        <f>+J69-L69</f>
        <v>0</v>
      </c>
      <c r="O69" s="1209"/>
      <c r="P69" s="798" t="s">
        <v>2298</v>
      </c>
      <c r="Q69" s="798"/>
      <c r="R69" s="1211">
        <f>-'TRAIL BALANCE'!O843</f>
        <v>0</v>
      </c>
      <c r="S69" s="798"/>
      <c r="T69" s="1211">
        <f>'TRAIL BALANCE'!O897</f>
        <v>0</v>
      </c>
      <c r="U69" s="798"/>
      <c r="V69" s="1211">
        <f>+R69-T69</f>
        <v>0</v>
      </c>
      <c r="W69" s="840"/>
    </row>
    <row r="70" spans="1:23">
      <c r="A70" s="1207"/>
      <c r="B70" s="1213">
        <v>0</v>
      </c>
      <c r="C70" s="798"/>
      <c r="D70" s="1213">
        <v>0</v>
      </c>
      <c r="E70" s="798"/>
      <c r="F70" s="1213">
        <f>+B70-D70</f>
        <v>0</v>
      </c>
      <c r="G70" s="798"/>
      <c r="H70" s="798" t="s">
        <v>2299</v>
      </c>
      <c r="I70" s="798"/>
      <c r="J70" s="1213">
        <v>0</v>
      </c>
      <c r="K70" s="798"/>
      <c r="L70" s="1213">
        <v>0</v>
      </c>
      <c r="M70" s="798"/>
      <c r="N70" s="1213">
        <f>+J70-L70</f>
        <v>0</v>
      </c>
      <c r="O70" s="1209"/>
      <c r="P70" s="798" t="s">
        <v>2299</v>
      </c>
      <c r="Q70" s="798"/>
      <c r="R70" s="1213">
        <v>0</v>
      </c>
      <c r="S70" s="798"/>
      <c r="T70" s="1213">
        <v>0</v>
      </c>
      <c r="U70" s="798"/>
      <c r="V70" s="1213">
        <f>+R70-T70</f>
        <v>0</v>
      </c>
      <c r="W70" s="840"/>
    </row>
    <row r="71" spans="1:23">
      <c r="A71" s="1207"/>
      <c r="B71" s="884"/>
      <c r="C71" s="798"/>
      <c r="D71" s="1210"/>
      <c r="E71" s="798"/>
      <c r="F71" s="884"/>
      <c r="G71" s="798"/>
      <c r="H71" s="798"/>
      <c r="I71" s="798"/>
      <c r="J71" s="884"/>
      <c r="K71" s="579"/>
      <c r="L71" s="1210"/>
      <c r="M71" s="798"/>
      <c r="N71" s="884"/>
      <c r="O71" s="1209"/>
      <c r="P71" s="798"/>
      <c r="Q71" s="798"/>
      <c r="R71" s="884"/>
      <c r="S71" s="579"/>
      <c r="T71" s="1210"/>
      <c r="U71" s="798"/>
      <c r="V71" s="884"/>
      <c r="W71" s="840"/>
    </row>
    <row r="72" spans="1:23">
      <c r="A72" s="1207"/>
      <c r="B72" s="1205">
        <f>SUM(B73:B74)</f>
        <v>20757570.349999998</v>
      </c>
      <c r="C72" s="792"/>
      <c r="D72" s="1205">
        <f>SUM(D73:D74)</f>
        <v>15420024.729999999</v>
      </c>
      <c r="E72" s="792"/>
      <c r="F72" s="1205">
        <f>SUM(F73:F74)+1</f>
        <v>5337546.6199999992</v>
      </c>
      <c r="G72" s="798"/>
      <c r="H72" s="792" t="s">
        <v>1114</v>
      </c>
      <c r="I72" s="798"/>
      <c r="J72" s="1205">
        <f>SUM(J73:J74)</f>
        <v>32451972.310000002</v>
      </c>
      <c r="K72" s="579"/>
      <c r="L72" s="1205">
        <f>SUM(L73:L74)</f>
        <v>21447324.960000001</v>
      </c>
      <c r="M72" s="792"/>
      <c r="N72" s="1205">
        <f>SUM(N73:N74)</f>
        <v>11004647.350000001</v>
      </c>
      <c r="O72" s="1209"/>
      <c r="P72" s="792" t="s">
        <v>1114</v>
      </c>
      <c r="Q72" s="798"/>
      <c r="R72" s="1205">
        <f>SUM(R73:R74)</f>
        <v>41749584.009999998</v>
      </c>
      <c r="S72" s="579"/>
      <c r="T72" s="1205">
        <f>SUM(T73:T74)</f>
        <v>34865473.050000004</v>
      </c>
      <c r="U72" s="792"/>
      <c r="V72" s="1205">
        <f>SUM(V73:V74)</f>
        <v>6884110.9599999934</v>
      </c>
      <c r="W72" s="840"/>
    </row>
    <row r="73" spans="1:23" ht="25.5">
      <c r="A73" s="1207"/>
      <c r="B73" s="1211">
        <f>-'TRAIL BALANCE'!E632</f>
        <v>20757570.349999998</v>
      </c>
      <c r="C73" s="798"/>
      <c r="D73" s="1211">
        <f>'TRAIL BALANCE'!E672</f>
        <v>15410160.079999998</v>
      </c>
      <c r="E73" s="798"/>
      <c r="F73" s="1211">
        <f>+B73-D73</f>
        <v>5347410.2699999996</v>
      </c>
      <c r="G73" s="798"/>
      <c r="H73" s="798" t="s">
        <v>2300</v>
      </c>
      <c r="I73" s="798"/>
      <c r="J73" s="1211">
        <f>-'TRAIL BALANCE'!G632</f>
        <v>32451972.310000002</v>
      </c>
      <c r="K73" s="798"/>
      <c r="L73" s="1211">
        <f>'TRAIL BALANCE'!G672</f>
        <v>21447324.960000001</v>
      </c>
      <c r="M73" s="798"/>
      <c r="N73" s="1211">
        <f>+J73-L73</f>
        <v>11004647.350000001</v>
      </c>
      <c r="O73" s="1209"/>
      <c r="P73" s="798" t="s">
        <v>2300</v>
      </c>
      <c r="Q73" s="798"/>
      <c r="R73" s="1211">
        <f>-'TRAIL BALANCE'!S632</f>
        <v>41749584.009999998</v>
      </c>
      <c r="S73" s="798"/>
      <c r="T73" s="1211">
        <f>'TRAIL BALANCE'!S672</f>
        <v>34865473.050000004</v>
      </c>
      <c r="U73" s="798"/>
      <c r="V73" s="1211">
        <f>+R73-T73</f>
        <v>6884110.9599999934</v>
      </c>
      <c r="W73" s="840"/>
    </row>
    <row r="74" spans="1:23">
      <c r="A74" s="1207"/>
      <c r="B74" s="1213">
        <v>0</v>
      </c>
      <c r="C74" s="798"/>
      <c r="D74" s="1213">
        <f>'TRAIL BALANCE'!E681</f>
        <v>9864.65</v>
      </c>
      <c r="E74" s="798"/>
      <c r="F74" s="1213">
        <f>+B74-D74</f>
        <v>-9864.65</v>
      </c>
      <c r="G74" s="798"/>
      <c r="H74" s="798" t="s">
        <v>2301</v>
      </c>
      <c r="I74" s="798"/>
      <c r="J74" s="1213">
        <v>0</v>
      </c>
      <c r="K74" s="798"/>
      <c r="L74" s="1213">
        <f>'TRAIL BALANCE'!M681</f>
        <v>0</v>
      </c>
      <c r="M74" s="798"/>
      <c r="N74" s="1213">
        <f>+J74-L74</f>
        <v>0</v>
      </c>
      <c r="O74" s="1209"/>
      <c r="P74" s="798" t="s">
        <v>2301</v>
      </c>
      <c r="Q74" s="798"/>
      <c r="R74" s="1213">
        <v>0</v>
      </c>
      <c r="S74" s="798"/>
      <c r="T74" s="1213">
        <f>'TRAIL BALANCE'!W681</f>
        <v>0</v>
      </c>
      <c r="U74" s="798"/>
      <c r="V74" s="1213">
        <f>+R74-T74</f>
        <v>0</v>
      </c>
      <c r="W74" s="840"/>
    </row>
    <row r="75" spans="1:23">
      <c r="A75" s="1207"/>
      <c r="B75" s="884"/>
      <c r="C75" s="798"/>
      <c r="D75" s="1210"/>
      <c r="E75" s="798"/>
      <c r="F75" s="884"/>
      <c r="G75" s="798"/>
      <c r="H75" s="798"/>
      <c r="I75" s="798"/>
      <c r="J75" s="884"/>
      <c r="K75" s="579"/>
      <c r="L75" s="1210"/>
      <c r="M75" s="798"/>
      <c r="N75" s="884"/>
      <c r="O75" s="1209"/>
      <c r="P75" s="798"/>
      <c r="Q75" s="798"/>
      <c r="R75" s="884"/>
      <c r="S75" s="579"/>
      <c r="T75" s="1210"/>
      <c r="U75" s="798"/>
      <c r="V75" s="884"/>
      <c r="W75" s="840"/>
    </row>
    <row r="76" spans="1:23">
      <c r="A76" s="1204"/>
      <c r="B76" s="1221">
        <f>B72+B68+B63+B58+B55+B39+B36+B30+B26+B20+B13+B10</f>
        <v>74277838.030000001</v>
      </c>
      <c r="C76" s="1222"/>
      <c r="D76" s="1221">
        <f>D72+D68+D63+D58+D55+D39+D36+D30+D26+D20+D13+D10</f>
        <v>63352565.06000001</v>
      </c>
      <c r="E76" s="1222"/>
      <c r="F76" s="1221">
        <f>F72+F68+F63+F58+F55+F39+F36+F30+F26+F20+F13+F10</f>
        <v>10925273.969999997</v>
      </c>
      <c r="G76" s="792"/>
      <c r="H76" s="792" t="s">
        <v>510</v>
      </c>
      <c r="I76" s="792"/>
      <c r="J76" s="1221">
        <f>J72+J68+J63+J58+J55+J39+J36+J30+J26+J20+J13+J10</f>
        <v>166036685.28</v>
      </c>
      <c r="K76" s="1223"/>
      <c r="L76" s="1221">
        <f>L72+L68+L63+L58+L55+L39+L36+L30+L26+L20+L13+L10</f>
        <v>91479781.730000004</v>
      </c>
      <c r="M76" s="1222"/>
      <c r="N76" s="1221">
        <f>N72+N68+N63+N58+N55+N39+N36+N30+N26+N20+N13+N10</f>
        <v>74556903.550000012</v>
      </c>
      <c r="O76" s="1206"/>
      <c r="P76" s="792" t="s">
        <v>510</v>
      </c>
      <c r="Q76" s="792"/>
      <c r="R76" s="1221">
        <f>R72+R68+R63+R58+R55+R39+R36+R30+R26+R20+R13+R10</f>
        <v>93310873.039999992</v>
      </c>
      <c r="S76" s="1223"/>
      <c r="T76" s="1221">
        <f>T72+T68+T63+T58+T55+T39+T36+T30+T26+T20+T13+T10</f>
        <v>108152233.24000001</v>
      </c>
      <c r="U76" s="1222"/>
      <c r="V76" s="1221">
        <f>V72+V68+V63+V58+V55+V39+V36+V30+V26+V20+V13+V10</f>
        <v>-14841360.20000001</v>
      </c>
      <c r="W76" s="840"/>
    </row>
    <row r="77" spans="1:23" ht="38.25">
      <c r="A77" s="1207"/>
      <c r="B77" s="1210">
        <v>0</v>
      </c>
      <c r="C77" s="792"/>
      <c r="D77" s="1210">
        <v>0</v>
      </c>
      <c r="E77" s="792"/>
      <c r="F77" s="1205">
        <f>+B77-D77</f>
        <v>0</v>
      </c>
      <c r="G77" s="798"/>
      <c r="H77" s="798" t="s">
        <v>2302</v>
      </c>
      <c r="I77" s="798"/>
      <c r="J77" s="1210"/>
      <c r="K77" s="579"/>
      <c r="L77" s="1210"/>
      <c r="M77" s="798"/>
      <c r="N77" s="1205" t="s">
        <v>746</v>
      </c>
      <c r="O77" s="1209"/>
      <c r="P77" s="798" t="s">
        <v>2302</v>
      </c>
      <c r="Q77" s="798"/>
      <c r="R77" s="1210"/>
      <c r="S77" s="579"/>
      <c r="T77" s="1210"/>
      <c r="U77" s="798"/>
      <c r="V77" s="1205" t="s">
        <v>746</v>
      </c>
      <c r="W77" s="840"/>
    </row>
    <row r="78" spans="1:23" ht="13.5" thickBot="1">
      <c r="A78" s="1207"/>
      <c r="B78" s="1224">
        <f>SUM(B76:B77)</f>
        <v>74277838.030000001</v>
      </c>
      <c r="C78" s="1225"/>
      <c r="D78" s="1224">
        <f>SUM(D76:D77)</f>
        <v>63352565.06000001</v>
      </c>
      <c r="E78" s="1225"/>
      <c r="F78" s="1224">
        <f>SUM(F76:F77)</f>
        <v>10925273.969999997</v>
      </c>
      <c r="G78" s="798"/>
      <c r="H78" s="792" t="s">
        <v>1740</v>
      </c>
      <c r="I78" s="798"/>
      <c r="J78" s="1224">
        <f>SUM(J76:J77)</f>
        <v>166036685.28</v>
      </c>
      <c r="K78" s="1226"/>
      <c r="L78" s="1224">
        <f>SUM(L76:L77)</f>
        <v>91479781.730000004</v>
      </c>
      <c r="M78" s="1227"/>
      <c r="N78" s="1224">
        <f>SUM(N76:N77)</f>
        <v>74556903.550000012</v>
      </c>
      <c r="O78" s="1209"/>
      <c r="P78" s="792" t="s">
        <v>1740</v>
      </c>
      <c r="Q78" s="798"/>
      <c r="R78" s="1224">
        <f>SUM(R76:R77)</f>
        <v>93310873.039999992</v>
      </c>
      <c r="S78" s="1226"/>
      <c r="T78" s="1224">
        <f>SUM(T76:T77)</f>
        <v>108152233.24000001</v>
      </c>
      <c r="U78" s="1227"/>
      <c r="V78" s="1224">
        <f>SUM(V76:V77)</f>
        <v>-14841360.20000001</v>
      </c>
      <c r="W78" s="840"/>
    </row>
    <row r="79" spans="1:23" ht="13.5" thickTop="1">
      <c r="A79" s="1214"/>
      <c r="B79" s="1215"/>
      <c r="C79" s="1216"/>
      <c r="D79" s="1215"/>
      <c r="E79" s="1216"/>
      <c r="F79" s="1215"/>
      <c r="G79" s="1216"/>
      <c r="H79" s="1216"/>
      <c r="I79" s="1216"/>
      <c r="J79" s="1215"/>
      <c r="K79" s="823"/>
      <c r="L79" s="1215"/>
      <c r="M79" s="1216"/>
      <c r="N79" s="1215"/>
      <c r="O79" s="1217"/>
      <c r="P79" s="1228"/>
      <c r="Q79" s="999"/>
      <c r="R79" s="999"/>
      <c r="S79" s="999"/>
      <c r="T79" s="999"/>
      <c r="U79" s="999"/>
      <c r="V79" s="999"/>
      <c r="W79" s="847"/>
    </row>
  </sheetData>
  <mergeCells count="32">
    <mergeCell ref="M50:M54"/>
    <mergeCell ref="B1:V1"/>
    <mergeCell ref="B2:W2"/>
    <mergeCell ref="B3:W3"/>
    <mergeCell ref="O50:O54"/>
    <mergeCell ref="K50:K54"/>
    <mergeCell ref="O5:O9"/>
    <mergeCell ref="H5:H9"/>
    <mergeCell ref="P5:P9"/>
    <mergeCell ref="Q5:Q9"/>
    <mergeCell ref="S5:S9"/>
    <mergeCell ref="U5:U9"/>
    <mergeCell ref="Q50:Q54"/>
    <mergeCell ref="S50:S54"/>
    <mergeCell ref="P50:P54"/>
    <mergeCell ref="U50:U54"/>
    <mergeCell ref="A5:A9"/>
    <mergeCell ref="C5:C9"/>
    <mergeCell ref="E5:E9"/>
    <mergeCell ref="G5:G9"/>
    <mergeCell ref="A50:A54"/>
    <mergeCell ref="C50:C54"/>
    <mergeCell ref="E50:E54"/>
    <mergeCell ref="G50:G54"/>
    <mergeCell ref="B45:V45"/>
    <mergeCell ref="B46:V46"/>
    <mergeCell ref="B47:V47"/>
    <mergeCell ref="I50:I54"/>
    <mergeCell ref="I5:I9"/>
    <mergeCell ref="K5:K9"/>
    <mergeCell ref="M5:M9"/>
    <mergeCell ref="H50:H54"/>
  </mergeCells>
  <phoneticPr fontId="0" type="noConversion"/>
  <printOptions horizontalCentered="1"/>
  <pageMargins left="0.6692913385826772" right="0.39370078740157483" top="0.98425196850393704" bottom="0.98425196850393704" header="0.51181102362204722" footer="0.51181102362204722"/>
  <pageSetup scale="51" orientation="portrait" r:id="rId1"/>
  <headerFooter>
    <oddHeader>&amp;C FINANCIAL STATEMENTS: MUSINA LOCAL MUNICIPALITY</oddHeader>
    <oddFooter>&amp;RPage &amp;P</oddFooter>
  </headerFooter>
  <colBreaks count="1" manualBreakCount="1">
    <brk id="15" max="1048575" man="1"/>
  </colBreaks>
</worksheet>
</file>

<file path=xl/worksheets/sheet3.xml><?xml version="1.0" encoding="utf-8"?>
<worksheet xmlns="http://schemas.openxmlformats.org/spreadsheetml/2006/main" xmlns:r="http://schemas.openxmlformats.org/officeDocument/2006/relationships">
  <sheetPr>
    <pageSetUpPr fitToPage="1"/>
  </sheetPr>
  <dimension ref="A1:J125"/>
  <sheetViews>
    <sheetView tabSelected="1" view="pageBreakPreview" zoomScaleSheetLayoutView="100" workbookViewId="0">
      <selection activeCell="B43" sqref="B43"/>
    </sheetView>
  </sheetViews>
  <sheetFormatPr defaultRowHeight="15"/>
  <cols>
    <col min="1" max="16384" width="9.140625" style="235"/>
  </cols>
  <sheetData>
    <row r="1" spans="1:10" ht="15.75" thickTop="1">
      <c r="A1" s="391"/>
      <c r="B1" s="392"/>
      <c r="C1" s="392"/>
      <c r="D1" s="392"/>
      <c r="E1" s="392"/>
      <c r="F1" s="392"/>
      <c r="G1" s="392"/>
      <c r="H1" s="392"/>
      <c r="I1" s="392"/>
      <c r="J1" s="393"/>
    </row>
    <row r="2" spans="1:10">
      <c r="A2" s="394"/>
      <c r="B2" s="395"/>
      <c r="C2" s="395"/>
      <c r="D2" s="395"/>
      <c r="E2" s="395"/>
      <c r="F2" s="395"/>
      <c r="G2" s="395"/>
      <c r="H2" s="395"/>
      <c r="I2" s="395"/>
      <c r="J2" s="396"/>
    </row>
    <row r="3" spans="1:10" ht="21">
      <c r="A3" s="394"/>
      <c r="B3" s="397" t="s">
        <v>2984</v>
      </c>
      <c r="C3" s="395"/>
      <c r="D3" s="395"/>
      <c r="E3" s="395"/>
      <c r="F3" s="395"/>
      <c r="G3" s="395"/>
      <c r="H3" s="395"/>
      <c r="I3" s="395"/>
      <c r="J3" s="396"/>
    </row>
    <row r="4" spans="1:10" ht="15.75">
      <c r="A4" s="394"/>
      <c r="B4" s="398"/>
      <c r="C4" s="395"/>
      <c r="D4" s="395"/>
      <c r="E4" s="395"/>
      <c r="F4" s="395"/>
      <c r="G4" s="395"/>
      <c r="H4" s="395"/>
      <c r="I4" s="395"/>
      <c r="J4" s="396"/>
    </row>
    <row r="5" spans="1:10">
      <c r="A5" s="394"/>
      <c r="C5" s="395"/>
      <c r="D5" s="395"/>
      <c r="E5" s="395"/>
      <c r="F5" s="395"/>
      <c r="G5" s="395"/>
      <c r="H5" s="395"/>
      <c r="I5" s="395"/>
      <c r="J5" s="396"/>
    </row>
    <row r="6" spans="1:10" ht="60" customHeight="1">
      <c r="A6" s="394"/>
      <c r="B6" s="1783" t="s">
        <v>3313</v>
      </c>
      <c r="C6" s="1783"/>
      <c r="D6" s="1783"/>
      <c r="E6" s="1783"/>
      <c r="F6" s="1783"/>
      <c r="G6" s="1783"/>
      <c r="H6" s="1783"/>
      <c r="I6" s="1783"/>
      <c r="J6" s="396"/>
    </row>
    <row r="7" spans="1:10">
      <c r="A7" s="394"/>
      <c r="B7" s="399"/>
      <c r="C7" s="395"/>
      <c r="D7" s="395"/>
      <c r="E7" s="395"/>
      <c r="F7" s="395"/>
      <c r="G7" s="395"/>
      <c r="H7" s="395"/>
      <c r="I7" s="395"/>
      <c r="J7" s="396"/>
    </row>
    <row r="8" spans="1:10" ht="81" customHeight="1">
      <c r="A8" s="394"/>
      <c r="B8" s="1783" t="s">
        <v>3319</v>
      </c>
      <c r="C8" s="1783"/>
      <c r="D8" s="1783"/>
      <c r="E8" s="1783"/>
      <c r="F8" s="1783"/>
      <c r="G8" s="1783"/>
      <c r="H8" s="1783"/>
      <c r="I8" s="1783"/>
      <c r="J8" s="396"/>
    </row>
    <row r="9" spans="1:10">
      <c r="A9" s="394"/>
      <c r="B9" s="399"/>
      <c r="C9" s="395"/>
      <c r="D9" s="395"/>
      <c r="E9" s="395"/>
      <c r="F9" s="395"/>
      <c r="G9" s="395"/>
      <c r="H9" s="395"/>
      <c r="I9" s="395"/>
      <c r="J9" s="396"/>
    </row>
    <row r="10" spans="1:10">
      <c r="A10" s="394"/>
      <c r="B10" s="399"/>
      <c r="C10" s="395"/>
      <c r="D10" s="395"/>
      <c r="E10" s="395"/>
      <c r="F10" s="395"/>
      <c r="G10" s="395"/>
      <c r="H10" s="395"/>
      <c r="I10" s="395"/>
      <c r="J10" s="396"/>
    </row>
    <row r="11" spans="1:10">
      <c r="A11" s="394"/>
      <c r="B11" s="399"/>
      <c r="C11" s="395"/>
      <c r="D11" s="395"/>
      <c r="E11" s="395"/>
      <c r="F11" s="395"/>
      <c r="G11" s="395"/>
      <c r="H11" s="395"/>
      <c r="I11" s="395"/>
      <c r="J11" s="396"/>
    </row>
    <row r="12" spans="1:10">
      <c r="A12" s="394"/>
      <c r="B12" s="400"/>
      <c r="C12" s="395"/>
      <c r="D12" s="395"/>
      <c r="E12" s="395"/>
      <c r="F12" s="395"/>
      <c r="G12" s="395"/>
      <c r="H12" s="395"/>
      <c r="I12" s="395"/>
      <c r="J12" s="396"/>
    </row>
    <row r="13" spans="1:10">
      <c r="A13" s="394"/>
      <c r="B13" s="400"/>
      <c r="C13" s="395"/>
      <c r="D13" s="395"/>
      <c r="E13" s="395"/>
      <c r="F13" s="395"/>
      <c r="G13" s="395"/>
      <c r="H13" s="395"/>
      <c r="I13" s="395"/>
      <c r="J13" s="396"/>
    </row>
    <row r="14" spans="1:10">
      <c r="A14" s="394"/>
      <c r="B14" s="400"/>
      <c r="C14" s="395"/>
      <c r="D14" s="395"/>
      <c r="E14" s="395"/>
      <c r="F14" s="395"/>
      <c r="G14" s="395"/>
      <c r="H14" s="395"/>
      <c r="I14" s="395"/>
      <c r="J14" s="396"/>
    </row>
    <row r="15" spans="1:10">
      <c r="A15" s="394"/>
      <c r="B15" s="401"/>
      <c r="C15" s="395"/>
      <c r="D15" s="395"/>
      <c r="E15" s="395"/>
      <c r="F15" s="395"/>
      <c r="G15" s="395"/>
      <c r="H15" s="395"/>
      <c r="I15" s="395"/>
      <c r="J15" s="396"/>
    </row>
    <row r="16" spans="1:10">
      <c r="A16" s="394"/>
      <c r="B16" s="438" t="s">
        <v>3929</v>
      </c>
      <c r="C16" s="439"/>
      <c r="D16" s="439"/>
      <c r="E16" s="395"/>
      <c r="F16" s="395"/>
      <c r="G16" s="438" t="s">
        <v>3928</v>
      </c>
      <c r="H16" s="438"/>
      <c r="I16" s="439"/>
      <c r="J16" s="396"/>
    </row>
    <row r="17" spans="1:10">
      <c r="A17" s="394"/>
      <c r="B17" s="421" t="s">
        <v>3865</v>
      </c>
      <c r="C17" s="395"/>
      <c r="D17" s="395"/>
      <c r="E17" s="395"/>
      <c r="F17" s="395"/>
      <c r="G17" s="311" t="s">
        <v>3930</v>
      </c>
      <c r="H17" s="395"/>
      <c r="I17" s="395"/>
      <c r="J17" s="396"/>
    </row>
    <row r="18" spans="1:10">
      <c r="A18" s="394"/>
      <c r="C18" s="395"/>
      <c r="D18" s="395"/>
      <c r="E18" s="395"/>
      <c r="F18" s="395"/>
      <c r="G18" s="395"/>
      <c r="H18" s="395"/>
      <c r="I18" s="395"/>
      <c r="J18" s="396"/>
    </row>
    <row r="19" spans="1:10">
      <c r="A19" s="394"/>
      <c r="C19" s="395"/>
      <c r="D19" s="395"/>
      <c r="E19" s="395"/>
      <c r="F19" s="395"/>
      <c r="G19" s="395"/>
      <c r="H19" s="395"/>
      <c r="I19" s="395"/>
      <c r="J19" s="396"/>
    </row>
    <row r="20" spans="1:10">
      <c r="A20" s="394"/>
      <c r="B20" s="401" t="s">
        <v>2452</v>
      </c>
      <c r="C20" s="395"/>
      <c r="D20" s="395"/>
      <c r="E20" s="395"/>
      <c r="F20" s="395"/>
      <c r="G20" s="401" t="s">
        <v>2452</v>
      </c>
      <c r="H20" s="395"/>
      <c r="I20" s="395"/>
      <c r="J20" s="396"/>
    </row>
    <row r="21" spans="1:10">
      <c r="A21" s="394"/>
      <c r="B21" s="395"/>
      <c r="C21" s="395"/>
      <c r="D21" s="395"/>
      <c r="E21" s="395"/>
      <c r="F21" s="395"/>
      <c r="G21" s="395"/>
      <c r="H21" s="395"/>
      <c r="I21" s="395"/>
      <c r="J21" s="396"/>
    </row>
    <row r="22" spans="1:10">
      <c r="A22" s="394"/>
      <c r="B22" s="395"/>
      <c r="C22" s="395"/>
      <c r="D22" s="395"/>
      <c r="E22" s="395"/>
      <c r="F22" s="395"/>
      <c r="G22" s="395"/>
      <c r="H22" s="395"/>
      <c r="I22" s="395"/>
      <c r="J22" s="396"/>
    </row>
    <row r="23" spans="1:10">
      <c r="A23" s="394"/>
      <c r="B23" s="395"/>
      <c r="C23" s="395"/>
      <c r="D23" s="395"/>
      <c r="E23" s="395"/>
      <c r="F23" s="395"/>
      <c r="G23" s="395"/>
      <c r="H23" s="395"/>
      <c r="I23" s="395"/>
      <c r="J23" s="396"/>
    </row>
    <row r="24" spans="1:10">
      <c r="A24" s="394"/>
      <c r="B24" s="395"/>
      <c r="C24" s="395"/>
      <c r="D24" s="395"/>
      <c r="E24" s="395"/>
      <c r="F24" s="395"/>
      <c r="G24" s="395"/>
      <c r="H24" s="395"/>
      <c r="I24" s="395"/>
      <c r="J24" s="396"/>
    </row>
    <row r="25" spans="1:10">
      <c r="A25" s="394"/>
      <c r="B25" s="395"/>
      <c r="C25" s="395"/>
      <c r="D25" s="395"/>
      <c r="E25" s="395"/>
      <c r="F25" s="395"/>
      <c r="G25" s="395"/>
      <c r="H25" s="395"/>
      <c r="I25" s="395"/>
      <c r="J25" s="396"/>
    </row>
    <row r="26" spans="1:10">
      <c r="A26" s="394"/>
      <c r="B26" s="395"/>
      <c r="C26" s="395"/>
      <c r="D26" s="395"/>
      <c r="E26" s="395"/>
      <c r="F26" s="395"/>
      <c r="G26" s="395"/>
      <c r="H26" s="395"/>
      <c r="I26" s="395"/>
      <c r="J26" s="396"/>
    </row>
    <row r="27" spans="1:10">
      <c r="A27" s="394"/>
      <c r="B27" s="395"/>
      <c r="C27" s="395"/>
      <c r="D27" s="395"/>
      <c r="E27" s="395"/>
      <c r="F27" s="395"/>
      <c r="G27" s="395"/>
      <c r="H27" s="395"/>
      <c r="I27" s="395"/>
      <c r="J27" s="396"/>
    </row>
    <row r="28" spans="1:10">
      <c r="A28" s="394"/>
      <c r="B28" s="395"/>
      <c r="C28" s="395"/>
      <c r="D28" s="395"/>
      <c r="E28" s="395"/>
      <c r="F28" s="395"/>
      <c r="G28" s="395"/>
      <c r="H28" s="395"/>
      <c r="I28" s="395"/>
      <c r="J28" s="396"/>
    </row>
    <row r="29" spans="1:10">
      <c r="A29" s="394"/>
      <c r="B29" s="395"/>
      <c r="C29" s="395"/>
      <c r="D29" s="395"/>
      <c r="E29" s="395"/>
      <c r="F29" s="395"/>
      <c r="G29" s="395"/>
      <c r="H29" s="395"/>
      <c r="I29" s="395"/>
      <c r="J29" s="396"/>
    </row>
    <row r="30" spans="1:10">
      <c r="A30" s="394"/>
      <c r="B30" s="395"/>
      <c r="C30" s="395"/>
      <c r="D30" s="395"/>
      <c r="E30" s="395"/>
      <c r="F30" s="395"/>
      <c r="G30" s="395"/>
      <c r="H30" s="395"/>
      <c r="I30" s="395"/>
      <c r="J30" s="396"/>
    </row>
    <row r="31" spans="1:10">
      <c r="A31" s="394"/>
      <c r="B31" s="395"/>
      <c r="C31" s="395"/>
      <c r="D31" s="395"/>
      <c r="E31" s="395"/>
      <c r="F31" s="395"/>
      <c r="G31" s="395"/>
      <c r="H31" s="395"/>
      <c r="I31" s="395"/>
      <c r="J31" s="396"/>
    </row>
    <row r="32" spans="1:10">
      <c r="A32" s="394"/>
      <c r="B32" s="395"/>
      <c r="C32" s="395"/>
      <c r="D32" s="395"/>
      <c r="E32" s="395"/>
      <c r="F32" s="395"/>
      <c r="G32" s="395"/>
      <c r="H32" s="395"/>
      <c r="I32" s="395"/>
      <c r="J32" s="396"/>
    </row>
    <row r="33" spans="1:10">
      <c r="A33" s="394"/>
      <c r="B33" s="395"/>
      <c r="C33" s="395"/>
      <c r="D33" s="395"/>
      <c r="E33" s="395"/>
      <c r="F33" s="395"/>
      <c r="G33" s="395"/>
      <c r="H33" s="395"/>
      <c r="I33" s="395"/>
      <c r="J33" s="396"/>
    </row>
    <row r="34" spans="1:10">
      <c r="A34" s="394"/>
      <c r="B34" s="395"/>
      <c r="C34" s="395"/>
      <c r="D34" s="395"/>
      <c r="E34" s="395"/>
      <c r="F34" s="395"/>
      <c r="G34" s="395"/>
      <c r="H34" s="395"/>
      <c r="I34" s="395"/>
      <c r="J34" s="396"/>
    </row>
    <row r="35" spans="1:10">
      <c r="A35" s="394"/>
      <c r="B35" s="395"/>
      <c r="C35" s="395"/>
      <c r="D35" s="395"/>
      <c r="E35" s="395"/>
      <c r="F35" s="395"/>
      <c r="G35" s="395"/>
      <c r="H35" s="395"/>
      <c r="I35" s="395"/>
      <c r="J35" s="396"/>
    </row>
    <row r="36" spans="1:10">
      <c r="A36" s="394"/>
      <c r="B36" s="395"/>
      <c r="C36" s="395"/>
      <c r="D36" s="395"/>
      <c r="E36" s="395"/>
      <c r="F36" s="395"/>
      <c r="G36" s="395"/>
      <c r="H36" s="395"/>
      <c r="I36" s="395"/>
      <c r="J36" s="396"/>
    </row>
    <row r="37" spans="1:10">
      <c r="A37" s="394"/>
      <c r="B37" s="395"/>
      <c r="C37" s="395"/>
      <c r="D37" s="395"/>
      <c r="E37" s="395"/>
      <c r="F37" s="395"/>
      <c r="G37" s="395"/>
      <c r="H37" s="395"/>
      <c r="I37" s="395"/>
      <c r="J37" s="396"/>
    </row>
    <row r="38" spans="1:10">
      <c r="A38" s="394"/>
      <c r="B38" s="395"/>
      <c r="C38" s="395"/>
      <c r="D38" s="395"/>
      <c r="E38" s="395"/>
      <c r="F38" s="395"/>
      <c r="G38" s="395"/>
      <c r="H38" s="395"/>
      <c r="I38" s="395"/>
      <c r="J38" s="396"/>
    </row>
    <row r="39" spans="1:10">
      <c r="A39" s="394"/>
      <c r="B39" s="395"/>
      <c r="C39" s="395"/>
      <c r="D39" s="395"/>
      <c r="E39" s="395"/>
      <c r="F39" s="395"/>
      <c r="G39" s="395"/>
      <c r="H39" s="395"/>
      <c r="I39" s="395"/>
      <c r="J39" s="396"/>
    </row>
    <row r="40" spans="1:10">
      <c r="A40" s="394"/>
      <c r="B40" s="395"/>
      <c r="C40" s="395"/>
      <c r="D40" s="395"/>
      <c r="E40" s="395"/>
      <c r="F40" s="395"/>
      <c r="G40" s="395"/>
      <c r="H40" s="395"/>
      <c r="I40" s="395"/>
      <c r="J40" s="396"/>
    </row>
    <row r="41" spans="1:10">
      <c r="A41" s="394"/>
      <c r="B41" s="395"/>
      <c r="C41" s="395"/>
      <c r="D41" s="395"/>
      <c r="E41" s="395"/>
      <c r="F41" s="395"/>
      <c r="G41" s="395"/>
      <c r="H41" s="395"/>
      <c r="I41" s="395"/>
      <c r="J41" s="396"/>
    </row>
    <row r="42" spans="1:10">
      <c r="A42" s="394"/>
      <c r="B42" s="395"/>
      <c r="C42" s="395"/>
      <c r="D42" s="395"/>
      <c r="E42" s="395"/>
      <c r="F42" s="395"/>
      <c r="G42" s="395"/>
      <c r="H42" s="395"/>
      <c r="I42" s="395"/>
      <c r="J42" s="396"/>
    </row>
    <row r="43" spans="1:10" ht="15.75" thickBot="1">
      <c r="A43" s="402"/>
      <c r="B43" s="403"/>
      <c r="C43" s="403"/>
      <c r="D43" s="403"/>
      <c r="E43" s="403"/>
      <c r="F43" s="403"/>
      <c r="G43" s="403"/>
      <c r="H43" s="403"/>
      <c r="I43" s="403"/>
      <c r="J43" s="404"/>
    </row>
    <row r="44" spans="1:10" ht="15.75" thickTop="1"/>
    <row r="125" spans="7:7">
      <c r="G125" s="235">
        <v>5253981.1399999997</v>
      </c>
    </row>
  </sheetData>
  <mergeCells count="2">
    <mergeCell ref="B6:I6"/>
    <mergeCell ref="B8:I8"/>
  </mergeCells>
  <printOptions horizontalCentered="1"/>
  <pageMargins left="0.70866141732283472" right="0.70866141732283472" top="0.74803149606299213" bottom="0.74803149606299213" header="0.31496062992125984" footer="0.31496062992125984"/>
  <pageSetup paperSize="9" scale="95" orientation="portrait" r:id="rId1"/>
</worksheet>
</file>

<file path=xl/worksheets/sheet30.xml><?xml version="1.0" encoding="utf-8"?>
<worksheet xmlns="http://schemas.openxmlformats.org/spreadsheetml/2006/main" xmlns:r="http://schemas.openxmlformats.org/officeDocument/2006/relationships">
  <sheetPr>
    <pageSetUpPr fitToPage="1"/>
  </sheetPr>
  <dimension ref="A1:H59"/>
  <sheetViews>
    <sheetView tabSelected="1" view="pageBreakPreview" topLeftCell="A20" zoomScaleSheetLayoutView="100" workbookViewId="0">
      <selection activeCell="B43" sqref="B43"/>
    </sheetView>
  </sheetViews>
  <sheetFormatPr defaultRowHeight="12.75"/>
  <cols>
    <col min="1" max="1" width="41.42578125" style="837" customWidth="1"/>
    <col min="2" max="2" width="15.5703125" style="978" bestFit="1" customWidth="1"/>
    <col min="3" max="3" width="14.85546875" style="978" bestFit="1" customWidth="1"/>
    <col min="4" max="4" width="15.140625" style="978" bestFit="1" customWidth="1"/>
    <col min="5" max="5" width="16.7109375" style="978" bestFit="1" customWidth="1"/>
    <col min="6" max="6" width="37.85546875" style="1118" customWidth="1"/>
    <col min="7" max="7" width="16.85546875" style="837" customWidth="1"/>
    <col min="8" max="16384" width="9.140625" style="837"/>
  </cols>
  <sheetData>
    <row r="1" spans="1:7">
      <c r="A1" s="1942" t="s">
        <v>2473</v>
      </c>
      <c r="B1" s="1942"/>
      <c r="C1" s="1942"/>
      <c r="D1" s="1942"/>
      <c r="E1" s="1942"/>
      <c r="F1" s="1942"/>
    </row>
    <row r="2" spans="1:7">
      <c r="A2" s="1942" t="s">
        <v>1078</v>
      </c>
      <c r="B2" s="1942"/>
      <c r="C2" s="1942"/>
      <c r="D2" s="1942"/>
      <c r="E2" s="1942"/>
      <c r="F2" s="1942"/>
    </row>
    <row r="3" spans="1:7">
      <c r="A3" s="1942" t="s">
        <v>3483</v>
      </c>
      <c r="B3" s="1942"/>
      <c r="C3" s="1942"/>
      <c r="D3" s="1942"/>
      <c r="E3" s="1942"/>
      <c r="F3" s="1942"/>
    </row>
    <row r="4" spans="1:7">
      <c r="A4" s="714"/>
      <c r="B4" s="1151"/>
      <c r="C4" s="1151"/>
      <c r="D4" s="1151"/>
      <c r="E4" s="1151"/>
      <c r="F4" s="1152"/>
    </row>
    <row r="5" spans="1:7" s="1000" customFormat="1" ht="25.5">
      <c r="A5" s="1943"/>
      <c r="B5" s="909" t="s">
        <v>3487</v>
      </c>
      <c r="C5" s="909" t="s">
        <v>3488</v>
      </c>
      <c r="D5" s="909" t="s">
        <v>3489</v>
      </c>
      <c r="E5" s="909" t="s">
        <v>3490</v>
      </c>
      <c r="F5" s="1153" t="s">
        <v>1639</v>
      </c>
      <c r="G5" s="1000" t="s">
        <v>2679</v>
      </c>
    </row>
    <row r="6" spans="1:7">
      <c r="A6" s="1944"/>
      <c r="B6" s="1154" t="s">
        <v>2422</v>
      </c>
      <c r="C6" s="1154" t="s">
        <v>2422</v>
      </c>
      <c r="D6" s="1154" t="s">
        <v>2422</v>
      </c>
      <c r="E6" s="1154" t="s">
        <v>2303</v>
      </c>
      <c r="F6" s="1155"/>
    </row>
    <row r="7" spans="1:7">
      <c r="A7" s="1156" t="s">
        <v>1110</v>
      </c>
      <c r="B7" s="1157"/>
      <c r="C7" s="553"/>
      <c r="D7" s="553"/>
      <c r="E7" s="553"/>
      <c r="F7" s="1158"/>
    </row>
    <row r="8" spans="1:7">
      <c r="A8" s="1158" t="s">
        <v>1112</v>
      </c>
      <c r="B8" s="553">
        <f>-'TRAIL BALANCE'!S2-'TRAIL BALANCE'!S3-'TRAIL BALANCE'!S4-'TRAIL BALANCE'!S5-'TRAIL BALANCE'!S6</f>
        <v>9457596</v>
      </c>
      <c r="C8" s="553">
        <f>-'TRAIL BALANCE'!T2-'TRAIL BALANCE'!T3-'TRAIL BALANCE'!T4-'TRAIL BALANCE'!T5-'TRAIL BALANCE'!T6-'TRAIL BALANCE'!T7</f>
        <v>10677702</v>
      </c>
      <c r="D8" s="553">
        <f>B8-C8</f>
        <v>-1220106</v>
      </c>
      <c r="E8" s="1159">
        <f t="shared" ref="E8:E26" si="0">D8/C8*100</f>
        <v>-11.426672143500539</v>
      </c>
      <c r="F8" s="1160" t="s">
        <v>3886</v>
      </c>
    </row>
    <row r="9" spans="1:7">
      <c r="A9" s="1158" t="s">
        <v>44</v>
      </c>
      <c r="B9" s="553">
        <f>-'TRAIL BALANCE'!S621-'TRAIL BALANCE'!S622-'TRAIL BALANCE'!S623-'TRAIL BALANCE'!S624-'TRAIL BALANCE'!S625-'TRAIL BALANCE'!S626-'TRAIL BALANCE'!S627</f>
        <v>40994741.689999998</v>
      </c>
      <c r="C9" s="553">
        <f>-'TRAIL BALANCE'!T621-'TRAIL BALANCE'!T622-'TRAIL BALANCE'!T623-'TRAIL BALANCE'!T624</f>
        <v>27815144</v>
      </c>
      <c r="D9" s="553">
        <f t="shared" ref="D9:D25" si="1">B9-C9</f>
        <v>13179597.689999998</v>
      </c>
      <c r="E9" s="1159">
        <f t="shared" si="0"/>
        <v>47.382813081967143</v>
      </c>
      <c r="F9" s="1158" t="s">
        <v>3550</v>
      </c>
    </row>
    <row r="10" spans="1:7">
      <c r="A10" s="1158" t="s">
        <v>3354</v>
      </c>
      <c r="B10" s="553">
        <f>-'TRAIL BALANCE'!S628</f>
        <v>754842.32000000007</v>
      </c>
      <c r="C10" s="553">
        <f>-'TRAIL BALANCE'!T628</f>
        <v>0</v>
      </c>
      <c r="D10" s="553"/>
      <c r="E10" s="1159">
        <v>0</v>
      </c>
      <c r="F10" s="1158"/>
    </row>
    <row r="11" spans="1:7">
      <c r="A11" s="1158" t="s">
        <v>2256</v>
      </c>
      <c r="B11" s="553">
        <f>-'TRAIL BALANCE'!S468</f>
        <v>5016917.6399999997</v>
      </c>
      <c r="C11" s="553">
        <f>-'TRAIL BALANCE'!T468</f>
        <v>3975169</v>
      </c>
      <c r="D11" s="553">
        <f t="shared" si="1"/>
        <v>1041748.6399999997</v>
      </c>
      <c r="E11" s="1159">
        <f t="shared" si="0"/>
        <v>26.20639877197673</v>
      </c>
      <c r="F11" s="1158" t="s">
        <v>3887</v>
      </c>
    </row>
    <row r="12" spans="1:7" hidden="1">
      <c r="A12" s="1158" t="s">
        <v>1116</v>
      </c>
      <c r="B12" s="553">
        <f>'TRAIL BALANCE'!G816</f>
        <v>0</v>
      </c>
      <c r="C12" s="553">
        <f>'TRAIL BALANCE'!H816</f>
        <v>0</v>
      </c>
      <c r="D12" s="553">
        <f t="shared" si="1"/>
        <v>0</v>
      </c>
      <c r="E12" s="1159" t="e">
        <f t="shared" si="0"/>
        <v>#DIV/0!</v>
      </c>
      <c r="F12" s="1158"/>
    </row>
    <row r="13" spans="1:7" hidden="1">
      <c r="A13" s="1158" t="s">
        <v>1117</v>
      </c>
      <c r="B13" s="553">
        <f>'TRAIL BALANCE'!G846</f>
        <v>0</v>
      </c>
      <c r="C13" s="553">
        <f>'TRAIL BALANCE'!H846</f>
        <v>0</v>
      </c>
      <c r="D13" s="553">
        <f t="shared" si="1"/>
        <v>0</v>
      </c>
      <c r="E13" s="1159" t="e">
        <f t="shared" si="0"/>
        <v>#DIV/0!</v>
      </c>
      <c r="F13" s="1158" t="s">
        <v>45</v>
      </c>
    </row>
    <row r="14" spans="1:7">
      <c r="A14" s="1158" t="s">
        <v>1118</v>
      </c>
      <c r="B14" s="553">
        <f>-'TRAIL BALANCE'!S411-'TRAIL BALANCE'!S543-'TRAIL BALANCE'!S589-'TRAIL BALANCE'!S542</f>
        <v>226442.71</v>
      </c>
      <c r="C14" s="553">
        <f>-'TRAIL BALANCE'!T411-'TRAIL BALANCE'!T543-'TRAIL BALANCE'!T589</f>
        <v>157860</v>
      </c>
      <c r="D14" s="553">
        <f t="shared" si="1"/>
        <v>68582.709999999992</v>
      </c>
      <c r="E14" s="1159">
        <f t="shared" si="0"/>
        <v>43.44527429367794</v>
      </c>
      <c r="F14" s="1161" t="s">
        <v>3887</v>
      </c>
    </row>
    <row r="15" spans="1:7">
      <c r="A15" s="1158" t="s">
        <v>1119</v>
      </c>
      <c r="B15" s="553">
        <f>-'TRAIL BALANCE'!S272</f>
        <v>67227.759999999995</v>
      </c>
      <c r="C15" s="553">
        <f>-'TRAIL BALANCE'!T272</f>
        <v>210800</v>
      </c>
      <c r="D15" s="553">
        <f t="shared" si="1"/>
        <v>-143572.24</v>
      </c>
      <c r="E15" s="1159">
        <f t="shared" si="0"/>
        <v>-68.108273244781785</v>
      </c>
      <c r="F15" s="1161" t="s">
        <v>3888</v>
      </c>
    </row>
    <row r="16" spans="1:7">
      <c r="A16" s="1158" t="s">
        <v>1120</v>
      </c>
      <c r="B16" s="553">
        <f>-'TRAIL BALANCE'!S273</f>
        <v>799677.8</v>
      </c>
      <c r="C16" s="553">
        <f>-'TRAIL BALANCE'!T273</f>
        <v>1250000</v>
      </c>
      <c r="D16" s="553">
        <f t="shared" si="1"/>
        <v>-450322.19999999995</v>
      </c>
      <c r="E16" s="1159">
        <f t="shared" si="0"/>
        <v>-36.025776</v>
      </c>
      <c r="F16" s="1161" t="s">
        <v>3888</v>
      </c>
    </row>
    <row r="17" spans="1:7">
      <c r="A17" s="1158" t="s">
        <v>1121</v>
      </c>
      <c r="B17" s="553">
        <f>-'TRAIL BALANCE'!S767</f>
        <v>444496</v>
      </c>
      <c r="C17" s="553">
        <f>-'TRAIL BALANCE'!T767</f>
        <v>3000000</v>
      </c>
      <c r="D17" s="553">
        <f t="shared" si="1"/>
        <v>-2555504</v>
      </c>
      <c r="E17" s="1159">
        <f t="shared" si="0"/>
        <v>-85.183466666666661</v>
      </c>
      <c r="F17" s="1162" t="s">
        <v>3889</v>
      </c>
    </row>
    <row r="18" spans="1:7">
      <c r="A18" s="1158" t="s">
        <v>46</v>
      </c>
      <c r="B18" s="553">
        <f>-'TRAIL BALANCE'!S766</f>
        <v>2343576.65</v>
      </c>
      <c r="C18" s="553">
        <f>-'TRAIL BALANCE'!T766</f>
        <v>2000000</v>
      </c>
      <c r="D18" s="553">
        <f t="shared" si="1"/>
        <v>343576.64999999991</v>
      </c>
      <c r="E18" s="1159">
        <f t="shared" si="0"/>
        <v>17.178832499999995</v>
      </c>
      <c r="F18" s="1161" t="s">
        <v>3890</v>
      </c>
    </row>
    <row r="19" spans="1:7">
      <c r="A19" s="1158" t="s">
        <v>47</v>
      </c>
      <c r="B19" s="553">
        <f>'TRAIL BALANCE'!S17</f>
        <v>0</v>
      </c>
      <c r="C19" s="553">
        <f>-'TRAIL BALANCE'!T17</f>
        <v>1500000</v>
      </c>
      <c r="D19" s="553">
        <f t="shared" si="1"/>
        <v>-1500000</v>
      </c>
      <c r="E19" s="1159">
        <f t="shared" si="0"/>
        <v>-100</v>
      </c>
      <c r="F19" s="1161" t="s">
        <v>3891</v>
      </c>
    </row>
    <row r="20" spans="1:7">
      <c r="A20" s="1158" t="s">
        <v>48</v>
      </c>
      <c r="B20" s="553">
        <f>-'TRAIL BALANCE'!S19-'TRAIL BALANCE'!S275-'TRAIL BALANCE'!S276-'TRAIL BALANCE'!S344</f>
        <v>23424329.829999998</v>
      </c>
      <c r="C20" s="553">
        <f>-'TRAIL BALANCE'!T19-'TRAIL BALANCE'!T275-'TRAIL BALANCE'!T276-'TRAIL BALANCE'!T344</f>
        <v>23424000</v>
      </c>
      <c r="D20" s="553">
        <f t="shared" si="1"/>
        <v>329.82999999821186</v>
      </c>
      <c r="E20" s="1159">
        <f t="shared" si="0"/>
        <v>1.4080857240360821E-3</v>
      </c>
      <c r="F20" s="1161" t="s">
        <v>45</v>
      </c>
    </row>
    <row r="21" spans="1:7">
      <c r="A21" s="1158" t="s">
        <v>49</v>
      </c>
      <c r="B21" s="553">
        <f>'TRAIL BALANCE'!S442-'TRAIL BALANCE'!S545-'TRAIL BALANCE'!S629</f>
        <v>7902795.96</v>
      </c>
      <c r="C21" s="553">
        <f>-'TRAIL BALANCE'!T545-'TRAIL BALANCE'!T442-'TRAIL BALANCE'!T629</f>
        <v>12165000</v>
      </c>
      <c r="D21" s="553">
        <f t="shared" si="1"/>
        <v>-4262204.04</v>
      </c>
      <c r="E21" s="1159">
        <f t="shared" si="0"/>
        <v>-35.036613563501852</v>
      </c>
      <c r="F21" s="1161" t="s">
        <v>3892</v>
      </c>
    </row>
    <row r="22" spans="1:7">
      <c r="A22" s="1158" t="s">
        <v>3353</v>
      </c>
      <c r="B22" s="553">
        <f>-'TRAIL BALANCE'!S546</f>
        <v>50276</v>
      </c>
      <c r="C22" s="553">
        <f>-'TRAIL BALANCE'!T14</f>
        <v>0</v>
      </c>
      <c r="D22" s="553"/>
      <c r="E22" s="1159">
        <v>0</v>
      </c>
      <c r="F22" s="1161"/>
    </row>
    <row r="23" spans="1:7" ht="25.5" hidden="1">
      <c r="A23" s="1158" t="s">
        <v>1126</v>
      </c>
      <c r="B23" s="553">
        <v>0</v>
      </c>
      <c r="C23" s="553">
        <v>0</v>
      </c>
      <c r="D23" s="553">
        <f t="shared" si="1"/>
        <v>0</v>
      </c>
      <c r="E23" s="1159" t="e">
        <f t="shared" si="0"/>
        <v>#DIV/0!</v>
      </c>
      <c r="F23" s="1161"/>
    </row>
    <row r="24" spans="1:7" ht="25.5">
      <c r="A24" s="1158" t="s">
        <v>1127</v>
      </c>
      <c r="B24" s="553">
        <f>-'TRAIL BALANCE'!S10-'TRAIL BALANCE'!S11-'TRAIL BALANCE'!S12-'TRAIL BALANCE'!S15-'TRAIL BALANCE'!S217-'TRAIL BALANCE'!S274-'TRAIL BALANCE'!S441-'TRAIL BALANCE'!S544-'TRAIL BALANCE'!S765-'TRAIL BALANCE'!S540</f>
        <v>1044952.6799999999</v>
      </c>
      <c r="C24" s="553">
        <f>-'TRAIL BALANCE'!T10-'TRAIL BALANCE'!T11-'TRAIL BALANCE'!T12-'TRAIL BALANCE'!T15-'TRAIL BALANCE'!T217-'TRAIL BALANCE'!T274-'TRAIL BALANCE'!T441-'TRAIL BALANCE'!T542-'TRAIL BALANCE'!T544-'TRAIL BALANCE'!T765-'TRAIL BALANCE'!T540</f>
        <v>11371773</v>
      </c>
      <c r="D24" s="553">
        <f t="shared" si="1"/>
        <v>-10326820.32</v>
      </c>
      <c r="E24" s="1159">
        <f t="shared" si="0"/>
        <v>-90.810995963426294</v>
      </c>
      <c r="F24" s="1161" t="s">
        <v>3893</v>
      </c>
    </row>
    <row r="25" spans="1:7" ht="25.5">
      <c r="A25" s="1158" t="s">
        <v>1638</v>
      </c>
      <c r="B25" s="553">
        <f>-'TRAIL BALANCE'!S590</f>
        <v>783000</v>
      </c>
      <c r="C25" s="553">
        <f>'WORK PAPER INCOME'!E86</f>
        <v>0</v>
      </c>
      <c r="D25" s="553">
        <f t="shared" si="1"/>
        <v>783000</v>
      </c>
      <c r="E25" s="1159">
        <v>0</v>
      </c>
      <c r="F25" s="1161" t="s">
        <v>3894</v>
      </c>
    </row>
    <row r="26" spans="1:7">
      <c r="A26" s="1155" t="s">
        <v>1128</v>
      </c>
      <c r="B26" s="1163">
        <f>SUM(B8:B25)</f>
        <v>93310873.039999992</v>
      </c>
      <c r="C26" s="1163">
        <f>SUM(C8:C25)</f>
        <v>97547448</v>
      </c>
      <c r="D26" s="1163">
        <f>SUM(D8:D25)</f>
        <v>-5041693.2800000021</v>
      </c>
      <c r="E26" s="1164">
        <f t="shared" si="0"/>
        <v>-5.1684522592533657</v>
      </c>
      <c r="F26" s="1165"/>
    </row>
    <row r="27" spans="1:7">
      <c r="A27" s="671"/>
      <c r="B27" s="673"/>
      <c r="C27" s="673"/>
      <c r="D27" s="673"/>
      <c r="E27" s="673"/>
      <c r="F27" s="1166"/>
      <c r="G27" s="1005"/>
    </row>
    <row r="28" spans="1:7">
      <c r="A28" s="1942" t="s">
        <v>2473</v>
      </c>
      <c r="B28" s="1942"/>
      <c r="C28" s="1942"/>
      <c r="D28" s="1942"/>
      <c r="E28" s="1942"/>
      <c r="F28" s="1942"/>
    </row>
    <row r="29" spans="1:7">
      <c r="A29" s="1942" t="s">
        <v>1078</v>
      </c>
      <c r="B29" s="1942"/>
      <c r="C29" s="1942"/>
      <c r="D29" s="1942"/>
      <c r="E29" s="1942"/>
      <c r="F29" s="1942"/>
    </row>
    <row r="30" spans="1:7">
      <c r="A30" s="1942" t="s">
        <v>3483</v>
      </c>
      <c r="B30" s="1942"/>
      <c r="C30" s="1942"/>
      <c r="D30" s="1942"/>
      <c r="E30" s="1942"/>
      <c r="F30" s="1942"/>
    </row>
    <row r="31" spans="1:7">
      <c r="A31" s="1945"/>
      <c r="B31" s="1945"/>
      <c r="C31" s="714"/>
      <c r="D31" s="714"/>
      <c r="E31" s="714"/>
      <c r="F31" s="714"/>
      <c r="G31" s="1167"/>
    </row>
    <row r="32" spans="1:7" ht="25.5">
      <c r="A32" s="1940"/>
      <c r="B32" s="1153" t="s">
        <v>3487</v>
      </c>
      <c r="C32" s="1153" t="s">
        <v>3488</v>
      </c>
      <c r="D32" s="1153" t="s">
        <v>3491</v>
      </c>
      <c r="E32" s="1153" t="s">
        <v>3492</v>
      </c>
      <c r="F32" s="1168" t="s">
        <v>1639</v>
      </c>
    </row>
    <row r="33" spans="1:8">
      <c r="A33" s="1941"/>
      <c r="B33" s="1169" t="s">
        <v>2422</v>
      </c>
      <c r="C33" s="1169" t="s">
        <v>2422</v>
      </c>
      <c r="D33" s="1169" t="s">
        <v>2422</v>
      </c>
      <c r="E33" s="1169" t="s">
        <v>2303</v>
      </c>
      <c r="F33" s="1155"/>
    </row>
    <row r="34" spans="1:8">
      <c r="A34" s="1156" t="s">
        <v>1129</v>
      </c>
      <c r="B34" s="1170"/>
      <c r="C34" s="1170"/>
      <c r="D34" s="1170"/>
      <c r="E34" s="1171"/>
      <c r="F34" s="1156"/>
    </row>
    <row r="35" spans="1:8">
      <c r="A35" s="1158" t="s">
        <v>778</v>
      </c>
      <c r="B35" s="553">
        <f>'WORK PAPER APP0910 E (1)'!E208</f>
        <v>25481359.830000006</v>
      </c>
      <c r="C35" s="553">
        <f>'WORK PAPER APP0910 E (1)'!F208</f>
        <v>25481386</v>
      </c>
      <c r="D35" s="553">
        <f t="shared" ref="D35:D51" si="2">B35-C35</f>
        <v>-26.169999994337559</v>
      </c>
      <c r="E35" s="1159">
        <f t="shared" ref="E35:E53" si="3">D35/C35*100</f>
        <v>-1.0270241969701947E-4</v>
      </c>
      <c r="F35" s="1158" t="s">
        <v>45</v>
      </c>
    </row>
    <row r="36" spans="1:8">
      <c r="A36" s="1158" t="s">
        <v>1130</v>
      </c>
      <c r="B36" s="553">
        <f>'WORK PAPER APP0910 E (1)'!E218</f>
        <v>2938625.45</v>
      </c>
      <c r="C36" s="553">
        <f>'WORK PAPER APP0910 E (1)'!F218</f>
        <v>2938627</v>
      </c>
      <c r="D36" s="553">
        <f t="shared" si="2"/>
        <v>-1.5499999998137355</v>
      </c>
      <c r="E36" s="1172">
        <f t="shared" si="3"/>
        <v>-5.2745721039578539E-5</v>
      </c>
      <c r="F36" s="1158"/>
    </row>
    <row r="37" spans="1:8">
      <c r="A37" s="1158" t="s">
        <v>1131</v>
      </c>
      <c r="B37" s="553">
        <f>'WORK PAPER APP0910 E (1)'!E220</f>
        <v>58520.71</v>
      </c>
      <c r="C37" s="553">
        <f>'WORK PAPER APP0910 E (1)'!F220</f>
        <v>58521</v>
      </c>
      <c r="D37" s="553">
        <f t="shared" si="2"/>
        <v>-0.29000000000087311</v>
      </c>
      <c r="E37" s="1172">
        <f t="shared" si="3"/>
        <v>-4.9554860648463471E-4</v>
      </c>
      <c r="F37" s="1158"/>
    </row>
    <row r="38" spans="1:8">
      <c r="A38" s="1158" t="s">
        <v>1132</v>
      </c>
      <c r="B38" s="553">
        <f>'WORK PAPER APP0910 E (1)'!E223</f>
        <v>31338.05</v>
      </c>
      <c r="C38" s="553">
        <f>'WORK PAPER APP0910 E (1)'!F223</f>
        <v>52604</v>
      </c>
      <c r="D38" s="553">
        <f t="shared" si="2"/>
        <v>-21265.95</v>
      </c>
      <c r="E38" s="1172">
        <f t="shared" si="3"/>
        <v>-40.426488479963503</v>
      </c>
      <c r="F38" s="1158"/>
    </row>
    <row r="39" spans="1:8">
      <c r="A39" s="1158" t="s">
        <v>1133</v>
      </c>
      <c r="B39" s="553">
        <f>'WORK PAPER APP0910 E (1)'!E243</f>
        <v>4948382.3900000006</v>
      </c>
      <c r="C39" s="553">
        <f>'WORK PAPER APP0910 E (1)'!F243</f>
        <v>2736394</v>
      </c>
      <c r="D39" s="553">
        <f t="shared" si="2"/>
        <v>2211988.3900000006</v>
      </c>
      <c r="E39" s="1159">
        <f>D39/C39*100</f>
        <v>80.835888033667686</v>
      </c>
      <c r="F39" s="1158" t="s">
        <v>3895</v>
      </c>
    </row>
    <row r="40" spans="1:8">
      <c r="A40" s="1158" t="s">
        <v>1640</v>
      </c>
      <c r="B40" s="553">
        <f>'WORK PAPER APP0910 E (1)'!E289</f>
        <v>4793500.4600000009</v>
      </c>
      <c r="C40" s="553">
        <f>'WORK PAPER APP0910 E (1)'!F289</f>
        <v>4813936</v>
      </c>
      <c r="D40" s="553">
        <f t="shared" si="2"/>
        <v>-20435.539999999106</v>
      </c>
      <c r="E40" s="1172">
        <f t="shared" si="3"/>
        <v>-0.42450792864714254</v>
      </c>
      <c r="F40" s="1158" t="s">
        <v>45</v>
      </c>
    </row>
    <row r="41" spans="1:8">
      <c r="A41" s="1158" t="s">
        <v>1641</v>
      </c>
      <c r="B41" s="553">
        <f>'WORK PAPER APP0910 E (1)'!E297</f>
        <v>2312617.4900000002</v>
      </c>
      <c r="C41" s="553">
        <f>'WORK PAPER APP0910 E (1)'!F297</f>
        <v>2074882</v>
      </c>
      <c r="D41" s="553">
        <f t="shared" si="2"/>
        <v>237735.49000000022</v>
      </c>
      <c r="E41" s="1172">
        <f t="shared" si="3"/>
        <v>11.457783623357869</v>
      </c>
      <c r="F41" s="1158" t="s">
        <v>45</v>
      </c>
      <c r="H41" s="837">
        <f>17532811-17532624</f>
        <v>187</v>
      </c>
    </row>
    <row r="42" spans="1:8">
      <c r="A42" s="1158" t="s">
        <v>1642</v>
      </c>
      <c r="B42" s="553">
        <f>'WORK PAPER APP0910 E (1)'!E302</f>
        <v>28933065.280000001</v>
      </c>
      <c r="C42" s="553">
        <f>'WORK PAPER APP0910 E (1)'!F302</f>
        <v>25764528</v>
      </c>
      <c r="D42" s="553">
        <f t="shared" si="2"/>
        <v>3168537.2800000012</v>
      </c>
      <c r="E42" s="1172">
        <f t="shared" si="3"/>
        <v>12.298060651450712</v>
      </c>
      <c r="F42" s="1158" t="s">
        <v>45</v>
      </c>
    </row>
    <row r="43" spans="1:8">
      <c r="A43" s="1158" t="s">
        <v>1117</v>
      </c>
      <c r="B43" s="553">
        <v>0</v>
      </c>
      <c r="C43" s="553">
        <v>0</v>
      </c>
      <c r="D43" s="553">
        <f t="shared" si="2"/>
        <v>0</v>
      </c>
      <c r="E43" s="1172"/>
      <c r="F43" s="1158"/>
    </row>
    <row r="44" spans="1:8">
      <c r="A44" s="1158" t="s">
        <v>3028</v>
      </c>
      <c r="B44" s="553">
        <v>0</v>
      </c>
      <c r="C44" s="553"/>
      <c r="D44" s="553"/>
      <c r="E44" s="1172"/>
      <c r="F44" s="1158"/>
    </row>
    <row r="45" spans="1:8">
      <c r="A45" s="1158" t="s">
        <v>1136</v>
      </c>
      <c r="B45" s="553">
        <f>'WORK PAPER APP0910 E (1)'!E306</f>
        <v>2711937.93</v>
      </c>
      <c r="C45" s="553">
        <f>'WORK PAPER APP0910 E (1)'!F306</f>
        <v>2711937</v>
      </c>
      <c r="D45" s="553">
        <f t="shared" si="2"/>
        <v>0.93000000016763806</v>
      </c>
      <c r="E45" s="1172">
        <f t="shared" si="3"/>
        <v>3.4292832029934252E-5</v>
      </c>
      <c r="F45" s="1158"/>
    </row>
    <row r="46" spans="1:8">
      <c r="A46" s="1158" t="s">
        <v>1643</v>
      </c>
      <c r="B46" s="553">
        <f>'WORK PAPER APP0910 E (1)'!E312</f>
        <v>3485000</v>
      </c>
      <c r="C46" s="553">
        <f>'WORK PAPER APP0910 E (1)'!F312</f>
        <v>3485000</v>
      </c>
      <c r="D46" s="553">
        <f t="shared" si="2"/>
        <v>0</v>
      </c>
      <c r="E46" s="1172">
        <f t="shared" si="3"/>
        <v>0</v>
      </c>
      <c r="F46" s="1158"/>
    </row>
    <row r="47" spans="1:8">
      <c r="A47" s="1158" t="s">
        <v>1644</v>
      </c>
      <c r="B47" s="553">
        <f>'WORK PAPER APP0910 E (1)'!E483</f>
        <v>26268106.910000004</v>
      </c>
      <c r="C47" s="553">
        <f>'WORK PAPER APP0910 E (1)'!F483</f>
        <v>19470932</v>
      </c>
      <c r="D47" s="553">
        <f t="shared" si="2"/>
        <v>6797174.9100000039</v>
      </c>
      <c r="E47" s="1172">
        <f t="shared" si="3"/>
        <v>34.909345428354449</v>
      </c>
      <c r="F47" s="1158" t="s">
        <v>45</v>
      </c>
    </row>
    <row r="48" spans="1:8">
      <c r="A48" s="1158" t="s">
        <v>3364</v>
      </c>
      <c r="B48" s="553">
        <f>'work paper app0809 E(1)'!I674</f>
        <v>0</v>
      </c>
      <c r="C48" s="553"/>
      <c r="D48" s="553"/>
      <c r="E48" s="1172"/>
      <c r="F48" s="1158"/>
    </row>
    <row r="49" spans="1:6">
      <c r="A49" s="1158" t="s">
        <v>1645</v>
      </c>
      <c r="B49" s="553">
        <f>'WORK PAPER APP0910 E (1)'!E315</f>
        <v>3884563.47</v>
      </c>
      <c r="C49" s="553">
        <f>'WORK PAPER APP0910 E (1)'!F315</f>
        <v>0</v>
      </c>
      <c r="D49" s="553">
        <f t="shared" si="2"/>
        <v>3884563.47</v>
      </c>
      <c r="E49" s="1172">
        <v>0</v>
      </c>
      <c r="F49" s="1158"/>
    </row>
    <row r="50" spans="1:6">
      <c r="A50" s="1158" t="s">
        <v>3395</v>
      </c>
      <c r="B50" s="553">
        <f>'WORK PAPER APP0910 E (1)'!E318</f>
        <v>412318.9</v>
      </c>
      <c r="C50" s="553">
        <f>'WORK PAPER APP0910 E (1)'!F318</f>
        <v>0</v>
      </c>
      <c r="D50" s="553"/>
      <c r="E50" s="1172"/>
      <c r="F50" s="1158"/>
    </row>
    <row r="51" spans="1:6">
      <c r="A51" s="1158" t="s">
        <v>1646</v>
      </c>
      <c r="B51" s="553">
        <f>'WORK PAPER APP0910 E (1)'!E321+'WORK PAPER APP0910 E (1)'!E322</f>
        <v>1892896.74</v>
      </c>
      <c r="C51" s="553">
        <f>'WORK PAPER APP0910 E (1)'!F325</f>
        <v>965519</v>
      </c>
      <c r="D51" s="553">
        <f t="shared" si="2"/>
        <v>927377.74</v>
      </c>
      <c r="E51" s="1172">
        <f t="shared" si="3"/>
        <v>96.049662409543473</v>
      </c>
      <c r="F51" s="1158" t="s">
        <v>3896</v>
      </c>
    </row>
    <row r="52" spans="1:6">
      <c r="A52" s="1156" t="s">
        <v>2531</v>
      </c>
      <c r="B52" s="1163">
        <f>SUM(B35:B51)</f>
        <v>108152233.61000003</v>
      </c>
      <c r="C52" s="1163">
        <f>SUM(C35:C51)</f>
        <v>90554266</v>
      </c>
      <c r="D52" s="1163">
        <f>SUM(D35:D51)</f>
        <v>17185648.710000012</v>
      </c>
      <c r="E52" s="1164">
        <f t="shared" si="3"/>
        <v>18.978287240492914</v>
      </c>
      <c r="F52" s="1156"/>
    </row>
    <row r="53" spans="1:6">
      <c r="A53" s="1155" t="s">
        <v>2532</v>
      </c>
      <c r="B53" s="1163">
        <f>B26-B52</f>
        <v>-14841360.570000038</v>
      </c>
      <c r="C53" s="1163">
        <f>C26-C52</f>
        <v>6993182</v>
      </c>
      <c r="D53" s="1163">
        <f>D26-D52</f>
        <v>-22227341.990000013</v>
      </c>
      <c r="E53" s="1164">
        <f t="shared" si="3"/>
        <v>-317.84303611717831</v>
      </c>
      <c r="F53" s="1155"/>
    </row>
    <row r="59" spans="1:6">
      <c r="C59" s="981"/>
    </row>
  </sheetData>
  <mergeCells count="9">
    <mergeCell ref="A32:A33"/>
    <mergeCell ref="A28:F28"/>
    <mergeCell ref="A29:F29"/>
    <mergeCell ref="A1:F1"/>
    <mergeCell ref="A2:F2"/>
    <mergeCell ref="A3:F3"/>
    <mergeCell ref="A5:A6"/>
    <mergeCell ref="A30:F30"/>
    <mergeCell ref="A31:B31"/>
  </mergeCells>
  <phoneticPr fontId="0" type="noConversion"/>
  <printOptions horizontalCentered="1"/>
  <pageMargins left="0.6692913385826772" right="0.39370078740157483" top="0.98425196850393704" bottom="0.98425196850393704" header="0.51181102362204722" footer="0.51181102362204722"/>
  <pageSetup scale="66" orientation="portrait" r:id="rId1"/>
  <headerFooter>
    <oddHeader>&amp;C FINANCIAL STATEMENTS: MUSINA LOCAL MUNICIPALITY</oddHeader>
    <oddFooter>&amp;RPage &amp;P</oddFooter>
  </headerFooter>
  <rowBreaks count="1" manualBreakCount="1">
    <brk id="27" max="16383" man="1"/>
  </rowBreaks>
</worksheet>
</file>

<file path=xl/worksheets/sheet31.xml><?xml version="1.0" encoding="utf-8"?>
<worksheet xmlns="http://schemas.openxmlformats.org/spreadsheetml/2006/main" xmlns:r="http://schemas.openxmlformats.org/officeDocument/2006/relationships">
  <dimension ref="A1:K56"/>
  <sheetViews>
    <sheetView tabSelected="1" topLeftCell="A15" workbookViewId="0">
      <selection activeCell="B43" sqref="B43"/>
    </sheetView>
  </sheetViews>
  <sheetFormatPr defaultRowHeight="12.75"/>
  <cols>
    <col min="1" max="1" width="41.42578125" style="837" customWidth="1"/>
    <col min="2" max="4" width="20.7109375" style="837" customWidth="1"/>
    <col min="5" max="5" width="15.5703125" style="978" bestFit="1" customWidth="1"/>
    <col min="6" max="6" width="19.85546875" style="978" bestFit="1" customWidth="1"/>
    <col min="7" max="7" width="17.28515625" style="978" bestFit="1" customWidth="1"/>
    <col min="8" max="8" width="15.140625" style="978" customWidth="1"/>
    <col min="9" max="9" width="16.85546875" style="978" bestFit="1" customWidth="1"/>
    <col min="10" max="10" width="14.85546875" style="1193" customWidth="1"/>
    <col min="11" max="11" width="16.85546875" style="837" customWidth="1"/>
    <col min="12" max="16384" width="9.140625" style="837"/>
  </cols>
  <sheetData>
    <row r="1" spans="1:11">
      <c r="A1" s="1942" t="s">
        <v>3746</v>
      </c>
      <c r="B1" s="1942"/>
      <c r="C1" s="1942"/>
      <c r="D1" s="1942"/>
      <c r="E1" s="1942"/>
      <c r="F1" s="1942"/>
      <c r="G1" s="1942"/>
      <c r="H1" s="1942"/>
      <c r="I1" s="1942"/>
      <c r="J1" s="1942"/>
    </row>
    <row r="2" spans="1:11">
      <c r="A2" s="1942" t="s">
        <v>3747</v>
      </c>
      <c r="B2" s="1942"/>
      <c r="C2" s="1942"/>
      <c r="D2" s="1942"/>
      <c r="E2" s="1942"/>
      <c r="F2" s="1942"/>
      <c r="G2" s="1942"/>
      <c r="H2" s="1942"/>
      <c r="I2" s="1942"/>
      <c r="J2" s="1942"/>
    </row>
    <row r="3" spans="1:11">
      <c r="A3" s="1942" t="s">
        <v>3483</v>
      </c>
      <c r="B3" s="1942"/>
      <c r="C3" s="1942"/>
      <c r="D3" s="1942"/>
      <c r="E3" s="1942"/>
      <c r="F3" s="1942"/>
      <c r="G3" s="1942"/>
      <c r="H3" s="1942"/>
      <c r="I3" s="1942"/>
      <c r="J3" s="1942"/>
    </row>
    <row r="4" spans="1:11">
      <c r="A4" s="714"/>
      <c r="B4" s="714"/>
      <c r="C4" s="714"/>
      <c r="D4" s="714"/>
      <c r="E4" s="1151"/>
      <c r="F4" s="1151"/>
      <c r="G4" s="1151"/>
      <c r="H4" s="1151"/>
      <c r="I4" s="1151"/>
      <c r="J4" s="1173"/>
    </row>
    <row r="5" spans="1:11" s="1000" customFormat="1" ht="51">
      <c r="A5" s="1943"/>
      <c r="B5" s="1153" t="s">
        <v>3711</v>
      </c>
      <c r="C5" s="1174" t="s">
        <v>3712</v>
      </c>
      <c r="D5" s="1153" t="s">
        <v>3713</v>
      </c>
      <c r="E5" s="909" t="s">
        <v>3748</v>
      </c>
      <c r="F5" s="909" t="s">
        <v>3749</v>
      </c>
      <c r="G5" s="909" t="s">
        <v>3750</v>
      </c>
      <c r="H5" s="909" t="s">
        <v>3320</v>
      </c>
      <c r="I5" s="909" t="s">
        <v>3751</v>
      </c>
      <c r="J5" s="1175" t="s">
        <v>3756</v>
      </c>
      <c r="K5" s="1000" t="s">
        <v>45</v>
      </c>
    </row>
    <row r="6" spans="1:11">
      <c r="A6" s="1944"/>
      <c r="B6" s="1169"/>
      <c r="C6" s="1169" t="s">
        <v>45</v>
      </c>
      <c r="D6" s="1169" t="s">
        <v>45</v>
      </c>
      <c r="E6" s="1154" t="s">
        <v>2422</v>
      </c>
      <c r="F6" s="1154" t="s">
        <v>2422</v>
      </c>
      <c r="G6" s="1154"/>
      <c r="H6" s="1154"/>
      <c r="I6" s="1154" t="s">
        <v>2303</v>
      </c>
      <c r="J6" s="1176"/>
    </row>
    <row r="7" spans="1:11">
      <c r="A7" s="1156" t="s">
        <v>1110</v>
      </c>
      <c r="B7" s="1156"/>
      <c r="C7" s="1156"/>
      <c r="D7" s="1156"/>
      <c r="E7" s="553"/>
      <c r="F7" s="553"/>
      <c r="G7" s="553"/>
      <c r="H7" s="553"/>
      <c r="I7" s="1177"/>
      <c r="J7" s="1178"/>
    </row>
    <row r="8" spans="1:11">
      <c r="A8" s="1158" t="s">
        <v>1112</v>
      </c>
      <c r="B8" s="553">
        <f>-'TRAIL BALANCE'!Q2-'TRAIL BALANCE'!Q3-'TRAIL BALANCE'!Q4-'TRAIL BALANCE'!Q5-'TRAIL BALANCE'!Q6</f>
        <v>10754475</v>
      </c>
      <c r="C8" s="553">
        <f>-'TRAIL BALANCE'!R2-'TRAIL BALANCE'!R3-'TRAIL BALANCE'!R4-'TRAIL BALANCE'!R5-'TRAIL BALANCE'!R6</f>
        <v>10754475</v>
      </c>
      <c r="D8" s="1179">
        <f>B8-C8</f>
        <v>0</v>
      </c>
      <c r="E8" s="553">
        <f>-'TRAIL BALANCE'!T2-'TRAIL BALANCE'!T3-'TRAIL BALANCE'!T4-'TRAIL BALANCE'!T5-'TRAIL BALANCE'!T6-'TRAIL BALANCE'!T7</f>
        <v>10677702</v>
      </c>
      <c r="F8" s="553">
        <f>'Appendix E(1)'!B8</f>
        <v>9457596</v>
      </c>
      <c r="G8" s="1148"/>
      <c r="H8" s="1148"/>
      <c r="I8" s="1180">
        <f>F8/E8</f>
        <v>0.88573327856499462</v>
      </c>
      <c r="J8" s="1181">
        <f>F8/B8</f>
        <v>0.87941029199472776</v>
      </c>
    </row>
    <row r="9" spans="1:11">
      <c r="A9" s="1158" t="s">
        <v>44</v>
      </c>
      <c r="B9" s="553">
        <f>-'TRAIL BALANCE'!Q621-'TRAIL BALANCE'!Q622-'TRAIL BALANCE'!Q623-'TRAIL BALANCE'!Q624-'TRAIL BALANCE'!Q625-'TRAIL BALANCE'!Q626-'TRAIL BALANCE'!Q627</f>
        <v>27815144</v>
      </c>
      <c r="C9" s="553">
        <f>-'TRAIL BALANCE'!R621-'TRAIL BALANCE'!R622-'TRAIL BALANCE'!R623-'TRAIL BALANCE'!R624-'TRAIL BALANCE'!R625-'TRAIL BALANCE'!R626-'TRAIL BALANCE'!R627</f>
        <v>27815144</v>
      </c>
      <c r="D9" s="1179">
        <f t="shared" ref="D9:D25" si="0">B9-C9</f>
        <v>0</v>
      </c>
      <c r="E9" s="553">
        <f>-'TRAIL BALANCE'!T621-'TRAIL BALANCE'!T622-'TRAIL BALANCE'!T623-'TRAIL BALANCE'!T624</f>
        <v>27815144</v>
      </c>
      <c r="F9" s="553">
        <f>'Appendix E(1)'!B9</f>
        <v>40994741.689999998</v>
      </c>
      <c r="G9" s="1148"/>
      <c r="H9" s="1148"/>
      <c r="I9" s="1180">
        <f t="shared" ref="I9:I24" si="1">F9/E9</f>
        <v>1.4738281308196715</v>
      </c>
      <c r="J9" s="1177">
        <f t="shared" ref="J9:J26" si="2">F9/B9</f>
        <v>1.4738281308196715</v>
      </c>
    </row>
    <row r="10" spans="1:11">
      <c r="A10" s="1158" t="s">
        <v>3354</v>
      </c>
      <c r="B10" s="553">
        <f>-'TRAIL BALANCE'!Q628</f>
        <v>0</v>
      </c>
      <c r="C10" s="553">
        <f>-'TRAIL BALANCE'!R628</f>
        <v>0</v>
      </c>
      <c r="D10" s="1179">
        <f t="shared" si="0"/>
        <v>0</v>
      </c>
      <c r="E10" s="553">
        <f>-'TRAIL BALANCE'!T628</f>
        <v>0</v>
      </c>
      <c r="F10" s="553">
        <f>'Appendix E(1)'!B10</f>
        <v>754842.32000000007</v>
      </c>
      <c r="G10" s="1148"/>
      <c r="H10" s="1148"/>
      <c r="I10" s="1180"/>
      <c r="J10" s="1177"/>
    </row>
    <row r="11" spans="1:11">
      <c r="A11" s="1158" t="s">
        <v>2256</v>
      </c>
      <c r="B11" s="553">
        <f>-'TRAIL BALANCE'!Q468</f>
        <v>3975169</v>
      </c>
      <c r="C11" s="553">
        <f>-'TRAIL BALANCE'!R468</f>
        <v>3975169</v>
      </c>
      <c r="D11" s="1179">
        <f t="shared" si="0"/>
        <v>0</v>
      </c>
      <c r="E11" s="553">
        <f>-'TRAIL BALANCE'!T468</f>
        <v>3975169</v>
      </c>
      <c r="F11" s="553">
        <f>'Appendix E(1)'!B11</f>
        <v>5016917.6399999997</v>
      </c>
      <c r="G11" s="1148"/>
      <c r="H11" s="1148"/>
      <c r="I11" s="1180">
        <f t="shared" si="1"/>
        <v>1.2620639877197672</v>
      </c>
      <c r="J11" s="1177">
        <f t="shared" si="2"/>
        <v>1.2620639877197672</v>
      </c>
    </row>
    <row r="12" spans="1:11" hidden="1">
      <c r="A12" s="1158" t="s">
        <v>1116</v>
      </c>
      <c r="B12" s="553">
        <f>'TRAIL BALANCE'!D816</f>
        <v>0</v>
      </c>
      <c r="C12" s="553">
        <f>'TRAIL BALANCE'!E816</f>
        <v>-844777.61</v>
      </c>
      <c r="D12" s="1179">
        <f t="shared" si="0"/>
        <v>844777.61</v>
      </c>
      <c r="E12" s="553">
        <f>'TRAIL BALANCE'!H816</f>
        <v>0</v>
      </c>
      <c r="F12" s="553">
        <f>'TRAIL BALANCE'!K816</f>
        <v>0</v>
      </c>
      <c r="G12" s="1148"/>
      <c r="H12" s="1148"/>
      <c r="I12" s="1180" t="e">
        <f t="shared" si="1"/>
        <v>#DIV/0!</v>
      </c>
      <c r="J12" s="1177" t="e">
        <f t="shared" si="2"/>
        <v>#DIV/0!</v>
      </c>
    </row>
    <row r="13" spans="1:11" hidden="1">
      <c r="A13" s="1158" t="s">
        <v>1117</v>
      </c>
      <c r="B13" s="553">
        <f>'TRAIL BALANCE'!D846</f>
        <v>0</v>
      </c>
      <c r="C13" s="553">
        <f>'TRAIL BALANCE'!E846</f>
        <v>-9219064.3600000013</v>
      </c>
      <c r="D13" s="1179">
        <f t="shared" si="0"/>
        <v>9219064.3600000013</v>
      </c>
      <c r="E13" s="553">
        <f>'TRAIL BALANCE'!H846</f>
        <v>0</v>
      </c>
      <c r="F13" s="553">
        <f>'TRAIL BALANCE'!K846</f>
        <v>0</v>
      </c>
      <c r="G13" s="1148"/>
      <c r="H13" s="1148"/>
      <c r="I13" s="1180" t="e">
        <f t="shared" si="1"/>
        <v>#DIV/0!</v>
      </c>
      <c r="J13" s="1177" t="e">
        <f t="shared" si="2"/>
        <v>#DIV/0!</v>
      </c>
    </row>
    <row r="14" spans="1:11">
      <c r="A14" s="1158" t="s">
        <v>1118</v>
      </c>
      <c r="B14" s="553">
        <f>-'TRAIL BALANCE'!Q411-'TRAIL BALANCE'!Q543-'TRAIL BALANCE'!Q589-'TRAIL BALANCE'!Q542</f>
        <v>185139</v>
      </c>
      <c r="C14" s="553">
        <f>-'TRAIL BALANCE'!R411-'TRAIL BALANCE'!R543-'TRAIL BALANCE'!R589-'TRAIL BALANCE'!R542</f>
        <v>157860</v>
      </c>
      <c r="D14" s="1179">
        <f t="shared" si="0"/>
        <v>27279</v>
      </c>
      <c r="E14" s="553">
        <f>-'TRAIL BALANCE'!T411-'TRAIL BALANCE'!T543-'TRAIL BALANCE'!T589</f>
        <v>157860</v>
      </c>
      <c r="F14" s="553">
        <f>'Appendix E(1)'!B14</f>
        <v>226442.71</v>
      </c>
      <c r="G14" s="1148"/>
      <c r="H14" s="1148"/>
      <c r="I14" s="1180">
        <f t="shared" si="1"/>
        <v>1.4344527429367793</v>
      </c>
      <c r="J14" s="1177">
        <f t="shared" si="2"/>
        <v>1.2230956740611107</v>
      </c>
    </row>
    <row r="15" spans="1:11">
      <c r="A15" s="1158" t="s">
        <v>1119</v>
      </c>
      <c r="B15" s="553">
        <f>-'TRAIL BALANCE'!Q272</f>
        <v>210800</v>
      </c>
      <c r="C15" s="553">
        <f>-'TRAIL BALANCE'!R272</f>
        <v>210800</v>
      </c>
      <c r="D15" s="1179">
        <f t="shared" si="0"/>
        <v>0</v>
      </c>
      <c r="E15" s="553">
        <f>-'TRAIL BALANCE'!T272</f>
        <v>210800</v>
      </c>
      <c r="F15" s="553">
        <f>'Appendix E(1)'!B15</f>
        <v>67227.759999999995</v>
      </c>
      <c r="G15" s="1148"/>
      <c r="H15" s="1148"/>
      <c r="I15" s="1180">
        <f t="shared" si="1"/>
        <v>0.31891726755218214</v>
      </c>
      <c r="J15" s="1177">
        <f t="shared" si="2"/>
        <v>0.31891726755218214</v>
      </c>
    </row>
    <row r="16" spans="1:11">
      <c r="A16" s="1158" t="s">
        <v>1120</v>
      </c>
      <c r="B16" s="553">
        <f>-'TRAIL BALANCE'!Q273</f>
        <v>1317500</v>
      </c>
      <c r="C16" s="553">
        <f>-'TRAIL BALANCE'!R273</f>
        <v>1250000</v>
      </c>
      <c r="D16" s="1179">
        <f t="shared" si="0"/>
        <v>67500</v>
      </c>
      <c r="E16" s="553">
        <f>-'TRAIL BALANCE'!T273</f>
        <v>1250000</v>
      </c>
      <c r="F16" s="553">
        <f>'Appendix E(1)'!B16</f>
        <v>799677.8</v>
      </c>
      <c r="G16" s="1148"/>
      <c r="H16" s="1148"/>
      <c r="I16" s="1180">
        <f t="shared" si="1"/>
        <v>0.63974224000000002</v>
      </c>
      <c r="J16" s="1177">
        <f t="shared" si="2"/>
        <v>0.60696607210626186</v>
      </c>
    </row>
    <row r="17" spans="1:11">
      <c r="A17" s="1158" t="s">
        <v>1121</v>
      </c>
      <c r="B17" s="553">
        <f>-'TRAIL BALANCE'!Q767</f>
        <v>3000000</v>
      </c>
      <c r="C17" s="553">
        <f>-'TRAIL BALANCE'!R767</f>
        <v>3000000</v>
      </c>
      <c r="D17" s="1179">
        <f t="shared" si="0"/>
        <v>0</v>
      </c>
      <c r="E17" s="553">
        <f>-'TRAIL BALANCE'!T767</f>
        <v>3000000</v>
      </c>
      <c r="F17" s="553">
        <f>'Appendix E(1)'!B17</f>
        <v>444496</v>
      </c>
      <c r="G17" s="1148"/>
      <c r="H17" s="1148"/>
      <c r="I17" s="1180">
        <f t="shared" si="1"/>
        <v>0.14816533333333334</v>
      </c>
      <c r="J17" s="1177">
        <f t="shared" si="2"/>
        <v>0.14816533333333334</v>
      </c>
    </row>
    <row r="18" spans="1:11">
      <c r="A18" s="1158" t="s">
        <v>46</v>
      </c>
      <c r="B18" s="553">
        <f>-'TRAIL BALANCE'!Q766</f>
        <v>2000000</v>
      </c>
      <c r="C18" s="553">
        <f>-'TRAIL BALANCE'!R766</f>
        <v>2000000</v>
      </c>
      <c r="D18" s="1179">
        <f t="shared" si="0"/>
        <v>0</v>
      </c>
      <c r="E18" s="553">
        <f>-'TRAIL BALANCE'!T766</f>
        <v>2000000</v>
      </c>
      <c r="F18" s="553">
        <f>'Appendix E(1)'!B18</f>
        <v>2343576.65</v>
      </c>
      <c r="G18" s="1148"/>
      <c r="H18" s="1148"/>
      <c r="I18" s="1180">
        <f t="shared" si="1"/>
        <v>1.1717883249999999</v>
      </c>
      <c r="J18" s="1177">
        <f t="shared" si="2"/>
        <v>1.1717883249999999</v>
      </c>
    </row>
    <row r="19" spans="1:11">
      <c r="A19" s="1158" t="s">
        <v>47</v>
      </c>
      <c r="B19" s="553">
        <f>-'TRAIL BALANCE'!Q17</f>
        <v>1500000</v>
      </c>
      <c r="C19" s="553">
        <f>-'TRAIL BALANCE'!R17</f>
        <v>1500000</v>
      </c>
      <c r="D19" s="1179">
        <f t="shared" si="0"/>
        <v>0</v>
      </c>
      <c r="E19" s="553">
        <f>-'TRAIL BALANCE'!T17</f>
        <v>1500000</v>
      </c>
      <c r="F19" s="553">
        <f>'Appendix E(1)'!B19</f>
        <v>0</v>
      </c>
      <c r="G19" s="1148"/>
      <c r="H19" s="1148"/>
      <c r="I19" s="1180">
        <f t="shared" si="1"/>
        <v>0</v>
      </c>
      <c r="J19" s="1177">
        <f t="shared" si="2"/>
        <v>0</v>
      </c>
    </row>
    <row r="20" spans="1:11">
      <c r="A20" s="1158" t="s">
        <v>48</v>
      </c>
      <c r="B20" s="553">
        <f>-'TRAIL BALANCE'!Q19-'TRAIL BALANCE'!Q275-'TRAIL BALANCE'!Q276-'TRAIL BALANCE'!Q344</f>
        <v>22363000</v>
      </c>
      <c r="C20" s="553">
        <f>-'TRAIL BALANCE'!R19-'TRAIL BALANCE'!R275-'TRAIL BALANCE'!R276-'TRAIL BALANCE'!R344</f>
        <v>23074000</v>
      </c>
      <c r="D20" s="1179">
        <f t="shared" si="0"/>
        <v>-711000</v>
      </c>
      <c r="E20" s="553">
        <f>-'TRAIL BALANCE'!T19-'TRAIL BALANCE'!T275-'TRAIL BALANCE'!T276-'TRAIL BALANCE'!T344</f>
        <v>23424000</v>
      </c>
      <c r="F20" s="553">
        <f>'Appendix E(1)'!B20</f>
        <v>23424329.829999998</v>
      </c>
      <c r="G20" s="1148"/>
      <c r="H20" s="1148"/>
      <c r="I20" s="1180">
        <f t="shared" si="1"/>
        <v>1.0000140808572404</v>
      </c>
      <c r="J20" s="1177">
        <f t="shared" si="2"/>
        <v>1.0474591883915396</v>
      </c>
    </row>
    <row r="21" spans="1:11">
      <c r="A21" s="1158" t="s">
        <v>49</v>
      </c>
      <c r="B21" s="553">
        <f>'TRAIL BALANCE'!Q442-'TRAIL BALANCE'!Q545-'TRAIL BALANCE'!Q629</f>
        <v>7165000</v>
      </c>
      <c r="C21" s="553">
        <f>'TRAIL BALANCE'!R442-'TRAIL BALANCE'!R545-'TRAIL BALANCE'!R629</f>
        <v>7165000</v>
      </c>
      <c r="D21" s="1179">
        <f t="shared" si="0"/>
        <v>0</v>
      </c>
      <c r="E21" s="553">
        <f>-'TRAIL BALANCE'!T545-'TRAIL BALANCE'!T442-'TRAIL BALANCE'!T629</f>
        <v>12165000</v>
      </c>
      <c r="F21" s="553">
        <f>'Appendix E(1)'!B21</f>
        <v>7902795.96</v>
      </c>
      <c r="G21" s="1148"/>
      <c r="H21" s="1148"/>
      <c r="I21" s="1180">
        <f t="shared" si="1"/>
        <v>0.64963386436498149</v>
      </c>
      <c r="J21" s="1177">
        <f t="shared" si="2"/>
        <v>1.1029722205163992</v>
      </c>
    </row>
    <row r="22" spans="1:11">
      <c r="A22" s="1158" t="s">
        <v>3353</v>
      </c>
      <c r="B22" s="553">
        <f>-'TRAIL BALANCE'!Q546</f>
        <v>0</v>
      </c>
      <c r="C22" s="553">
        <f>-'TRAIL BALANCE'!Q546</f>
        <v>0</v>
      </c>
      <c r="D22" s="1179">
        <f t="shared" si="0"/>
        <v>0</v>
      </c>
      <c r="E22" s="553">
        <f>-'TRAIL BALANCE'!T14</f>
        <v>0</v>
      </c>
      <c r="F22" s="553">
        <f>'Appendix E(1)'!B22</f>
        <v>50276</v>
      </c>
      <c r="G22" s="1148"/>
      <c r="H22" s="1148"/>
      <c r="I22" s="1180"/>
      <c r="J22" s="1177"/>
    </row>
    <row r="23" spans="1:11" ht="25.5" hidden="1">
      <c r="A23" s="1158" t="s">
        <v>1126</v>
      </c>
      <c r="B23" s="553">
        <v>0</v>
      </c>
      <c r="C23" s="553">
        <v>0</v>
      </c>
      <c r="D23" s="1179">
        <f t="shared" si="0"/>
        <v>0</v>
      </c>
      <c r="E23" s="553">
        <v>0</v>
      </c>
      <c r="F23" s="553">
        <v>0</v>
      </c>
      <c r="G23" s="1148"/>
      <c r="H23" s="1148"/>
      <c r="I23" s="1180" t="e">
        <f t="shared" si="1"/>
        <v>#DIV/0!</v>
      </c>
      <c r="J23" s="1177" t="e">
        <f t="shared" si="2"/>
        <v>#DIV/0!</v>
      </c>
    </row>
    <row r="24" spans="1:11">
      <c r="A24" s="1158" t="s">
        <v>1127</v>
      </c>
      <c r="B24" s="553">
        <f>-'TRAIL BALANCE'!Q10-'TRAIL BALANCE'!Q11-'TRAIL BALANCE'!Q12-'TRAIL BALANCE'!Q15-'TRAIL BALANCE'!Q217-'TRAIL BALANCE'!Q274-'TRAIL BALANCE'!Q441-'TRAIL BALANCE'!Q544-'TRAIL BALANCE'!Q765-'TRAIL BALANCE'!Q540</f>
        <v>35019171</v>
      </c>
      <c r="C24" s="553">
        <f>-'TRAIL BALANCE'!R10-'TRAIL BALANCE'!R11-'TRAIL BALANCE'!R12-'TRAIL BALANCE'!R15-'TRAIL BALANCE'!R217-'TRAIL BALANCE'!R274-'TRAIL BALANCE'!R441-'TRAIL BALANCE'!R544-'TRAIL BALANCE'!R765-'TRAIL BALANCE'!R540</f>
        <v>11087806</v>
      </c>
      <c r="D24" s="1179">
        <f t="shared" si="0"/>
        <v>23931365</v>
      </c>
      <c r="E24" s="553">
        <f>-'TRAIL BALANCE'!T10-'TRAIL BALANCE'!T11-'TRAIL BALANCE'!T12-'TRAIL BALANCE'!T15-'TRAIL BALANCE'!T217-'TRAIL BALANCE'!T274-'TRAIL BALANCE'!T441-'TRAIL BALANCE'!T542-'TRAIL BALANCE'!T544-'TRAIL BALANCE'!T765-'TRAIL BALANCE'!T540</f>
        <v>11371773</v>
      </c>
      <c r="F24" s="553">
        <f>'Appendix E(1)'!B24</f>
        <v>1044952.6799999999</v>
      </c>
      <c r="G24" s="1148"/>
      <c r="H24" s="1148"/>
      <c r="I24" s="1180">
        <f t="shared" si="1"/>
        <v>9.1890040365737155E-2</v>
      </c>
      <c r="J24" s="1177">
        <f t="shared" si="2"/>
        <v>2.9839446513454014E-2</v>
      </c>
    </row>
    <row r="25" spans="1:11" ht="25.5">
      <c r="A25" s="1158" t="s">
        <v>1638</v>
      </c>
      <c r="B25" s="553">
        <v>0</v>
      </c>
      <c r="C25" s="553">
        <f>-'WORK PAPER INCOME'!B86</f>
        <v>0</v>
      </c>
      <c r="D25" s="1179">
        <f t="shared" si="0"/>
        <v>0</v>
      </c>
      <c r="E25" s="553">
        <f>'WORK PAPER INCOME'!E86</f>
        <v>0</v>
      </c>
      <c r="F25" s="553">
        <f>'Appendix E(1)'!B25</f>
        <v>783000</v>
      </c>
      <c r="G25" s="1148"/>
      <c r="H25" s="1148"/>
      <c r="I25" s="1180"/>
      <c r="J25" s="1177"/>
    </row>
    <row r="26" spans="1:11">
      <c r="A26" s="1155" t="s">
        <v>1128</v>
      </c>
      <c r="B26" s="1182">
        <f t="shared" ref="B26:H26" si="3">SUM(B8:B25)</f>
        <v>115305398</v>
      </c>
      <c r="C26" s="1182">
        <f t="shared" si="3"/>
        <v>81926412.030000001</v>
      </c>
      <c r="D26" s="1182">
        <f t="shared" si="3"/>
        <v>33378985.969999999</v>
      </c>
      <c r="E26" s="1163">
        <f t="shared" si="3"/>
        <v>97547448</v>
      </c>
      <c r="F26" s="1163">
        <f t="shared" si="3"/>
        <v>93310873.039999992</v>
      </c>
      <c r="G26" s="1163">
        <f t="shared" si="3"/>
        <v>0</v>
      </c>
      <c r="H26" s="1163">
        <f t="shared" si="3"/>
        <v>0</v>
      </c>
      <c r="I26" s="1164">
        <f>F26/E26*100</f>
        <v>95.656908461613469</v>
      </c>
      <c r="J26" s="1183">
        <f t="shared" si="2"/>
        <v>0.80924982401951373</v>
      </c>
    </row>
    <row r="27" spans="1:11">
      <c r="A27" s="671"/>
      <c r="B27" s="671"/>
      <c r="C27" s="671"/>
      <c r="D27" s="671"/>
      <c r="E27" s="673"/>
      <c r="F27" s="673"/>
      <c r="G27" s="673"/>
      <c r="H27" s="673"/>
      <c r="I27" s="673"/>
      <c r="J27" s="1184"/>
      <c r="K27" s="1005"/>
    </row>
    <row r="28" spans="1:11">
      <c r="A28" s="1942" t="s">
        <v>3746</v>
      </c>
      <c r="B28" s="1942"/>
      <c r="C28" s="1942"/>
      <c r="D28" s="1942"/>
      <c r="E28" s="1942"/>
      <c r="F28" s="1942"/>
      <c r="G28" s="1942"/>
      <c r="H28" s="1942"/>
      <c r="I28" s="1942"/>
      <c r="J28" s="1942"/>
    </row>
    <row r="29" spans="1:11">
      <c r="A29" s="1942" t="s">
        <v>3747</v>
      </c>
      <c r="B29" s="1942"/>
      <c r="C29" s="1942"/>
      <c r="D29" s="1942"/>
      <c r="E29" s="1942"/>
      <c r="F29" s="1942"/>
      <c r="G29" s="1942"/>
      <c r="H29" s="1942"/>
      <c r="I29" s="1942"/>
      <c r="J29" s="1942"/>
    </row>
    <row r="30" spans="1:11">
      <c r="A30" s="1942" t="s">
        <v>3483</v>
      </c>
      <c r="B30" s="1942"/>
      <c r="C30" s="1942"/>
      <c r="D30" s="1942"/>
      <c r="E30" s="1942"/>
      <c r="F30" s="1942"/>
      <c r="G30" s="1942"/>
      <c r="H30" s="1942"/>
      <c r="I30" s="1942"/>
      <c r="J30" s="1942"/>
    </row>
    <row r="31" spans="1:11">
      <c r="A31" s="1945"/>
      <c r="B31" s="1945"/>
      <c r="C31" s="1945"/>
      <c r="D31" s="1945"/>
      <c r="E31" s="714"/>
      <c r="F31" s="714"/>
      <c r="G31" s="714"/>
      <c r="H31" s="714"/>
      <c r="I31" s="714"/>
      <c r="J31" s="1185"/>
      <c r="K31" s="1167"/>
    </row>
    <row r="32" spans="1:11" ht="51">
      <c r="A32" s="1940"/>
      <c r="B32" s="1153" t="s">
        <v>3711</v>
      </c>
      <c r="C32" s="1174" t="s">
        <v>3712</v>
      </c>
      <c r="D32" s="1153" t="s">
        <v>3713</v>
      </c>
      <c r="E32" s="909" t="s">
        <v>3748</v>
      </c>
      <c r="F32" s="909" t="s">
        <v>3749</v>
      </c>
      <c r="G32" s="909" t="s">
        <v>3750</v>
      </c>
      <c r="H32" s="909" t="s">
        <v>3320</v>
      </c>
      <c r="I32" s="909" t="s">
        <v>3751</v>
      </c>
      <c r="J32" s="1175" t="s">
        <v>3756</v>
      </c>
    </row>
    <row r="33" spans="1:10">
      <c r="A33" s="1941"/>
      <c r="B33" s="1169"/>
      <c r="C33" s="1169"/>
      <c r="D33" s="1169"/>
      <c r="E33" s="1169" t="s">
        <v>2422</v>
      </c>
      <c r="F33" s="1169" t="s">
        <v>2422</v>
      </c>
      <c r="G33" s="1169"/>
      <c r="H33" s="1186"/>
      <c r="I33" s="1169" t="s">
        <v>2303</v>
      </c>
      <c r="J33" s="1176"/>
    </row>
    <row r="34" spans="1:10">
      <c r="A34" s="1156" t="s">
        <v>1129</v>
      </c>
      <c r="B34" s="1156"/>
      <c r="C34" s="1156"/>
      <c r="D34" s="1156"/>
      <c r="E34" s="1170"/>
      <c r="F34" s="1170"/>
      <c r="G34" s="1170"/>
      <c r="H34" s="1187"/>
      <c r="I34" s="1171"/>
      <c r="J34" s="1188"/>
    </row>
    <row r="35" spans="1:10">
      <c r="A35" s="1158" t="s">
        <v>778</v>
      </c>
      <c r="B35" s="553">
        <f>'WORK PAPER STATE COMPARITIVE'!P182</f>
        <v>35869657</v>
      </c>
      <c r="C35" s="1189">
        <f>'WORK PAPER STATE COMPARITIVE'!Q182</f>
        <v>35144564</v>
      </c>
      <c r="D35" s="1179">
        <f t="shared" ref="D35:D48" si="4">B35-C35</f>
        <v>725093</v>
      </c>
      <c r="E35" s="553">
        <f>'WORK PAPER APP0910 E (1)'!F208</f>
        <v>25481386</v>
      </c>
      <c r="F35" s="553">
        <f>'Appendix E(1)'!B35</f>
        <v>25481359.830000006</v>
      </c>
      <c r="G35" s="1148"/>
      <c r="H35" s="1180"/>
      <c r="I35" s="1180">
        <f>F35/E35</f>
        <v>0.99999897297580298</v>
      </c>
      <c r="J35" s="1178">
        <f t="shared" ref="J35:J50" si="5">F35/B35</f>
        <v>0.71038760783243637</v>
      </c>
    </row>
    <row r="36" spans="1:10">
      <c r="A36" s="1158" t="s">
        <v>1130</v>
      </c>
      <c r="B36" s="553">
        <f>'WORK PAPER STATE COMPARITIVE'!P194</f>
        <v>2712599</v>
      </c>
      <c r="C36" s="1189">
        <f>'WORK PAPER STATE COMPARITIVE'!Q194</f>
        <v>2712599</v>
      </c>
      <c r="D36" s="1179">
        <f t="shared" si="4"/>
        <v>0</v>
      </c>
      <c r="E36" s="553">
        <f>'WORK PAPER STATE COMPARITIVE'!R194</f>
        <v>2938627</v>
      </c>
      <c r="F36" s="553">
        <f>'Appendix E(1)'!B36</f>
        <v>2938625.45</v>
      </c>
      <c r="G36" s="553"/>
      <c r="H36" s="1177"/>
      <c r="I36" s="1177">
        <f t="shared" ref="I36:I50" si="6">F36/E36</f>
        <v>0.99999947254278965</v>
      </c>
      <c r="J36" s="1178">
        <f t="shared" si="5"/>
        <v>1.0833246823433911</v>
      </c>
    </row>
    <row r="37" spans="1:10">
      <c r="A37" s="1158" t="s">
        <v>1131</v>
      </c>
      <c r="B37" s="553">
        <f>'TRAIL BALANCE'!Q294</f>
        <v>100000</v>
      </c>
      <c r="C37" s="1189">
        <f>'TRAIL BALANCE'!R294</f>
        <v>100000</v>
      </c>
      <c r="D37" s="1179">
        <f t="shared" si="4"/>
        <v>0</v>
      </c>
      <c r="E37" s="553">
        <f>'WORK PAPER APP0910 E (1)'!F220</f>
        <v>58521</v>
      </c>
      <c r="F37" s="553">
        <f>'Appendix E(1)'!B37</f>
        <v>58520.71</v>
      </c>
      <c r="G37" s="553"/>
      <c r="H37" s="1177"/>
      <c r="I37" s="1177">
        <f t="shared" si="6"/>
        <v>0.99999504451393517</v>
      </c>
      <c r="J37" s="1178">
        <f t="shared" si="5"/>
        <v>0.58520709999999998</v>
      </c>
    </row>
    <row r="38" spans="1:10">
      <c r="A38" s="1158" t="s">
        <v>1132</v>
      </c>
      <c r="B38" s="553">
        <f>'TRAIL BALANCE'!Q305</f>
        <v>0</v>
      </c>
      <c r="C38" s="1189">
        <f>'TRAIL BALANCE'!R305</f>
        <v>0</v>
      </c>
      <c r="D38" s="1179">
        <f t="shared" si="4"/>
        <v>0</v>
      </c>
      <c r="E38" s="553">
        <f>'WORK PAPER APP0910 E (1)'!F223</f>
        <v>52604</v>
      </c>
      <c r="F38" s="553">
        <f>'Appendix E(1)'!B38</f>
        <v>31338.05</v>
      </c>
      <c r="G38" s="553"/>
      <c r="H38" s="1177"/>
      <c r="I38" s="1177">
        <f t="shared" si="6"/>
        <v>0.59573511520036493</v>
      </c>
      <c r="J38" s="1178"/>
    </row>
    <row r="39" spans="1:10">
      <c r="A39" s="1158" t="s">
        <v>1133</v>
      </c>
      <c r="B39" s="553">
        <f>'WORK PAPER STATE COMPARITIVE'!P214</f>
        <v>2746728</v>
      </c>
      <c r="C39" s="1158">
        <f>'WORK PAPER STATE COMPARITIVE'!Q214</f>
        <v>2746728</v>
      </c>
      <c r="D39" s="1179">
        <f t="shared" si="4"/>
        <v>0</v>
      </c>
      <c r="E39" s="553">
        <f>'WORK PAPER APP0910 E (1)'!F243</f>
        <v>2736394</v>
      </c>
      <c r="F39" s="553">
        <f>'Appendix E(1)'!B39</f>
        <v>4948382.3900000006</v>
      </c>
      <c r="G39" s="1148">
        <f t="shared" ref="G39:G48" si="7">E39-F39</f>
        <v>-2211988.3900000006</v>
      </c>
      <c r="H39" s="1180">
        <f>-G39/E39</f>
        <v>0.80835888033667691</v>
      </c>
      <c r="I39" s="1180">
        <f t="shared" si="6"/>
        <v>1.8083588803366768</v>
      </c>
      <c r="J39" s="1178">
        <f t="shared" si="5"/>
        <v>1.8015553014350167</v>
      </c>
    </row>
    <row r="40" spans="1:10">
      <c r="A40" s="1158" t="s">
        <v>1640</v>
      </c>
      <c r="B40" s="553">
        <f>'WORK PAPER STATE COMPARITIVE'!P261</f>
        <v>5478098</v>
      </c>
      <c r="C40" s="1189">
        <f>'WORK PAPER STATE COMPARITIVE'!Q261</f>
        <v>4816444</v>
      </c>
      <c r="D40" s="1179">
        <f t="shared" si="4"/>
        <v>661654</v>
      </c>
      <c r="E40" s="553">
        <f>'WORK PAPER APP0910 E (1)'!F289</f>
        <v>4813936</v>
      </c>
      <c r="F40" s="553">
        <f>'Appendix E(1)'!B40</f>
        <v>4793500.4600000009</v>
      </c>
      <c r="G40" s="553"/>
      <c r="H40" s="1177"/>
      <c r="I40" s="1177">
        <f t="shared" si="6"/>
        <v>0.99575492071352856</v>
      </c>
      <c r="J40" s="1178">
        <f t="shared" si="5"/>
        <v>0.87503006700500807</v>
      </c>
    </row>
    <row r="41" spans="1:10">
      <c r="A41" s="1158" t="s">
        <v>1641</v>
      </c>
      <c r="B41" s="553">
        <f>'WORK PAPER STATE COMPARITIVE'!P269</f>
        <v>3051478</v>
      </c>
      <c r="C41" s="1189">
        <f>'WORK PAPER STATE COMPARITIVE'!Q269</f>
        <v>3051478</v>
      </c>
      <c r="D41" s="1179">
        <f t="shared" si="4"/>
        <v>0</v>
      </c>
      <c r="E41" s="553">
        <f>'WORK PAPER APP0910 E (1)'!F297</f>
        <v>2074882</v>
      </c>
      <c r="F41" s="553">
        <f>'Appendix E(1)'!B41</f>
        <v>2312617.4900000002</v>
      </c>
      <c r="G41" s="553"/>
      <c r="H41" s="1177"/>
      <c r="I41" s="1177">
        <f t="shared" si="6"/>
        <v>1.1145778362335788</v>
      </c>
      <c r="J41" s="1178">
        <f t="shared" si="5"/>
        <v>0.75786798725076843</v>
      </c>
    </row>
    <row r="42" spans="1:10">
      <c r="A42" s="1158" t="s">
        <v>1642</v>
      </c>
      <c r="B42" s="553">
        <f>'TRAIL BALANCE'!Q655</f>
        <v>16435531</v>
      </c>
      <c r="C42" s="1189">
        <f>'TRAIL BALANCE'!R655</f>
        <v>17210800</v>
      </c>
      <c r="D42" s="1179">
        <f t="shared" si="4"/>
        <v>-775269</v>
      </c>
      <c r="E42" s="553">
        <f>'WORK PAPER APP0910 E (1)'!F302</f>
        <v>25764528</v>
      </c>
      <c r="F42" s="553">
        <f>'Appendix E(1)'!B42</f>
        <v>28933065.280000001</v>
      </c>
      <c r="G42" s="553">
        <f t="shared" si="7"/>
        <v>-3168537.2800000012</v>
      </c>
      <c r="H42" s="1180">
        <f>-G42/E42</f>
        <v>0.12298060651450712</v>
      </c>
      <c r="I42" s="1177">
        <f t="shared" si="6"/>
        <v>1.1229806065145072</v>
      </c>
      <c r="J42" s="1178">
        <f t="shared" si="5"/>
        <v>1.7603973537575393</v>
      </c>
    </row>
    <row r="43" spans="1:10">
      <c r="A43" s="1158" t="s">
        <v>1136</v>
      </c>
      <c r="B43" s="553">
        <f>'TRAIL BALANCE'!Q49</f>
        <v>2500000</v>
      </c>
      <c r="C43" s="1189">
        <f>'TRAIL BALANCE'!R49</f>
        <v>2500000</v>
      </c>
      <c r="D43" s="1179">
        <f t="shared" si="4"/>
        <v>0</v>
      </c>
      <c r="E43" s="553">
        <f>'WORK PAPER APP0910 E (1)'!F306</f>
        <v>2711937</v>
      </c>
      <c r="F43" s="553">
        <f>'Appendix E(1)'!B45</f>
        <v>2711937.93</v>
      </c>
      <c r="G43" s="553"/>
      <c r="H43" s="1177"/>
      <c r="I43" s="1177">
        <f t="shared" si="6"/>
        <v>1.0000003429283204</v>
      </c>
      <c r="J43" s="1178">
        <f t="shared" si="5"/>
        <v>1.0847751720000001</v>
      </c>
    </row>
    <row r="44" spans="1:10">
      <c r="A44" s="1158" t="s">
        <v>1643</v>
      </c>
      <c r="B44" s="553">
        <f>'TRAIL BALANCE'!Q318+'TRAIL BALANCE'!Q370</f>
        <v>0</v>
      </c>
      <c r="C44" s="553">
        <f>'TRAIL BALANCE'!R318+'TRAIL BALANCE'!R370</f>
        <v>0</v>
      </c>
      <c r="D44" s="1179">
        <f t="shared" si="4"/>
        <v>0</v>
      </c>
      <c r="E44" s="553">
        <f>'WORK PAPER APP0910 E (1)'!F312</f>
        <v>3485000</v>
      </c>
      <c r="F44" s="553">
        <f>'Appendix E(1)'!B46</f>
        <v>3485000</v>
      </c>
      <c r="G44" s="553"/>
      <c r="H44" s="1177"/>
      <c r="I44" s="1177">
        <f t="shared" si="6"/>
        <v>1</v>
      </c>
      <c r="J44" s="1178"/>
    </row>
    <row r="45" spans="1:10">
      <c r="A45" s="1158" t="s">
        <v>1644</v>
      </c>
      <c r="B45" s="553">
        <f>'WORK PAPER STATE COMPARITIVE'!P572</f>
        <v>27129954</v>
      </c>
      <c r="C45" s="1189">
        <f>'WORK PAPER STATE COMPARITIVE'!Q572</f>
        <v>20801570</v>
      </c>
      <c r="D45" s="1179">
        <f t="shared" si="4"/>
        <v>6328384</v>
      </c>
      <c r="E45" s="553">
        <f>'WORK PAPER APP0910 E (1)'!F483</f>
        <v>19470932</v>
      </c>
      <c r="F45" s="553">
        <f>'Appendix E(1)'!B47</f>
        <v>26268106.910000004</v>
      </c>
      <c r="G45" s="553"/>
      <c r="H45" s="1177"/>
      <c r="I45" s="1177">
        <f t="shared" si="6"/>
        <v>1.3490934542835444</v>
      </c>
      <c r="J45" s="1178">
        <f t="shared" si="5"/>
        <v>0.96823263725401099</v>
      </c>
    </row>
    <row r="46" spans="1:10">
      <c r="A46" s="1158" t="s">
        <v>1645</v>
      </c>
      <c r="B46" s="553">
        <v>0</v>
      </c>
      <c r="C46" s="1158">
        <v>0</v>
      </c>
      <c r="D46" s="1179">
        <f t="shared" si="4"/>
        <v>0</v>
      </c>
      <c r="E46" s="553">
        <f>'WORK PAPER APP0910 E (1)'!F315</f>
        <v>0</v>
      </c>
      <c r="F46" s="553">
        <f>'Appendix E(1)'!B49</f>
        <v>3884563.47</v>
      </c>
      <c r="G46" s="553">
        <f t="shared" si="7"/>
        <v>-3884563.47</v>
      </c>
      <c r="H46" s="1177"/>
      <c r="I46" s="1177"/>
      <c r="J46" s="1178"/>
    </row>
    <row r="47" spans="1:10">
      <c r="A47" s="1158" t="s">
        <v>3395</v>
      </c>
      <c r="B47" s="553">
        <v>0</v>
      </c>
      <c r="C47" s="1158">
        <v>0</v>
      </c>
      <c r="D47" s="1179">
        <f t="shared" si="4"/>
        <v>0</v>
      </c>
      <c r="E47" s="553">
        <f>'WORK PAPER APP0910 E (1)'!F318</f>
        <v>0</v>
      </c>
      <c r="F47" s="553">
        <f>'Appendix E(1)'!B50</f>
        <v>412318.9</v>
      </c>
      <c r="G47" s="553">
        <f t="shared" si="7"/>
        <v>-412318.9</v>
      </c>
      <c r="H47" s="1177"/>
      <c r="I47" s="1177"/>
      <c r="J47" s="1178"/>
    </row>
    <row r="48" spans="1:10">
      <c r="A48" s="1158" t="s">
        <v>1646</v>
      </c>
      <c r="B48" s="553">
        <f>'WORK PAPER STATE COMPARITIVE'!P276</f>
        <v>1858701</v>
      </c>
      <c r="C48" s="1189">
        <f>'WORK PAPER STATE COMPARITIVE'!Q276</f>
        <v>1358701</v>
      </c>
      <c r="D48" s="1179">
        <f t="shared" si="4"/>
        <v>500000</v>
      </c>
      <c r="E48" s="553">
        <f>'WORK PAPER APP0910 E (1)'!F325</f>
        <v>965519</v>
      </c>
      <c r="F48" s="553">
        <f>'Appendix E(1)'!B51</f>
        <v>1892896.74</v>
      </c>
      <c r="G48" s="553">
        <f t="shared" si="7"/>
        <v>-927377.74</v>
      </c>
      <c r="H48" s="1177">
        <f>-G48/E48</f>
        <v>0.96049662409543468</v>
      </c>
      <c r="I48" s="1177">
        <f t="shared" si="6"/>
        <v>1.9604966240954347</v>
      </c>
      <c r="J48" s="1178">
        <f t="shared" si="5"/>
        <v>1.0183976551365712</v>
      </c>
    </row>
    <row r="49" spans="1:10">
      <c r="A49" s="1156" t="s">
        <v>2531</v>
      </c>
      <c r="B49" s="1190">
        <f>SUM(B34:B48)</f>
        <v>97882746</v>
      </c>
      <c r="C49" s="1191">
        <f>SUM(C35:C48)</f>
        <v>90442884</v>
      </c>
      <c r="D49" s="1190"/>
      <c r="E49" s="1163">
        <f>SUM(E35:E48)</f>
        <v>90554266</v>
      </c>
      <c r="F49" s="1163">
        <f>SUM(F35:F48)</f>
        <v>108152233.61000003</v>
      </c>
      <c r="G49" s="1163">
        <f>SUM(G35:G48)</f>
        <v>-10604785.780000003</v>
      </c>
      <c r="H49" s="1163">
        <f>SUM(H35:H48)</f>
        <v>1.8918361109466186</v>
      </c>
      <c r="I49" s="1183">
        <f t="shared" si="6"/>
        <v>1.1943361520924927</v>
      </c>
      <c r="J49" s="1192">
        <f t="shared" si="5"/>
        <v>1.1049162189422028</v>
      </c>
    </row>
    <row r="50" spans="1:10">
      <c r="A50" s="1155" t="s">
        <v>2532</v>
      </c>
      <c r="B50" s="1163">
        <f>B26-B49</f>
        <v>17422652</v>
      </c>
      <c r="C50" s="1163">
        <f>C26-C49</f>
        <v>-8516471.9699999988</v>
      </c>
      <c r="D50" s="1163">
        <f>D26-D49</f>
        <v>33378985.969999999</v>
      </c>
      <c r="E50" s="1163">
        <f>E26-E49</f>
        <v>6993182</v>
      </c>
      <c r="F50" s="1163">
        <f>F26-F49</f>
        <v>-14841360.570000038</v>
      </c>
      <c r="G50" s="1163"/>
      <c r="H50" s="1163"/>
      <c r="I50" s="1183">
        <f t="shared" si="6"/>
        <v>-2.122261449794963</v>
      </c>
      <c r="J50" s="1192">
        <f t="shared" si="5"/>
        <v>-0.85184279465606261</v>
      </c>
    </row>
    <row r="56" spans="1:10">
      <c r="E56" s="981"/>
    </row>
  </sheetData>
  <mergeCells count="9">
    <mergeCell ref="A30:J30"/>
    <mergeCell ref="A31:D31"/>
    <mergeCell ref="A32:A33"/>
    <mergeCell ref="A1:J1"/>
    <mergeCell ref="A2:J2"/>
    <mergeCell ref="A3:J3"/>
    <mergeCell ref="A5:A6"/>
    <mergeCell ref="A28:J28"/>
    <mergeCell ref="A29:J29"/>
  </mergeCells>
  <pageMargins left="0.70866141732283472" right="0.70866141732283472" top="0.74803149606299213" bottom="0.74803149606299213" header="0.31496062992125984" footer="0.31496062992125984"/>
  <pageSetup paperSize="9" scale="64" orientation="landscape" r:id="rId1"/>
  <headerFooter>
    <oddFooter>&amp;R&amp;P</oddFooter>
  </headerFooter>
</worksheet>
</file>

<file path=xl/worksheets/sheet32.xml><?xml version="1.0" encoding="utf-8"?>
<worksheet xmlns="http://schemas.openxmlformats.org/spreadsheetml/2006/main" xmlns:r="http://schemas.openxmlformats.org/officeDocument/2006/relationships">
  <sheetPr>
    <pageSetUpPr fitToPage="1"/>
  </sheetPr>
  <dimension ref="A1:I35"/>
  <sheetViews>
    <sheetView tabSelected="1" view="pageLayout" topLeftCell="B1" zoomScaleSheetLayoutView="100" workbookViewId="0">
      <selection activeCell="B43" sqref="B43"/>
    </sheetView>
  </sheetViews>
  <sheetFormatPr defaultRowHeight="12.75"/>
  <cols>
    <col min="1" max="1" width="32.28515625" style="239" bestFit="1" customWidth="1"/>
    <col min="2" max="2" width="11.42578125" style="239" bestFit="1" customWidth="1"/>
    <col min="3" max="3" width="12.5703125" style="239" bestFit="1" customWidth="1"/>
    <col min="4" max="4" width="14" style="239" bestFit="1" customWidth="1"/>
    <col min="5" max="5" width="15.140625" style="239" bestFit="1" customWidth="1"/>
    <col min="6" max="6" width="16.28515625" style="239" bestFit="1" customWidth="1"/>
    <col min="7" max="7" width="9.28515625" style="239" bestFit="1" customWidth="1"/>
    <col min="8" max="8" width="41.85546875" style="239" customWidth="1"/>
    <col min="9" max="16384" width="9.140625" style="239"/>
  </cols>
  <sheetData>
    <row r="1" spans="1:9">
      <c r="A1" s="1946" t="s">
        <v>2474</v>
      </c>
      <c r="B1" s="1946"/>
      <c r="C1" s="1946"/>
      <c r="D1" s="1946"/>
      <c r="E1" s="1946"/>
      <c r="F1" s="1946"/>
      <c r="G1" s="1946"/>
      <c r="H1" s="1946"/>
    </row>
    <row r="2" spans="1:9" ht="12.75" customHeight="1">
      <c r="A2" s="1946" t="s">
        <v>1648</v>
      </c>
      <c r="B2" s="1946"/>
      <c r="C2" s="1946"/>
      <c r="D2" s="1946"/>
      <c r="E2" s="1946"/>
      <c r="F2" s="1946"/>
      <c r="G2" s="1946"/>
      <c r="H2" s="1946"/>
    </row>
    <row r="3" spans="1:9" ht="12.75" customHeight="1">
      <c r="A3" s="1946" t="s">
        <v>1649</v>
      </c>
      <c r="B3" s="1946"/>
      <c r="C3" s="1946"/>
      <c r="D3" s="1946"/>
      <c r="E3" s="1946"/>
      <c r="F3" s="1946"/>
      <c r="G3" s="1946"/>
      <c r="H3" s="1946"/>
      <c r="I3" s="239" t="s">
        <v>2678</v>
      </c>
    </row>
    <row r="4" spans="1:9">
      <c r="A4" s="1946" t="s">
        <v>3483</v>
      </c>
      <c r="B4" s="1946"/>
      <c r="C4" s="1946"/>
      <c r="D4" s="1946"/>
      <c r="E4" s="1946"/>
      <c r="F4" s="1946"/>
      <c r="G4" s="1946"/>
      <c r="H4" s="1946"/>
    </row>
    <row r="5" spans="1:9">
      <c r="A5" s="241"/>
      <c r="B5" s="241"/>
      <c r="C5" s="241"/>
      <c r="D5" s="241"/>
      <c r="E5" s="241"/>
      <c r="F5" s="241"/>
      <c r="G5" s="241"/>
      <c r="H5" s="241"/>
    </row>
    <row r="6" spans="1:9">
      <c r="A6" s="1947"/>
      <c r="B6" s="242">
        <v>2010</v>
      </c>
      <c r="C6" s="242">
        <v>2010</v>
      </c>
      <c r="D6" s="242">
        <v>2010</v>
      </c>
      <c r="E6" s="242">
        <v>2010</v>
      </c>
      <c r="F6" s="242">
        <v>2010</v>
      </c>
      <c r="G6" s="242">
        <v>2010</v>
      </c>
      <c r="H6" s="243"/>
    </row>
    <row r="7" spans="1:9" s="246" customFormat="1" ht="25.5">
      <c r="A7" s="1948"/>
      <c r="B7" s="244" t="s">
        <v>1111</v>
      </c>
      <c r="C7" s="244" t="s">
        <v>1014</v>
      </c>
      <c r="D7" s="244" t="s">
        <v>1650</v>
      </c>
      <c r="E7" s="244" t="s">
        <v>737</v>
      </c>
      <c r="F7" s="244" t="s">
        <v>3320</v>
      </c>
      <c r="G7" s="244" t="s">
        <v>3320</v>
      </c>
      <c r="H7" s="244" t="s">
        <v>1651</v>
      </c>
    </row>
    <row r="8" spans="1:9">
      <c r="A8" s="1949"/>
      <c r="B8" s="267" t="s">
        <v>2422</v>
      </c>
      <c r="C8" s="267" t="s">
        <v>2422</v>
      </c>
      <c r="D8" s="267" t="s">
        <v>2422</v>
      </c>
      <c r="E8" s="267" t="s">
        <v>2422</v>
      </c>
      <c r="F8" s="267" t="s">
        <v>2422</v>
      </c>
      <c r="G8" s="267" t="s">
        <v>2303</v>
      </c>
      <c r="H8" s="233"/>
      <c r="I8" s="240"/>
    </row>
    <row r="9" spans="1:9">
      <c r="A9" s="245" t="s">
        <v>1652</v>
      </c>
      <c r="B9" s="247">
        <f>B10</f>
        <v>6228.8</v>
      </c>
      <c r="C9" s="247">
        <f>C10</f>
        <v>0</v>
      </c>
      <c r="D9" s="247">
        <f>D10</f>
        <v>6228.8</v>
      </c>
      <c r="E9" s="247">
        <f>E10</f>
        <v>6229</v>
      </c>
      <c r="F9" s="247">
        <f>F10</f>
        <v>-0.1999999999998181</v>
      </c>
      <c r="G9" s="248">
        <f>F9/E9*100</f>
        <v>-3.2107882485120903E-3</v>
      </c>
      <c r="H9" s="249"/>
    </row>
    <row r="10" spans="1:9">
      <c r="A10" s="249" t="s">
        <v>1250</v>
      </c>
      <c r="B10" s="250">
        <f>'Appendix C'!C8</f>
        <v>6228.8</v>
      </c>
      <c r="C10" s="250">
        <f>'Appendix C'!E8</f>
        <v>0</v>
      </c>
      <c r="D10" s="247">
        <f>C10+B10</f>
        <v>6228.8</v>
      </c>
      <c r="E10" s="250">
        <v>6229</v>
      </c>
      <c r="F10" s="250">
        <f>D10-E10</f>
        <v>-0.1999999999998181</v>
      </c>
      <c r="G10" s="248"/>
      <c r="H10" s="249"/>
    </row>
    <row r="11" spans="1:9">
      <c r="A11" s="249"/>
      <c r="B11" s="250"/>
      <c r="C11" s="250"/>
      <c r="D11" s="250"/>
      <c r="E11" s="250"/>
      <c r="F11" s="250"/>
      <c r="G11" s="248"/>
      <c r="H11" s="249" t="s">
        <v>45</v>
      </c>
    </row>
    <row r="12" spans="1:9">
      <c r="A12" s="245" t="s">
        <v>1020</v>
      </c>
      <c r="B12" s="247">
        <f>SUM(B13:B13)</f>
        <v>9824579.1399999987</v>
      </c>
      <c r="C12" s="247">
        <f>SUM(C13:C13)</f>
        <v>0</v>
      </c>
      <c r="D12" s="247">
        <f>C12+B12</f>
        <v>9824579.1399999987</v>
      </c>
      <c r="E12" s="247">
        <f>SUM(E13:E13)</f>
        <v>9166739.6999999993</v>
      </c>
      <c r="F12" s="247">
        <f>SUM(F13:F13)</f>
        <v>657839.43999999948</v>
      </c>
      <c r="G12" s="248">
        <f>F12/E12*100</f>
        <v>7.176373078423941</v>
      </c>
      <c r="H12" s="249" t="s">
        <v>45</v>
      </c>
    </row>
    <row r="13" spans="1:9">
      <c r="A13" s="249" t="s">
        <v>1254</v>
      </c>
      <c r="B13" s="250">
        <f>'Appendix C'!C10+'App C (1)'!C10</f>
        <v>9824579.1399999987</v>
      </c>
      <c r="C13" s="250">
        <f>'Appendix C'!E10</f>
        <v>0</v>
      </c>
      <c r="D13" s="247">
        <f t="shared" ref="D13:D19" si="0">C13+B13</f>
        <v>9824579.1399999987</v>
      </c>
      <c r="E13" s="250">
        <f>444739.7+8722000</f>
        <v>9166739.6999999993</v>
      </c>
      <c r="F13" s="250">
        <f>D13-E13</f>
        <v>657839.43999999948</v>
      </c>
      <c r="G13" s="248" t="s">
        <v>45</v>
      </c>
      <c r="H13" s="249"/>
    </row>
    <row r="14" spans="1:9">
      <c r="A14" s="249"/>
      <c r="B14" s="250"/>
      <c r="C14" s="250"/>
      <c r="D14" s="247">
        <f t="shared" si="0"/>
        <v>0</v>
      </c>
      <c r="E14" s="250"/>
      <c r="F14" s="250"/>
      <c r="G14" s="248"/>
      <c r="H14" s="249" t="s">
        <v>45</v>
      </c>
    </row>
    <row r="15" spans="1:9">
      <c r="A15" s="245" t="s">
        <v>1238</v>
      </c>
      <c r="B15" s="247">
        <f>B16</f>
        <v>0</v>
      </c>
      <c r="C15" s="247">
        <f>C16</f>
        <v>0</v>
      </c>
      <c r="D15" s="247">
        <f t="shared" si="0"/>
        <v>0</v>
      </c>
      <c r="E15" s="247">
        <f>SUM(E16)</f>
        <v>0</v>
      </c>
      <c r="F15" s="247">
        <f>F16</f>
        <v>0</v>
      </c>
      <c r="G15" s="248">
        <v>0</v>
      </c>
      <c r="H15" s="249" t="s">
        <v>45</v>
      </c>
    </row>
    <row r="16" spans="1:9">
      <c r="A16" s="249" t="s">
        <v>2517</v>
      </c>
      <c r="B16" s="250">
        <f>'Appendix C'!C48</f>
        <v>0</v>
      </c>
      <c r="C16" s="250">
        <f>'Appendix C'!E24</f>
        <v>0</v>
      </c>
      <c r="D16" s="247">
        <f t="shared" si="0"/>
        <v>0</v>
      </c>
      <c r="E16" s="250">
        <v>0</v>
      </c>
      <c r="F16" s="250">
        <f>D16-E16</f>
        <v>0</v>
      </c>
      <c r="G16" s="248"/>
      <c r="H16" s="249"/>
    </row>
    <row r="17" spans="1:8">
      <c r="A17" s="249"/>
      <c r="B17" s="250"/>
      <c r="C17" s="250"/>
      <c r="D17" s="247">
        <f t="shared" si="0"/>
        <v>0</v>
      </c>
      <c r="E17" s="250"/>
      <c r="F17" s="250"/>
      <c r="G17" s="248"/>
      <c r="H17" s="249" t="s">
        <v>45</v>
      </c>
    </row>
    <row r="18" spans="1:8">
      <c r="A18" s="245" t="s">
        <v>1234</v>
      </c>
      <c r="B18" s="247">
        <f>SUM(B19:B19)</f>
        <v>80871.149999999994</v>
      </c>
      <c r="C18" s="247">
        <f>SUM(C19:C19)</f>
        <v>0</v>
      </c>
      <c r="D18" s="247">
        <f t="shared" si="0"/>
        <v>80871.149999999994</v>
      </c>
      <c r="E18" s="247">
        <f>SUM(E19:E19)</f>
        <v>80871</v>
      </c>
      <c r="F18" s="247">
        <f>SUM(F19:F19)</f>
        <v>0.14999999999417923</v>
      </c>
      <c r="G18" s="251">
        <f>F18/E18*100</f>
        <v>1.8548058017605723E-4</v>
      </c>
      <c r="H18" s="249" t="s">
        <v>45</v>
      </c>
    </row>
    <row r="19" spans="1:8">
      <c r="A19" s="249" t="s">
        <v>1235</v>
      </c>
      <c r="B19" s="250">
        <f>'Appendix C'!C42</f>
        <v>80871.149999999994</v>
      </c>
      <c r="C19" s="250">
        <f>'Appendix C'!E27</f>
        <v>0</v>
      </c>
      <c r="D19" s="247">
        <f t="shared" si="0"/>
        <v>80871.149999999994</v>
      </c>
      <c r="E19" s="250">
        <v>80871</v>
      </c>
      <c r="F19" s="250">
        <f>D19-E19</f>
        <v>0.14999999999417923</v>
      </c>
      <c r="G19" s="248" t="s">
        <v>45</v>
      </c>
      <c r="H19" s="249" t="s">
        <v>45</v>
      </c>
    </row>
    <row r="20" spans="1:8">
      <c r="A20" s="249"/>
      <c r="B20" s="250"/>
      <c r="C20" s="250"/>
      <c r="D20" s="247"/>
      <c r="E20" s="250"/>
      <c r="F20" s="250"/>
      <c r="G20" s="248"/>
      <c r="H20" s="249"/>
    </row>
    <row r="21" spans="1:8">
      <c r="A21" s="249"/>
      <c r="B21" s="250"/>
      <c r="C21" s="250"/>
      <c r="D21" s="247"/>
      <c r="E21" s="250"/>
      <c r="F21" s="250"/>
      <c r="G21" s="248"/>
      <c r="H21" s="249"/>
    </row>
    <row r="22" spans="1:8">
      <c r="A22" s="245" t="s">
        <v>2987</v>
      </c>
      <c r="B22" s="247">
        <f>SUM(B23:B23)</f>
        <v>576391.18000000005</v>
      </c>
      <c r="C22" s="247">
        <f>SUM(C23:C23)</f>
        <v>0</v>
      </c>
      <c r="D22" s="247">
        <f>SUM(D23:D23)</f>
        <v>576391.18000000005</v>
      </c>
      <c r="E22" s="247">
        <f>SUM(E23:E23)</f>
        <v>20388</v>
      </c>
      <c r="F22" s="247">
        <f>SUM(F23:F23)</f>
        <v>556003.18000000005</v>
      </c>
      <c r="G22" s="251">
        <f>F22/E22*100</f>
        <v>2727.1099666470477</v>
      </c>
      <c r="H22" s="252"/>
    </row>
    <row r="23" spans="1:8">
      <c r="A23" s="249" t="s">
        <v>1265</v>
      </c>
      <c r="B23" s="250">
        <f>'Appendix C'!C43</f>
        <v>576391.18000000005</v>
      </c>
      <c r="C23" s="250">
        <f>'Appendix C'!E39</f>
        <v>0</v>
      </c>
      <c r="D23" s="250">
        <f>C23+B23</f>
        <v>576391.18000000005</v>
      </c>
      <c r="E23" s="250">
        <v>20388</v>
      </c>
      <c r="F23" s="250">
        <f>D23-E23</f>
        <v>556003.18000000005</v>
      </c>
      <c r="G23" s="248" t="s">
        <v>45</v>
      </c>
      <c r="H23" s="249"/>
    </row>
    <row r="24" spans="1:8">
      <c r="A24" s="249"/>
      <c r="B24" s="250"/>
      <c r="C24" s="250"/>
      <c r="D24" s="250"/>
      <c r="E24" s="250"/>
      <c r="F24" s="250"/>
      <c r="G24" s="248"/>
      <c r="H24" s="249" t="s">
        <v>45</v>
      </c>
    </row>
    <row r="25" spans="1:8">
      <c r="A25" s="245" t="s">
        <v>1244</v>
      </c>
      <c r="B25" s="247">
        <f>B26+B27</f>
        <v>1311493.6499999999</v>
      </c>
      <c r="C25" s="247">
        <f>C26+C27</f>
        <v>0</v>
      </c>
      <c r="D25" s="247">
        <f>D26+D27</f>
        <v>1311493.6499999999</v>
      </c>
      <c r="E25" s="247">
        <f>SUM(E26)</f>
        <v>1743000</v>
      </c>
      <c r="F25" s="247">
        <f>D25-E25</f>
        <v>-431506.35000000009</v>
      </c>
      <c r="G25" s="251">
        <f>F25/E25*100</f>
        <v>-24.756531841652329</v>
      </c>
      <c r="H25" s="245"/>
    </row>
    <row r="26" spans="1:8">
      <c r="A26" s="249" t="s">
        <v>2300</v>
      </c>
      <c r="B26" s="250">
        <f>'Appendix C'!C56</f>
        <v>1311493.6499999999</v>
      </c>
      <c r="C26" s="250">
        <f>'Appendix C'!E57</f>
        <v>0</v>
      </c>
      <c r="D26" s="247">
        <f>C26+B26</f>
        <v>1311493.6499999999</v>
      </c>
      <c r="E26" s="250">
        <v>1743000</v>
      </c>
      <c r="F26" s="250">
        <f>D26-E26</f>
        <v>-431506.35000000009</v>
      </c>
      <c r="G26" s="248">
        <f>F26/E26*100</f>
        <v>-24.756531841652329</v>
      </c>
      <c r="H26" s="249" t="s">
        <v>45</v>
      </c>
    </row>
    <row r="27" spans="1:8">
      <c r="A27" s="249" t="s">
        <v>2301</v>
      </c>
      <c r="B27" s="250">
        <f>'Appendix C'!C58</f>
        <v>0</v>
      </c>
      <c r="C27" s="250">
        <f>'Appendix C'!E58</f>
        <v>0</v>
      </c>
      <c r="D27" s="250">
        <v>0</v>
      </c>
      <c r="E27" s="250">
        <f>'Appendix C'!Q58</f>
        <v>0</v>
      </c>
      <c r="F27" s="250">
        <f>D27-E27</f>
        <v>0</v>
      </c>
      <c r="G27" s="248" t="s">
        <v>45</v>
      </c>
      <c r="H27" s="249" t="s">
        <v>45</v>
      </c>
    </row>
    <row r="28" spans="1:8" ht="13.5" thickBot="1">
      <c r="A28" s="249"/>
      <c r="B28" s="253"/>
      <c r="C28" s="253"/>
      <c r="D28" s="253"/>
      <c r="E28" s="253"/>
      <c r="F28" s="253"/>
      <c r="G28" s="253"/>
      <c r="H28" s="249"/>
    </row>
    <row r="29" spans="1:8">
      <c r="A29" s="245" t="s">
        <v>2145</v>
      </c>
      <c r="B29" s="247">
        <f>B25+B22+B18+B15+B12+B9</f>
        <v>11799563.92</v>
      </c>
      <c r="C29" s="247">
        <f>C25+C22+C18+C15+C12+C9</f>
        <v>0</v>
      </c>
      <c r="D29" s="247">
        <f>D25+D22+D18+D15+D12+D9</f>
        <v>11799563.92</v>
      </c>
      <c r="E29" s="247">
        <f>E25+E22+E18+E15+E12+E9</f>
        <v>11017227.699999999</v>
      </c>
      <c r="F29" s="247">
        <f>F25+F22+F18+F15+F12+F9</f>
        <v>782336.21999999951</v>
      </c>
      <c r="G29" s="251">
        <f>F29/E29*100</f>
        <v>7.1010261501629817</v>
      </c>
      <c r="H29" s="252"/>
    </row>
    <row r="30" spans="1:8">
      <c r="A30" s="231"/>
      <c r="B30" s="254"/>
      <c r="C30" s="254"/>
      <c r="D30" s="254"/>
      <c r="E30" s="254"/>
      <c r="F30" s="254"/>
      <c r="G30" s="254"/>
      <c r="H30" s="255"/>
    </row>
    <row r="31" spans="1:8">
      <c r="A31" s="256" t="s">
        <v>1258</v>
      </c>
      <c r="B31" s="257">
        <v>0</v>
      </c>
      <c r="C31" s="257">
        <v>0</v>
      </c>
      <c r="D31" s="257">
        <f>SUM(B31:C31)</f>
        <v>0</v>
      </c>
      <c r="E31" s="257">
        <v>0</v>
      </c>
      <c r="F31" s="257">
        <f>D31-E31</f>
        <v>0</v>
      </c>
      <c r="G31" s="258">
        <v>0</v>
      </c>
      <c r="H31" s="256"/>
    </row>
    <row r="32" spans="1:8">
      <c r="A32" s="259"/>
      <c r="B32" s="260"/>
      <c r="C32" s="260"/>
      <c r="D32" s="260"/>
      <c r="E32" s="260"/>
      <c r="F32" s="260"/>
      <c r="G32" s="261"/>
      <c r="H32" s="262"/>
    </row>
    <row r="34" spans="4:4">
      <c r="D34" s="268"/>
    </row>
    <row r="35" spans="4:4">
      <c r="D35" s="268"/>
    </row>
  </sheetData>
  <mergeCells count="5">
    <mergeCell ref="A1:H1"/>
    <mergeCell ref="A2:H2"/>
    <mergeCell ref="A3:H3"/>
    <mergeCell ref="A4:H4"/>
    <mergeCell ref="A6:A8"/>
  </mergeCells>
  <phoneticPr fontId="0" type="noConversion"/>
  <printOptions horizontalCentered="1"/>
  <pageMargins left="0.6692913385826772" right="0.39370078740157483" top="0.98425196850393704" bottom="0.98425196850393704" header="0.51181102362204722" footer="0.51181102362204722"/>
  <pageSetup scale="82" orientation="landscape" r:id="rId1"/>
  <headerFooter>
    <oddHeader>&amp;C FINANCIAL STATEMENTS: MUSINA LOCAL MUNICIPALITY</oddHeader>
    <oddFooter>&amp;RPage &amp;P</oddFooter>
  </headerFooter>
</worksheet>
</file>

<file path=xl/worksheets/sheet33.xml><?xml version="1.0" encoding="utf-8"?>
<worksheet xmlns="http://schemas.openxmlformats.org/spreadsheetml/2006/main" xmlns:r="http://schemas.openxmlformats.org/officeDocument/2006/relationships">
  <sheetPr>
    <pageSetUpPr fitToPage="1"/>
  </sheetPr>
  <dimension ref="A1:Q18"/>
  <sheetViews>
    <sheetView tabSelected="1" view="pageBreakPreview" topLeftCell="B1" zoomScaleSheetLayoutView="100" workbookViewId="0">
      <selection activeCell="B43" sqref="B43"/>
    </sheetView>
  </sheetViews>
  <sheetFormatPr defaultRowHeight="15"/>
  <cols>
    <col min="1" max="1" width="34.42578125" style="235" customWidth="1"/>
    <col min="2" max="2" width="7.42578125" style="235" bestFit="1" customWidth="1"/>
    <col min="3" max="3" width="11.140625" style="235" customWidth="1"/>
    <col min="4" max="4" width="8.7109375" style="235" bestFit="1" customWidth="1"/>
    <col min="5" max="5" width="9.5703125" style="235" bestFit="1" customWidth="1"/>
    <col min="6" max="6" width="8.7109375" style="235" bestFit="1" customWidth="1"/>
    <col min="7" max="7" width="9.5703125" style="235" bestFit="1" customWidth="1"/>
    <col min="8" max="11" width="8.7109375" style="235" bestFit="1" customWidth="1"/>
    <col min="12" max="12" width="9.5703125" style="235" bestFit="1" customWidth="1"/>
    <col min="13" max="13" width="7.42578125" style="235" bestFit="1" customWidth="1"/>
    <col min="14" max="14" width="12.7109375" style="235" bestFit="1" customWidth="1"/>
    <col min="15" max="15" width="9.140625" style="235"/>
    <col min="16" max="16" width="22.42578125" style="235" customWidth="1"/>
    <col min="17" max="17" width="10.5703125" style="235" customWidth="1"/>
    <col min="18" max="16384" width="9.140625" style="235"/>
  </cols>
  <sheetData>
    <row r="1" spans="1:17">
      <c r="A1" s="1950" t="s">
        <v>1647</v>
      </c>
      <c r="B1" s="1950"/>
      <c r="C1" s="1950"/>
      <c r="D1" s="1950"/>
      <c r="E1" s="1950"/>
      <c r="F1" s="1950"/>
      <c r="G1" s="1950"/>
      <c r="H1" s="1950"/>
      <c r="I1" s="1950"/>
      <c r="J1" s="1950"/>
      <c r="K1" s="1950"/>
      <c r="L1" s="1950"/>
      <c r="M1" s="1950"/>
      <c r="N1" s="1950"/>
      <c r="O1" s="1950"/>
      <c r="P1" s="1950"/>
      <c r="Q1" s="1950"/>
    </row>
    <row r="2" spans="1:17">
      <c r="A2" s="1950" t="s">
        <v>3005</v>
      </c>
      <c r="B2" s="1951"/>
      <c r="C2" s="1951"/>
      <c r="D2" s="1951"/>
      <c r="E2" s="1951"/>
      <c r="F2" s="1951"/>
      <c r="G2" s="1951"/>
      <c r="H2" s="1951"/>
      <c r="I2" s="1951"/>
      <c r="J2" s="1951"/>
      <c r="K2" s="1951"/>
      <c r="L2" s="1951"/>
      <c r="M2" s="1951"/>
      <c r="N2" s="1951"/>
      <c r="O2" s="1951"/>
      <c r="P2" s="1951"/>
      <c r="Q2" s="1951"/>
    </row>
    <row r="3" spans="1:17">
      <c r="A3" s="1953" t="s">
        <v>3525</v>
      </c>
      <c r="B3" s="1954"/>
      <c r="C3" s="1954"/>
      <c r="D3" s="1954"/>
      <c r="E3" s="1954"/>
      <c r="F3" s="1954"/>
      <c r="G3" s="1954"/>
      <c r="H3" s="1954"/>
      <c r="I3" s="1954"/>
      <c r="J3" s="1954"/>
      <c r="K3" s="1954"/>
      <c r="L3" s="1955"/>
      <c r="M3" s="1955"/>
      <c r="N3" s="1955"/>
      <c r="O3" s="1955"/>
      <c r="P3" s="1955"/>
      <c r="Q3" s="1955"/>
    </row>
    <row r="4" spans="1:17">
      <c r="A4" s="422"/>
      <c r="B4" s="423"/>
      <c r="C4" s="423"/>
      <c r="D4" s="423"/>
      <c r="E4" s="423"/>
      <c r="F4" s="423"/>
      <c r="G4" s="423"/>
      <c r="H4" s="423"/>
      <c r="I4" s="423"/>
      <c r="J4" s="423"/>
      <c r="K4" s="423"/>
      <c r="L4" s="423"/>
      <c r="M4" s="423"/>
      <c r="N4" s="423"/>
      <c r="O4" s="423"/>
      <c r="P4" s="423"/>
      <c r="Q4" s="423"/>
    </row>
    <row r="5" spans="1:17">
      <c r="A5" s="173" t="s">
        <v>3006</v>
      </c>
      <c r="B5" s="264"/>
      <c r="C5" s="264"/>
      <c r="D5" s="264"/>
      <c r="E5" s="264"/>
      <c r="F5" s="264"/>
      <c r="G5" s="264"/>
      <c r="H5" s="424"/>
      <c r="I5" s="424"/>
      <c r="J5" s="424"/>
      <c r="K5" s="424"/>
      <c r="L5" s="424"/>
      <c r="M5" s="424"/>
      <c r="N5" s="424"/>
      <c r="O5" s="424"/>
      <c r="P5" s="424"/>
      <c r="Q5" s="424"/>
    </row>
    <row r="6" spans="1:17">
      <c r="A6" s="425"/>
      <c r="B6" s="264"/>
      <c r="C6" s="264"/>
      <c r="D6" s="264"/>
      <c r="E6" s="264"/>
      <c r="F6" s="264"/>
      <c r="G6" s="264"/>
      <c r="H6" s="424"/>
      <c r="I6" s="424"/>
      <c r="J6" s="424"/>
      <c r="K6" s="424"/>
      <c r="L6" s="424"/>
      <c r="M6" s="424"/>
      <c r="N6" s="424"/>
      <c r="O6" s="424"/>
      <c r="P6" s="424"/>
      <c r="Q6" s="424"/>
    </row>
    <row r="7" spans="1:17">
      <c r="A7" s="266"/>
      <c r="B7" s="424"/>
      <c r="C7" s="424"/>
      <c r="D7" s="424"/>
      <c r="E7" s="424"/>
      <c r="F7" s="424"/>
      <c r="G7" s="424"/>
      <c r="H7" s="424"/>
      <c r="I7" s="424"/>
      <c r="J7" s="424"/>
      <c r="K7" s="424"/>
      <c r="L7" s="424"/>
      <c r="M7" s="424"/>
      <c r="N7" s="424"/>
      <c r="O7" s="424"/>
      <c r="P7" s="424"/>
      <c r="Q7" s="424"/>
    </row>
    <row r="8" spans="1:17" ht="67.5" customHeight="1">
      <c r="A8" s="1952" t="s">
        <v>3007</v>
      </c>
      <c r="B8" s="1952"/>
      <c r="C8" s="1952" t="s">
        <v>3008</v>
      </c>
      <c r="D8" s="1952"/>
      <c r="E8" s="1952"/>
      <c r="F8" s="1952"/>
      <c r="G8" s="1952"/>
      <c r="H8" s="1952" t="s">
        <v>3009</v>
      </c>
      <c r="I8" s="1952"/>
      <c r="J8" s="1952"/>
      <c r="K8" s="1952"/>
      <c r="L8" s="1952"/>
      <c r="M8" s="426" t="s">
        <v>3010</v>
      </c>
      <c r="N8" s="426" t="s">
        <v>3011</v>
      </c>
      <c r="O8" s="426" t="s">
        <v>3012</v>
      </c>
      <c r="P8" s="426" t="s">
        <v>3013</v>
      </c>
      <c r="Q8" s="426" t="s">
        <v>3014</v>
      </c>
    </row>
    <row r="9" spans="1:17">
      <c r="A9" s="1952"/>
      <c r="B9" s="1952"/>
      <c r="C9" s="426" t="s">
        <v>3015</v>
      </c>
      <c r="D9" s="426" t="s">
        <v>3016</v>
      </c>
      <c r="E9" s="426" t="s">
        <v>3017</v>
      </c>
      <c r="F9" s="426" t="s">
        <v>3018</v>
      </c>
      <c r="G9" s="426" t="s">
        <v>1740</v>
      </c>
      <c r="H9" s="426" t="s">
        <v>3015</v>
      </c>
      <c r="I9" s="426" t="s">
        <v>3016</v>
      </c>
      <c r="J9" s="426" t="s">
        <v>3017</v>
      </c>
      <c r="K9" s="426" t="s">
        <v>3018</v>
      </c>
      <c r="L9" s="426" t="s">
        <v>1740</v>
      </c>
      <c r="M9" s="426" t="s">
        <v>1740</v>
      </c>
      <c r="N9" s="426" t="s">
        <v>1740</v>
      </c>
      <c r="O9" s="426"/>
      <c r="P9" s="426" t="s">
        <v>3019</v>
      </c>
      <c r="Q9" s="426"/>
    </row>
    <row r="10" spans="1:17">
      <c r="A10" s="427" t="s">
        <v>2270</v>
      </c>
      <c r="B10" s="427" t="s">
        <v>32</v>
      </c>
      <c r="C10" s="428">
        <v>7865911</v>
      </c>
      <c r="D10" s="428">
        <v>6292664.8300000001</v>
      </c>
      <c r="E10" s="428">
        <f>4719547+711207</f>
        <v>5430754</v>
      </c>
      <c r="F10" s="428">
        <v>0</v>
      </c>
      <c r="G10" s="428">
        <f>SUM(C10:F10)</f>
        <v>19589329.829999998</v>
      </c>
      <c r="H10" s="428">
        <v>0</v>
      </c>
      <c r="I10" s="428">
        <v>0</v>
      </c>
      <c r="J10" s="428">
        <v>0</v>
      </c>
      <c r="K10" s="429">
        <v>0</v>
      </c>
      <c r="L10" s="429">
        <f t="shared" ref="L10:L15" si="0">SUM(H10:K10)</f>
        <v>0</v>
      </c>
      <c r="M10" s="430"/>
      <c r="N10" s="428">
        <f t="shared" ref="N10:N15" si="1">G10</f>
        <v>19589329.829999998</v>
      </c>
      <c r="O10" s="431"/>
      <c r="P10" s="431"/>
      <c r="Q10" s="431"/>
    </row>
    <row r="11" spans="1:17">
      <c r="A11" s="432" t="s">
        <v>2277</v>
      </c>
      <c r="B11" s="432" t="s">
        <v>32</v>
      </c>
      <c r="C11" s="429">
        <v>735000</v>
      </c>
      <c r="D11" s="429">
        <v>0</v>
      </c>
      <c r="E11" s="429">
        <v>0</v>
      </c>
      <c r="F11" s="429">
        <v>0</v>
      </c>
      <c r="G11" s="429">
        <f>SUM(C11:F11)</f>
        <v>735000</v>
      </c>
      <c r="H11" s="429">
        <v>133725.65</v>
      </c>
      <c r="I11" s="429">
        <v>56206.02</v>
      </c>
      <c r="J11" s="429">
        <v>197191.5</v>
      </c>
      <c r="K11" s="429">
        <v>347877</v>
      </c>
      <c r="L11" s="429">
        <f t="shared" si="0"/>
        <v>735000.16999999993</v>
      </c>
      <c r="M11" s="430"/>
      <c r="N11" s="429">
        <f t="shared" si="1"/>
        <v>735000</v>
      </c>
      <c r="O11" s="431"/>
      <c r="P11" s="431"/>
      <c r="Q11" s="431"/>
    </row>
    <row r="12" spans="1:17">
      <c r="A12" s="380" t="s">
        <v>3021</v>
      </c>
      <c r="B12" s="431" t="s">
        <v>32</v>
      </c>
      <c r="C12" s="429">
        <f>1300000+900000+440000</f>
        <v>2640000</v>
      </c>
      <c r="D12" s="429">
        <f>1800000+900000+560000</f>
        <v>3260000</v>
      </c>
      <c r="E12" s="429">
        <f>500000+1000000+1122000</f>
        <v>2622000</v>
      </c>
      <c r="F12" s="429">
        <f>940000+1240000+700000</f>
        <v>2880000</v>
      </c>
      <c r="G12" s="429">
        <f>SUM(C12:F12)</f>
        <v>11402000</v>
      </c>
      <c r="H12" s="429">
        <v>2640000</v>
      </c>
      <c r="I12" s="429">
        <v>3260000</v>
      </c>
      <c r="J12" s="429">
        <v>2622</v>
      </c>
      <c r="K12" s="429">
        <v>0</v>
      </c>
      <c r="L12" s="429">
        <f t="shared" si="0"/>
        <v>5902622</v>
      </c>
      <c r="M12" s="430"/>
      <c r="N12" s="429">
        <f t="shared" si="1"/>
        <v>11402000</v>
      </c>
      <c r="O12" s="431"/>
      <c r="P12" s="431"/>
      <c r="Q12" s="431"/>
    </row>
    <row r="13" spans="1:17">
      <c r="A13" s="528" t="s">
        <v>3509</v>
      </c>
      <c r="B13" s="431" t="s">
        <v>32</v>
      </c>
      <c r="C13" s="429">
        <v>0</v>
      </c>
      <c r="D13" s="429">
        <v>0</v>
      </c>
      <c r="E13" s="429">
        <v>350000</v>
      </c>
      <c r="F13" s="429">
        <v>0</v>
      </c>
      <c r="G13" s="429">
        <f>SUM(C13:F13)</f>
        <v>350000</v>
      </c>
      <c r="H13" s="429">
        <v>0</v>
      </c>
      <c r="I13" s="429">
        <v>0</v>
      </c>
      <c r="J13" s="429">
        <v>0</v>
      </c>
      <c r="K13" s="429">
        <v>350000</v>
      </c>
      <c r="L13" s="429">
        <f t="shared" si="0"/>
        <v>350000</v>
      </c>
      <c r="M13" s="430"/>
      <c r="N13" s="429">
        <f t="shared" si="1"/>
        <v>350000</v>
      </c>
      <c r="O13" s="431"/>
      <c r="P13" s="431"/>
      <c r="Q13" s="431"/>
    </row>
    <row r="14" spans="1:17" ht="25.5">
      <c r="A14" s="380" t="s">
        <v>3020</v>
      </c>
      <c r="B14" s="431" t="s">
        <v>2137</v>
      </c>
      <c r="C14" s="429">
        <v>2750000</v>
      </c>
      <c r="D14" s="429">
        <v>0</v>
      </c>
      <c r="E14" s="429">
        <v>0</v>
      </c>
      <c r="F14" s="429">
        <v>0</v>
      </c>
      <c r="G14" s="429">
        <f>SUM(C14:F14)</f>
        <v>2750000</v>
      </c>
      <c r="H14" s="429">
        <v>68054.429999999993</v>
      </c>
      <c r="I14" s="429">
        <v>223927.58</v>
      </c>
      <c r="J14" s="429">
        <v>687500</v>
      </c>
      <c r="K14" s="429">
        <v>979482</v>
      </c>
      <c r="L14" s="429">
        <f t="shared" si="0"/>
        <v>1958964.01</v>
      </c>
      <c r="M14" s="430"/>
      <c r="N14" s="429">
        <f t="shared" si="1"/>
        <v>2750000</v>
      </c>
      <c r="O14" s="431"/>
      <c r="P14" s="431"/>
      <c r="Q14" s="431"/>
    </row>
    <row r="15" spans="1:17" ht="38.25">
      <c r="A15" s="433" t="s">
        <v>3022</v>
      </c>
      <c r="B15" s="431" t="s">
        <v>3023</v>
      </c>
      <c r="C15" s="429">
        <v>300000</v>
      </c>
      <c r="D15" s="429">
        <v>0</v>
      </c>
      <c r="E15" s="429">
        <v>0</v>
      </c>
      <c r="F15" s="429">
        <v>0</v>
      </c>
      <c r="G15" s="429">
        <v>0</v>
      </c>
      <c r="H15" s="429">
        <v>0</v>
      </c>
      <c r="I15" s="429">
        <v>0</v>
      </c>
      <c r="J15" s="429">
        <v>0</v>
      </c>
      <c r="K15" s="429">
        <v>0</v>
      </c>
      <c r="L15" s="429">
        <f t="shared" si="0"/>
        <v>0</v>
      </c>
      <c r="M15" s="430"/>
      <c r="N15" s="429">
        <f t="shared" si="1"/>
        <v>0</v>
      </c>
      <c r="O15" s="431"/>
      <c r="P15" s="431"/>
      <c r="Q15" s="431"/>
    </row>
    <row r="16" spans="1:17">
      <c r="A16" s="434"/>
      <c r="B16" s="435"/>
      <c r="C16" s="436">
        <f t="shared" ref="C16:K16" si="2">SUM(C10:C15)</f>
        <v>14290911</v>
      </c>
      <c r="D16" s="436">
        <f t="shared" si="2"/>
        <v>9552664.8300000001</v>
      </c>
      <c r="E16" s="436">
        <f t="shared" si="2"/>
        <v>8402754</v>
      </c>
      <c r="F16" s="436">
        <f t="shared" si="2"/>
        <v>2880000</v>
      </c>
      <c r="G16" s="436">
        <f t="shared" si="2"/>
        <v>34826329.829999998</v>
      </c>
      <c r="H16" s="436">
        <f t="shared" si="2"/>
        <v>2841780.08</v>
      </c>
      <c r="I16" s="436">
        <f t="shared" si="2"/>
        <v>3540133.6</v>
      </c>
      <c r="J16" s="436">
        <f t="shared" si="2"/>
        <v>887313.5</v>
      </c>
      <c r="K16" s="436">
        <f t="shared" si="2"/>
        <v>1677359</v>
      </c>
      <c r="L16" s="436">
        <f>SUM(L10:L15)</f>
        <v>8946586.1799999997</v>
      </c>
      <c r="M16" s="436">
        <f>SUM(M14:M15)</f>
        <v>0</v>
      </c>
      <c r="N16" s="436">
        <f>SUM(N10:N15)</f>
        <v>34826329.829999998</v>
      </c>
      <c r="O16" s="434"/>
      <c r="P16" s="434"/>
      <c r="Q16" s="434"/>
    </row>
    <row r="18" spans="14:14">
      <c r="N18" s="437"/>
    </row>
  </sheetData>
  <mergeCells count="7">
    <mergeCell ref="A1:Q1"/>
    <mergeCell ref="A2:Q2"/>
    <mergeCell ref="A8:A9"/>
    <mergeCell ref="B8:B9"/>
    <mergeCell ref="C8:G8"/>
    <mergeCell ref="H8:L8"/>
    <mergeCell ref="A3:Q3"/>
  </mergeCells>
  <printOptions horizontalCentered="1"/>
  <pageMargins left="0.70866141732283472" right="0.70866141732283472" top="0.74803149606299213" bottom="0.74803149606299213" header="0.31496062992125984" footer="0.31496062992125984"/>
  <pageSetup paperSize="9" scale="66" orientation="landscape" r:id="rId1"/>
  <headerFooter>
    <oddFooter>&amp;R&amp;P</oddFooter>
  </headerFooter>
</worksheet>
</file>

<file path=xl/worksheets/sheet34.xml><?xml version="1.0" encoding="utf-8"?>
<worksheet xmlns="http://schemas.openxmlformats.org/spreadsheetml/2006/main" xmlns:r="http://schemas.openxmlformats.org/officeDocument/2006/relationships">
  <sheetPr>
    <pageSetUpPr fitToPage="1"/>
  </sheetPr>
  <dimension ref="A1:L110"/>
  <sheetViews>
    <sheetView tabSelected="1" view="pageBreakPreview" topLeftCell="A33" zoomScaleSheetLayoutView="100" workbookViewId="0">
      <selection activeCell="B43" sqref="B43"/>
    </sheetView>
  </sheetViews>
  <sheetFormatPr defaultRowHeight="12.75"/>
  <cols>
    <col min="1" max="1" width="15.140625" style="234" customWidth="1"/>
    <col min="2" max="2" width="24" style="218" bestFit="1" customWidth="1"/>
    <col min="3" max="3" width="15.5703125" style="217" customWidth="1"/>
    <col min="4" max="4" width="58.7109375" style="218" bestFit="1" customWidth="1"/>
    <col min="5" max="5" width="9.7109375" style="215" customWidth="1"/>
    <col min="6" max="16384" width="9.140625" style="218"/>
  </cols>
  <sheetData>
    <row r="1" spans="1:12" s="225" customFormat="1" ht="15.75">
      <c r="A1" s="1957" t="s">
        <v>686</v>
      </c>
      <c r="B1" s="1957"/>
      <c r="C1" s="1957"/>
      <c r="D1" s="1957"/>
      <c r="E1" s="1957"/>
      <c r="F1" s="213"/>
      <c r="G1" s="223"/>
      <c r="H1" s="223"/>
      <c r="I1" s="223"/>
      <c r="J1" s="223"/>
      <c r="K1" s="223"/>
      <c r="L1" s="224"/>
    </row>
    <row r="2" spans="1:12" s="225" customFormat="1" ht="15.75" customHeight="1">
      <c r="A2" s="1957" t="s">
        <v>687</v>
      </c>
      <c r="B2" s="1957"/>
      <c r="C2" s="1957"/>
      <c r="D2" s="1957"/>
      <c r="E2" s="1957"/>
      <c r="F2" s="213"/>
      <c r="G2" s="223"/>
      <c r="H2" s="223"/>
      <c r="I2" s="223"/>
      <c r="J2" s="223"/>
      <c r="K2" s="223"/>
      <c r="L2" s="224"/>
    </row>
    <row r="3" spans="1:12" s="225" customFormat="1" ht="15.75" customHeight="1">
      <c r="A3" s="1957" t="s">
        <v>688</v>
      </c>
      <c r="B3" s="1957"/>
      <c r="C3" s="1957"/>
      <c r="D3" s="1957"/>
      <c r="E3" s="1957"/>
      <c r="F3" s="213"/>
      <c r="G3" s="223"/>
      <c r="H3" s="223"/>
      <c r="I3" s="223"/>
      <c r="J3" s="223"/>
      <c r="K3" s="223"/>
      <c r="L3" s="224"/>
    </row>
    <row r="4" spans="1:12" s="225" customFormat="1" ht="15.75" customHeight="1">
      <c r="A4" s="1957" t="s">
        <v>3483</v>
      </c>
      <c r="B4" s="1957"/>
      <c r="C4" s="1957"/>
      <c r="D4" s="1957"/>
      <c r="E4" s="1957"/>
      <c r="F4" s="213"/>
      <c r="G4" s="223"/>
      <c r="H4" s="223"/>
      <c r="I4" s="223"/>
      <c r="J4" s="223"/>
      <c r="K4" s="223"/>
      <c r="L4" s="224"/>
    </row>
    <row r="5" spans="1:12">
      <c r="A5" s="1956"/>
      <c r="B5" s="1956"/>
      <c r="C5" s="1956"/>
      <c r="D5" s="1956"/>
      <c r="E5" s="226"/>
      <c r="G5" s="227"/>
      <c r="H5" s="227"/>
      <c r="I5" s="227"/>
      <c r="J5" s="227"/>
      <c r="K5" s="227"/>
      <c r="L5" s="227"/>
    </row>
    <row r="6" spans="1:12" ht="31.5" customHeight="1">
      <c r="A6" s="228" t="s">
        <v>1724</v>
      </c>
      <c r="B6" s="229" t="s">
        <v>1725</v>
      </c>
      <c r="C6" s="230" t="s">
        <v>1860</v>
      </c>
      <c r="D6" s="229" t="s">
        <v>1726</v>
      </c>
      <c r="E6" s="179" t="s">
        <v>683</v>
      </c>
    </row>
    <row r="7" spans="1:12" ht="15">
      <c r="A7" s="584" t="s">
        <v>3612</v>
      </c>
      <c r="B7" s="588" t="s">
        <v>3624</v>
      </c>
      <c r="C7" s="593">
        <v>3000</v>
      </c>
      <c r="D7" s="588" t="s">
        <v>3663</v>
      </c>
      <c r="E7" s="588">
        <v>23877</v>
      </c>
    </row>
    <row r="8" spans="1:12" ht="16.5" customHeight="1">
      <c r="A8" s="585" t="s">
        <v>3612</v>
      </c>
      <c r="B8" s="589" t="s">
        <v>3625</v>
      </c>
      <c r="C8" s="594">
        <v>19420</v>
      </c>
      <c r="D8" s="589" t="s">
        <v>3664</v>
      </c>
      <c r="E8" s="589">
        <v>20225</v>
      </c>
    </row>
    <row r="9" spans="1:12" ht="16.5" customHeight="1">
      <c r="A9" s="586" t="s">
        <v>3612</v>
      </c>
      <c r="B9" s="590" t="s">
        <v>3626</v>
      </c>
      <c r="C9" s="594">
        <v>6999</v>
      </c>
      <c r="D9" s="596" t="s">
        <v>3665</v>
      </c>
      <c r="E9" s="589">
        <v>20254</v>
      </c>
    </row>
    <row r="10" spans="1:12" ht="16.5" customHeight="1">
      <c r="A10" s="587" t="s">
        <v>3612</v>
      </c>
      <c r="B10" s="591" t="s">
        <v>3625</v>
      </c>
      <c r="C10" s="595">
        <v>19420</v>
      </c>
      <c r="D10" s="591" t="s">
        <v>3666</v>
      </c>
      <c r="E10" s="591">
        <v>20225</v>
      </c>
    </row>
    <row r="11" spans="1:12" ht="16.5" customHeight="1">
      <c r="A11" s="584" t="s">
        <v>3613</v>
      </c>
      <c r="B11" s="588" t="s">
        <v>3627</v>
      </c>
      <c r="C11" s="593">
        <v>16658.55</v>
      </c>
      <c r="D11" s="588" t="s">
        <v>3667</v>
      </c>
      <c r="E11" s="588">
        <v>57404</v>
      </c>
    </row>
    <row r="12" spans="1:12" ht="16.5" customHeight="1">
      <c r="A12" s="584" t="s">
        <v>3614</v>
      </c>
      <c r="B12" s="588" t="s">
        <v>3627</v>
      </c>
      <c r="C12" s="593">
        <v>13983.87</v>
      </c>
      <c r="D12" s="588" t="s">
        <v>3667</v>
      </c>
      <c r="E12" s="588">
        <v>57385</v>
      </c>
    </row>
    <row r="13" spans="1:12" ht="15">
      <c r="A13" s="584" t="s">
        <v>3614</v>
      </c>
      <c r="B13" s="588" t="s">
        <v>3628</v>
      </c>
      <c r="C13" s="593">
        <v>2196.25</v>
      </c>
      <c r="D13" s="588" t="s">
        <v>3667</v>
      </c>
      <c r="E13" s="588">
        <v>57373</v>
      </c>
    </row>
    <row r="14" spans="1:12" ht="15">
      <c r="A14" s="584" t="s">
        <v>3612</v>
      </c>
      <c r="B14" s="588" t="s">
        <v>3629</v>
      </c>
      <c r="C14" s="593">
        <v>5700</v>
      </c>
      <c r="D14" s="588" t="s">
        <v>3668</v>
      </c>
      <c r="E14" s="588">
        <v>22913</v>
      </c>
    </row>
    <row r="15" spans="1:12" ht="15">
      <c r="A15" s="584" t="s">
        <v>3615</v>
      </c>
      <c r="B15" s="588" t="s">
        <v>3630</v>
      </c>
      <c r="C15" s="593">
        <v>4229.3999999999996</v>
      </c>
      <c r="D15" s="588" t="s">
        <v>3669</v>
      </c>
      <c r="E15" s="588">
        <v>57038</v>
      </c>
    </row>
    <row r="16" spans="1:12" ht="15">
      <c r="A16" s="584" t="s">
        <v>3555</v>
      </c>
      <c r="B16" s="588" t="s">
        <v>3631</v>
      </c>
      <c r="C16" s="593">
        <v>8820</v>
      </c>
      <c r="D16" s="588" t="s">
        <v>3670</v>
      </c>
      <c r="E16" s="588">
        <v>26570</v>
      </c>
    </row>
    <row r="17" spans="1:5" ht="15">
      <c r="A17" s="584" t="s">
        <v>3613</v>
      </c>
      <c r="B17" s="588" t="s">
        <v>3627</v>
      </c>
      <c r="C17" s="593">
        <v>12123.04</v>
      </c>
      <c r="D17" s="588" t="s">
        <v>3671</v>
      </c>
      <c r="E17" s="588">
        <v>57386</v>
      </c>
    </row>
    <row r="18" spans="1:5" ht="15">
      <c r="A18" s="584" t="s">
        <v>3612</v>
      </c>
      <c r="B18" s="588" t="s">
        <v>3632</v>
      </c>
      <c r="C18" s="593">
        <v>25000.09</v>
      </c>
      <c r="D18" s="588" t="s">
        <v>3672</v>
      </c>
      <c r="E18" s="588">
        <v>20187</v>
      </c>
    </row>
    <row r="19" spans="1:5" ht="15">
      <c r="A19" s="584" t="s">
        <v>3612</v>
      </c>
      <c r="B19" s="588" t="s">
        <v>3633</v>
      </c>
      <c r="C19" s="593">
        <v>98500</v>
      </c>
      <c r="D19" s="588" t="s">
        <v>3673</v>
      </c>
      <c r="E19" s="588">
        <v>20186</v>
      </c>
    </row>
    <row r="20" spans="1:5" ht="15">
      <c r="A20" s="584" t="s">
        <v>3612</v>
      </c>
      <c r="B20" s="588" t="s">
        <v>3625</v>
      </c>
      <c r="C20" s="593">
        <v>8910</v>
      </c>
      <c r="D20" s="588" t="s">
        <v>3674</v>
      </c>
      <c r="E20" s="588">
        <v>22285</v>
      </c>
    </row>
    <row r="21" spans="1:5" ht="15">
      <c r="A21" s="584" t="s">
        <v>3612</v>
      </c>
      <c r="B21" s="588" t="s">
        <v>3634</v>
      </c>
      <c r="C21" s="593">
        <v>3990</v>
      </c>
      <c r="D21" s="588" t="s">
        <v>3675</v>
      </c>
      <c r="E21" s="588">
        <v>21739</v>
      </c>
    </row>
    <row r="22" spans="1:5" ht="15">
      <c r="A22" s="584" t="s">
        <v>3616</v>
      </c>
      <c r="B22" s="588" t="s">
        <v>3635</v>
      </c>
      <c r="C22" s="593">
        <v>19688.849999999999</v>
      </c>
      <c r="D22" s="588" t="s">
        <v>3676</v>
      </c>
      <c r="E22" s="588">
        <v>23484</v>
      </c>
    </row>
    <row r="23" spans="1:5" ht="15">
      <c r="A23" s="584" t="s">
        <v>3617</v>
      </c>
      <c r="B23" s="588" t="s">
        <v>3636</v>
      </c>
      <c r="C23" s="593">
        <v>54950</v>
      </c>
      <c r="D23" s="588" t="s">
        <v>3677</v>
      </c>
      <c r="E23" s="588">
        <v>26471</v>
      </c>
    </row>
    <row r="24" spans="1:5" ht="15">
      <c r="A24" s="584" t="s">
        <v>3618</v>
      </c>
      <c r="B24" s="588" t="s">
        <v>3637</v>
      </c>
      <c r="C24" s="593">
        <v>17396</v>
      </c>
      <c r="D24" s="588" t="s">
        <v>3678</v>
      </c>
      <c r="E24" s="588">
        <v>26048</v>
      </c>
    </row>
    <row r="25" spans="1:5" ht="15">
      <c r="A25" s="584" t="s">
        <v>3612</v>
      </c>
      <c r="B25" s="588" t="s">
        <v>3638</v>
      </c>
      <c r="C25" s="593">
        <v>20000</v>
      </c>
      <c r="D25" s="588" t="s">
        <v>3679</v>
      </c>
      <c r="E25" s="588">
        <v>21295</v>
      </c>
    </row>
    <row r="26" spans="1:5" ht="15">
      <c r="A26" s="584" t="s">
        <v>3612</v>
      </c>
      <c r="B26" s="588" t="s">
        <v>3639</v>
      </c>
      <c r="C26" s="593">
        <v>29943.200000000001</v>
      </c>
      <c r="D26" s="588" t="s">
        <v>3680</v>
      </c>
      <c r="E26" s="588">
        <v>25511</v>
      </c>
    </row>
    <row r="27" spans="1:5" ht="15">
      <c r="A27" s="584" t="s">
        <v>3618</v>
      </c>
      <c r="B27" s="588" t="s">
        <v>3640</v>
      </c>
      <c r="C27" s="593">
        <v>141002.01999999999</v>
      </c>
      <c r="D27" s="588" t="s">
        <v>3681</v>
      </c>
      <c r="E27" s="588">
        <v>23324</v>
      </c>
    </row>
    <row r="28" spans="1:5" ht="15">
      <c r="A28" s="584" t="s">
        <v>3612</v>
      </c>
      <c r="B28" s="588" t="s">
        <v>3641</v>
      </c>
      <c r="C28" s="593">
        <v>20377.93</v>
      </c>
      <c r="D28" s="588" t="s">
        <v>3682</v>
      </c>
      <c r="E28" s="588">
        <v>23752</v>
      </c>
    </row>
    <row r="29" spans="1:5" ht="15">
      <c r="A29" s="584" t="s">
        <v>3618</v>
      </c>
      <c r="B29" s="588" t="s">
        <v>3640</v>
      </c>
      <c r="C29" s="593">
        <v>107903.06</v>
      </c>
      <c r="D29" s="588" t="s">
        <v>3681</v>
      </c>
      <c r="E29" s="588">
        <v>24367</v>
      </c>
    </row>
    <row r="30" spans="1:5" ht="15">
      <c r="A30" s="584" t="s">
        <v>3617</v>
      </c>
      <c r="B30" s="588" t="s">
        <v>3642</v>
      </c>
      <c r="C30" s="593">
        <v>3249.98</v>
      </c>
      <c r="D30" s="588" t="s">
        <v>3683</v>
      </c>
      <c r="E30" s="588">
        <v>22279</v>
      </c>
    </row>
    <row r="31" spans="1:5" ht="15">
      <c r="A31" s="584" t="s">
        <v>3617</v>
      </c>
      <c r="B31" s="588" t="s">
        <v>3643</v>
      </c>
      <c r="C31" s="593">
        <v>51300</v>
      </c>
      <c r="D31" s="588" t="s">
        <v>3684</v>
      </c>
      <c r="E31" s="588">
        <v>23946</v>
      </c>
    </row>
    <row r="32" spans="1:5" ht="15">
      <c r="A32" s="584" t="s">
        <v>3612</v>
      </c>
      <c r="B32" s="588" t="s">
        <v>3644</v>
      </c>
      <c r="C32" s="593">
        <v>3000</v>
      </c>
      <c r="D32" s="588" t="s">
        <v>3685</v>
      </c>
      <c r="E32" s="588">
        <v>22297</v>
      </c>
    </row>
    <row r="33" spans="1:5" ht="15">
      <c r="A33" s="584" t="s">
        <v>3612</v>
      </c>
      <c r="B33" s="588" t="s">
        <v>3645</v>
      </c>
      <c r="C33" s="593">
        <v>9646</v>
      </c>
      <c r="D33" s="588" t="s">
        <v>3685</v>
      </c>
      <c r="E33" s="588">
        <v>22309</v>
      </c>
    </row>
    <row r="34" spans="1:5" ht="15">
      <c r="A34" s="584" t="s">
        <v>3612</v>
      </c>
      <c r="B34" s="588" t="s">
        <v>3646</v>
      </c>
      <c r="C34" s="593">
        <v>3000</v>
      </c>
      <c r="D34" s="588" t="s">
        <v>3685</v>
      </c>
      <c r="E34" s="588">
        <v>22299</v>
      </c>
    </row>
    <row r="35" spans="1:5" ht="15">
      <c r="A35" s="584" t="s">
        <v>3612</v>
      </c>
      <c r="B35" s="588" t="s">
        <v>3647</v>
      </c>
      <c r="C35" s="593">
        <v>6225</v>
      </c>
      <c r="D35" s="588" t="s">
        <v>3686</v>
      </c>
      <c r="E35" s="588">
        <v>22925</v>
      </c>
    </row>
    <row r="36" spans="1:5" ht="15">
      <c r="A36" s="584" t="s">
        <v>3612</v>
      </c>
      <c r="B36" s="588" t="s">
        <v>3648</v>
      </c>
      <c r="C36" s="593">
        <v>6470.41</v>
      </c>
      <c r="D36" s="588" t="s">
        <v>3687</v>
      </c>
      <c r="E36" s="588">
        <v>25509</v>
      </c>
    </row>
    <row r="37" spans="1:5" ht="15">
      <c r="A37" s="584" t="s">
        <v>3612</v>
      </c>
      <c r="B37" s="588" t="s">
        <v>3648</v>
      </c>
      <c r="C37" s="593">
        <v>4269.9399999999996</v>
      </c>
      <c r="D37" s="588" t="s">
        <v>3687</v>
      </c>
      <c r="E37" s="588">
        <v>22922</v>
      </c>
    </row>
    <row r="38" spans="1:5" ht="15">
      <c r="A38" s="584" t="s">
        <v>3619</v>
      </c>
      <c r="B38" s="588" t="s">
        <v>3649</v>
      </c>
      <c r="C38" s="593">
        <v>68400</v>
      </c>
      <c r="D38" s="588" t="s">
        <v>3688</v>
      </c>
      <c r="E38" s="588">
        <v>22361</v>
      </c>
    </row>
    <row r="39" spans="1:5" ht="15">
      <c r="A39" s="584" t="s">
        <v>3620</v>
      </c>
      <c r="B39" s="588" t="s">
        <v>3650</v>
      </c>
      <c r="C39" s="593">
        <v>21910.799999999999</v>
      </c>
      <c r="D39" s="588" t="s">
        <v>3689</v>
      </c>
      <c r="E39" s="588">
        <v>23313</v>
      </c>
    </row>
    <row r="40" spans="1:5" ht="15">
      <c r="A40" s="584" t="s">
        <v>3620</v>
      </c>
      <c r="B40" s="588" t="s">
        <v>3650</v>
      </c>
      <c r="C40" s="593">
        <v>6270</v>
      </c>
      <c r="D40" s="588" t="s">
        <v>3689</v>
      </c>
      <c r="E40" s="588">
        <v>23314</v>
      </c>
    </row>
    <row r="41" spans="1:5" ht="15">
      <c r="A41" s="584" t="s">
        <v>3614</v>
      </c>
      <c r="B41" s="588" t="s">
        <v>3651</v>
      </c>
      <c r="C41" s="593">
        <v>5126.3</v>
      </c>
      <c r="D41" s="588" t="s">
        <v>3690</v>
      </c>
      <c r="E41" s="588">
        <v>22951</v>
      </c>
    </row>
    <row r="42" spans="1:5" ht="15">
      <c r="A42" s="584" t="s">
        <v>3617</v>
      </c>
      <c r="B42" s="588" t="s">
        <v>3652</v>
      </c>
      <c r="C42" s="593">
        <v>2539.9699999999998</v>
      </c>
      <c r="D42" s="588" t="s">
        <v>3691</v>
      </c>
      <c r="E42" s="588">
        <v>57026</v>
      </c>
    </row>
    <row r="43" spans="1:5" ht="15">
      <c r="A43" s="584" t="s">
        <v>3620</v>
      </c>
      <c r="B43" s="588" t="s">
        <v>3653</v>
      </c>
      <c r="C43" s="593">
        <v>7121.58</v>
      </c>
      <c r="D43" s="588" t="s">
        <v>3692</v>
      </c>
      <c r="E43" s="588">
        <v>23940</v>
      </c>
    </row>
    <row r="44" spans="1:5" ht="15">
      <c r="A44" s="584" t="s">
        <v>3612</v>
      </c>
      <c r="B44" s="588" t="s">
        <v>3654</v>
      </c>
      <c r="C44" s="593">
        <v>6760</v>
      </c>
      <c r="D44" s="588" t="s">
        <v>3682</v>
      </c>
      <c r="E44" s="588">
        <v>24322</v>
      </c>
    </row>
    <row r="45" spans="1:5" ht="15">
      <c r="A45" s="584" t="s">
        <v>3621</v>
      </c>
      <c r="B45" s="588" t="s">
        <v>3655</v>
      </c>
      <c r="C45" s="593">
        <v>10175.94</v>
      </c>
      <c r="D45" s="588" t="s">
        <v>3693</v>
      </c>
      <c r="E45" s="588">
        <v>23855</v>
      </c>
    </row>
    <row r="46" spans="1:5" ht="15">
      <c r="A46" s="584" t="s">
        <v>3612</v>
      </c>
      <c r="B46" s="588" t="s">
        <v>3656</v>
      </c>
      <c r="C46" s="593">
        <v>68400</v>
      </c>
      <c r="D46" s="588" t="s">
        <v>3694</v>
      </c>
      <c r="E46" s="588">
        <v>25372</v>
      </c>
    </row>
    <row r="47" spans="1:5" ht="15">
      <c r="A47" s="584" t="s">
        <v>3622</v>
      </c>
      <c r="B47" s="588" t="s">
        <v>3657</v>
      </c>
      <c r="C47" s="593">
        <v>10032</v>
      </c>
      <c r="D47" s="588" t="s">
        <v>3695</v>
      </c>
      <c r="E47" s="588">
        <v>23861</v>
      </c>
    </row>
    <row r="48" spans="1:5" ht="15">
      <c r="A48" s="584" t="s">
        <v>3612</v>
      </c>
      <c r="B48" s="588" t="s">
        <v>3658</v>
      </c>
      <c r="C48" s="593">
        <v>2750</v>
      </c>
      <c r="D48" s="588" t="s">
        <v>3686</v>
      </c>
      <c r="E48" s="588">
        <v>20226</v>
      </c>
    </row>
    <row r="49" spans="1:5" ht="15">
      <c r="A49" s="584" t="s">
        <v>3623</v>
      </c>
      <c r="B49" s="588" t="s">
        <v>3659</v>
      </c>
      <c r="C49" s="593">
        <v>5400</v>
      </c>
      <c r="D49" s="588" t="s">
        <v>3696</v>
      </c>
      <c r="E49" s="588">
        <v>25369</v>
      </c>
    </row>
    <row r="50" spans="1:5" ht="15">
      <c r="A50" s="584" t="s">
        <v>3620</v>
      </c>
      <c r="B50" s="588" t="s">
        <v>3653</v>
      </c>
      <c r="C50" s="593">
        <v>3474.72</v>
      </c>
      <c r="D50" s="588" t="s">
        <v>3692</v>
      </c>
      <c r="E50" s="588">
        <v>25512</v>
      </c>
    </row>
    <row r="51" spans="1:5" ht="15">
      <c r="A51" s="584" t="s">
        <v>3612</v>
      </c>
      <c r="B51" s="588" t="s">
        <v>3660</v>
      </c>
      <c r="C51" s="593">
        <v>5500</v>
      </c>
      <c r="D51" s="588" t="s">
        <v>3697</v>
      </c>
      <c r="E51" s="588">
        <v>57372</v>
      </c>
    </row>
    <row r="52" spans="1:5" ht="15">
      <c r="A52" s="584" t="s">
        <v>3617</v>
      </c>
      <c r="B52" s="588" t="s">
        <v>3661</v>
      </c>
      <c r="C52" s="593">
        <v>6300</v>
      </c>
      <c r="D52" s="588" t="s">
        <v>3698</v>
      </c>
      <c r="E52" s="588">
        <v>25980</v>
      </c>
    </row>
    <row r="53" spans="1:5" ht="15">
      <c r="A53" s="584" t="s">
        <v>3612</v>
      </c>
      <c r="B53" s="592" t="s">
        <v>3662</v>
      </c>
      <c r="C53" s="593">
        <v>16780</v>
      </c>
      <c r="D53" s="588" t="s">
        <v>3686</v>
      </c>
      <c r="E53" s="588">
        <v>21867</v>
      </c>
    </row>
    <row r="54" spans="1:5" ht="15">
      <c r="A54" s="584" t="s">
        <v>3612</v>
      </c>
      <c r="B54" s="588" t="s">
        <v>3634</v>
      </c>
      <c r="C54" s="593">
        <v>9690</v>
      </c>
      <c r="D54" s="588" t="s">
        <v>3699</v>
      </c>
      <c r="E54" s="588">
        <v>56982</v>
      </c>
    </row>
    <row r="55" spans="1:5" ht="15">
      <c r="A55" s="585" t="s">
        <v>3612</v>
      </c>
      <c r="B55" s="589" t="s">
        <v>3625</v>
      </c>
      <c r="C55" s="594">
        <v>79236</v>
      </c>
      <c r="D55" s="589" t="s">
        <v>3700</v>
      </c>
      <c r="E55" s="589">
        <v>20207</v>
      </c>
    </row>
    <row r="56" spans="1:5" ht="15">
      <c r="A56" s="584" t="s">
        <v>3612</v>
      </c>
      <c r="B56" s="1373" t="s">
        <v>3972</v>
      </c>
      <c r="C56" s="1374">
        <v>192202</v>
      </c>
      <c r="D56" s="588" t="s">
        <v>3685</v>
      </c>
      <c r="E56" s="1293">
        <v>20298</v>
      </c>
    </row>
    <row r="57" spans="1:5" ht="15">
      <c r="A57" s="584" t="s">
        <v>3612</v>
      </c>
      <c r="B57" s="1373" t="s">
        <v>3973</v>
      </c>
      <c r="C57" s="1374">
        <v>140000</v>
      </c>
      <c r="D57" s="588" t="s">
        <v>3672</v>
      </c>
      <c r="E57" s="1293">
        <v>20641</v>
      </c>
    </row>
    <row r="58" spans="1:5" ht="15">
      <c r="A58" s="1294" t="s">
        <v>3612</v>
      </c>
      <c r="B58" s="1373" t="s">
        <v>3974</v>
      </c>
      <c r="C58" s="1374">
        <v>452880</v>
      </c>
      <c r="D58" s="1293" t="s">
        <v>3977</v>
      </c>
      <c r="E58" s="588"/>
    </row>
    <row r="59" spans="1:5" ht="15">
      <c r="A59" s="1294" t="s">
        <v>3613</v>
      </c>
      <c r="B59" s="1373" t="s">
        <v>3975</v>
      </c>
      <c r="C59" s="1374">
        <v>602055.07999999996</v>
      </c>
      <c r="D59" s="1293" t="s">
        <v>3977</v>
      </c>
      <c r="E59" s="588"/>
    </row>
    <row r="60" spans="1:5" ht="15">
      <c r="A60" s="1294" t="s">
        <v>3619</v>
      </c>
      <c r="B60" s="1373" t="s">
        <v>3976</v>
      </c>
      <c r="C60" s="1374">
        <v>1647091.83</v>
      </c>
      <c r="D60" s="1293" t="s">
        <v>3977</v>
      </c>
      <c r="E60" s="588"/>
    </row>
    <row r="61" spans="1:5" ht="15">
      <c r="A61" s="1294" t="s">
        <v>3613</v>
      </c>
      <c r="B61" s="1373" t="s">
        <v>3978</v>
      </c>
      <c r="C61" s="1374">
        <v>2006016.97</v>
      </c>
      <c r="D61" s="1293" t="s">
        <v>3977</v>
      </c>
      <c r="E61" s="588"/>
    </row>
    <row r="62" spans="1:5" ht="15">
      <c r="A62" s="1294" t="s">
        <v>3615</v>
      </c>
      <c r="B62" s="1373" t="s">
        <v>3979</v>
      </c>
      <c r="C62" s="1374">
        <v>144248.54</v>
      </c>
      <c r="D62" s="1293" t="s">
        <v>3980</v>
      </c>
      <c r="E62" s="588"/>
    </row>
    <row r="63" spans="1:5" ht="15">
      <c r="A63" s="1294" t="s">
        <v>3981</v>
      </c>
      <c r="B63" s="1373" t="s">
        <v>3635</v>
      </c>
      <c r="C63" s="1374">
        <v>34731.279999999999</v>
      </c>
      <c r="D63" s="588" t="s">
        <v>3676</v>
      </c>
      <c r="E63" s="588"/>
    </row>
    <row r="64" spans="1:5" ht="15">
      <c r="A64" s="1294" t="s">
        <v>3981</v>
      </c>
      <c r="B64" s="1373" t="s">
        <v>3982</v>
      </c>
      <c r="C64" s="1374">
        <v>29636.58</v>
      </c>
      <c r="D64" s="1293" t="s">
        <v>3980</v>
      </c>
      <c r="E64" s="588"/>
    </row>
    <row r="65" spans="1:5" ht="15.75" thickBot="1">
      <c r="A65" s="1291"/>
      <c r="B65" s="609"/>
      <c r="C65" s="1292"/>
      <c r="D65" s="609"/>
      <c r="E65" s="609"/>
    </row>
    <row r="66" spans="1:5" ht="16.5" thickTop="1" thickBot="1">
      <c r="A66" s="235"/>
      <c r="B66" s="235"/>
      <c r="C66" s="597">
        <f>SUM(C7:C64)</f>
        <v>6332102.1800000006</v>
      </c>
      <c r="D66" s="235"/>
      <c r="E66" s="237"/>
    </row>
    <row r="67" spans="1:5" ht="15.75" thickTop="1">
      <c r="A67" s="235"/>
      <c r="B67" s="235"/>
      <c r="C67" s="236"/>
      <c r="D67" s="235"/>
      <c r="E67" s="237"/>
    </row>
    <row r="68" spans="1:5" ht="15">
      <c r="A68" s="235"/>
      <c r="B68" s="235"/>
      <c r="C68" s="236"/>
      <c r="D68" s="235"/>
      <c r="E68" s="237"/>
    </row>
    <row r="69" spans="1:5" ht="15">
      <c r="A69" s="235"/>
      <c r="B69" s="235"/>
      <c r="C69" s="236"/>
      <c r="D69" s="235"/>
      <c r="E69" s="237"/>
    </row>
    <row r="70" spans="1:5" ht="15">
      <c r="A70" s="235"/>
      <c r="B70" s="235"/>
      <c r="C70" s="236"/>
      <c r="D70" s="235"/>
      <c r="E70" s="237"/>
    </row>
    <row r="71" spans="1:5" ht="15">
      <c r="A71" s="235"/>
      <c r="B71" s="235"/>
      <c r="C71" s="236"/>
      <c r="D71" s="235"/>
      <c r="E71" s="237"/>
    </row>
    <row r="72" spans="1:5" ht="15">
      <c r="A72" s="235"/>
      <c r="B72" s="235"/>
      <c r="C72" s="236"/>
      <c r="D72" s="235"/>
      <c r="E72" s="237"/>
    </row>
    <row r="73" spans="1:5" ht="15">
      <c r="A73" s="235"/>
      <c r="B73" s="235"/>
      <c r="C73" s="236"/>
      <c r="D73" s="235"/>
      <c r="E73" s="237"/>
    </row>
    <row r="74" spans="1:5" ht="15">
      <c r="A74" s="235"/>
      <c r="B74" s="235"/>
      <c r="C74" s="236"/>
      <c r="D74" s="235"/>
      <c r="E74" s="237"/>
    </row>
    <row r="75" spans="1:5" ht="15">
      <c r="A75" s="235"/>
      <c r="B75" s="235"/>
      <c r="C75" s="236"/>
      <c r="D75" s="235"/>
      <c r="E75" s="237"/>
    </row>
    <row r="76" spans="1:5" ht="15">
      <c r="A76" s="235"/>
      <c r="B76" s="235"/>
      <c r="C76" s="236"/>
      <c r="D76" s="235"/>
      <c r="E76" s="237"/>
    </row>
    <row r="77" spans="1:5" ht="15">
      <c r="A77" s="235"/>
      <c r="B77" s="235"/>
      <c r="C77" s="236"/>
      <c r="D77" s="235"/>
      <c r="E77" s="237"/>
    </row>
    <row r="78" spans="1:5" ht="15">
      <c r="A78" s="235"/>
      <c r="B78" s="235"/>
      <c r="C78" s="236"/>
      <c r="D78" s="235"/>
      <c r="E78" s="237"/>
    </row>
    <row r="79" spans="1:5" ht="15">
      <c r="A79" s="235"/>
      <c r="B79" s="235"/>
      <c r="C79" s="236"/>
      <c r="D79" s="235"/>
      <c r="E79" s="237"/>
    </row>
    <row r="80" spans="1:5" ht="15">
      <c r="A80" s="235"/>
      <c r="B80" s="235"/>
      <c r="C80" s="236"/>
      <c r="D80" s="235"/>
      <c r="E80" s="237"/>
    </row>
    <row r="81" spans="1:5" ht="15">
      <c r="A81" s="235"/>
      <c r="B81" s="235"/>
      <c r="C81" s="236"/>
      <c r="D81" s="235"/>
      <c r="E81" s="237"/>
    </row>
    <row r="82" spans="1:5" ht="15">
      <c r="A82" s="235"/>
      <c r="B82" s="235"/>
      <c r="C82" s="236"/>
      <c r="D82" s="235"/>
      <c r="E82" s="237"/>
    </row>
    <row r="83" spans="1:5" ht="15">
      <c r="A83" s="235"/>
      <c r="B83" s="235"/>
      <c r="C83" s="236"/>
      <c r="D83" s="235"/>
      <c r="E83" s="237"/>
    </row>
    <row r="84" spans="1:5" ht="15">
      <c r="A84" s="235"/>
      <c r="B84" s="235"/>
      <c r="C84" s="236"/>
      <c r="D84" s="235"/>
      <c r="E84" s="237"/>
    </row>
    <row r="85" spans="1:5" ht="15">
      <c r="A85" s="235"/>
      <c r="B85" s="235"/>
      <c r="C85" s="236"/>
      <c r="D85" s="235"/>
      <c r="E85" s="237"/>
    </row>
    <row r="86" spans="1:5" ht="15">
      <c r="A86" s="235"/>
      <c r="B86" s="235"/>
      <c r="C86" s="236"/>
      <c r="D86" s="235"/>
      <c r="E86" s="237"/>
    </row>
    <row r="87" spans="1:5" ht="15">
      <c r="A87" s="235"/>
      <c r="B87" s="235"/>
      <c r="C87" s="236"/>
      <c r="D87" s="235"/>
      <c r="E87" s="237"/>
    </row>
    <row r="88" spans="1:5" ht="15">
      <c r="A88" s="235"/>
      <c r="B88" s="235"/>
      <c r="C88" s="236"/>
      <c r="D88" s="235"/>
      <c r="E88" s="237"/>
    </row>
    <row r="89" spans="1:5" ht="15">
      <c r="A89" s="235"/>
      <c r="B89" s="235"/>
      <c r="C89" s="236"/>
      <c r="D89" s="235"/>
      <c r="E89" s="237"/>
    </row>
    <row r="90" spans="1:5" ht="15">
      <c r="A90" s="235"/>
      <c r="B90" s="235"/>
      <c r="C90" s="236"/>
      <c r="D90" s="235"/>
      <c r="E90" s="237"/>
    </row>
    <row r="91" spans="1:5" ht="15">
      <c r="A91" s="235"/>
      <c r="B91" s="235"/>
      <c r="C91" s="236"/>
      <c r="D91" s="235"/>
      <c r="E91" s="237"/>
    </row>
    <row r="92" spans="1:5" ht="15">
      <c r="A92" s="235"/>
      <c r="B92" s="235"/>
      <c r="C92" s="236"/>
      <c r="D92" s="235"/>
      <c r="E92" s="237"/>
    </row>
    <row r="93" spans="1:5" ht="15">
      <c r="A93" s="235"/>
      <c r="B93" s="235"/>
      <c r="C93" s="236"/>
      <c r="D93" s="235"/>
      <c r="E93" s="237"/>
    </row>
    <row r="94" spans="1:5" ht="15">
      <c r="A94" s="235"/>
      <c r="B94" s="235"/>
      <c r="C94" s="236"/>
      <c r="D94" s="235"/>
      <c r="E94" s="237"/>
    </row>
    <row r="95" spans="1:5" ht="15">
      <c r="A95" s="235"/>
      <c r="B95" s="235"/>
      <c r="C95" s="236"/>
      <c r="D95" s="235"/>
      <c r="E95" s="237"/>
    </row>
    <row r="96" spans="1:5" ht="15">
      <c r="A96" s="235"/>
      <c r="B96" s="235"/>
      <c r="C96" s="236"/>
      <c r="D96" s="235"/>
      <c r="E96" s="237"/>
    </row>
    <row r="97" spans="1:5" ht="15">
      <c r="A97" s="235"/>
      <c r="B97" s="235"/>
      <c r="C97" s="236"/>
      <c r="D97" s="235"/>
      <c r="E97" s="237"/>
    </row>
    <row r="98" spans="1:5" ht="15">
      <c r="A98" s="235"/>
      <c r="B98" s="235"/>
      <c r="C98" s="236"/>
      <c r="D98" s="235"/>
      <c r="E98" s="237"/>
    </row>
    <row r="99" spans="1:5" ht="15">
      <c r="A99" s="235"/>
      <c r="B99" s="235"/>
      <c r="C99" s="236"/>
      <c r="D99" s="235"/>
      <c r="E99" s="237"/>
    </row>
    <row r="100" spans="1:5" ht="15">
      <c r="A100" s="235"/>
      <c r="B100" s="235"/>
      <c r="C100" s="236"/>
      <c r="D100" s="235"/>
      <c r="E100" s="237"/>
    </row>
    <row r="101" spans="1:5" ht="15">
      <c r="A101" s="235"/>
      <c r="B101" s="235"/>
      <c r="C101" s="236"/>
      <c r="D101" s="235"/>
      <c r="E101" s="237"/>
    </row>
    <row r="102" spans="1:5" ht="15">
      <c r="A102" s="235"/>
      <c r="B102" s="235"/>
      <c r="C102" s="236"/>
      <c r="D102" s="235"/>
      <c r="E102" s="237"/>
    </row>
    <row r="103" spans="1:5" ht="15">
      <c r="A103" s="235"/>
      <c r="B103" s="235"/>
      <c r="C103" s="235"/>
      <c r="D103" s="235"/>
      <c r="E103" s="237"/>
    </row>
    <row r="104" spans="1:5" ht="15">
      <c r="A104" s="235"/>
      <c r="B104" s="235"/>
      <c r="C104" s="235"/>
      <c r="D104" s="235"/>
      <c r="E104" s="237"/>
    </row>
    <row r="105" spans="1:5" ht="15">
      <c r="A105" s="235"/>
      <c r="B105" s="235"/>
      <c r="C105" s="235"/>
      <c r="D105" s="235"/>
      <c r="E105" s="237"/>
    </row>
    <row r="106" spans="1:5" ht="15">
      <c r="A106" s="235"/>
      <c r="B106" s="235"/>
      <c r="C106" s="235"/>
      <c r="D106" s="235"/>
      <c r="E106" s="237"/>
    </row>
    <row r="107" spans="1:5" ht="15">
      <c r="A107" s="235"/>
      <c r="B107" s="235"/>
      <c r="C107" s="235"/>
      <c r="D107" s="235"/>
      <c r="E107" s="237"/>
    </row>
    <row r="108" spans="1:5" ht="15">
      <c r="A108" s="235"/>
      <c r="B108" s="235"/>
      <c r="C108" s="235"/>
      <c r="D108" s="235"/>
      <c r="E108" s="237"/>
    </row>
    <row r="109" spans="1:5" ht="15">
      <c r="A109" s="235"/>
      <c r="B109" s="235"/>
      <c r="C109" s="235"/>
      <c r="D109" s="235"/>
      <c r="E109" s="237"/>
    </row>
    <row r="110" spans="1:5" ht="15">
      <c r="A110" s="235"/>
      <c r="B110" s="235"/>
      <c r="C110" s="235"/>
      <c r="D110" s="235"/>
      <c r="E110" s="237"/>
    </row>
  </sheetData>
  <mergeCells count="5">
    <mergeCell ref="A5:D5"/>
    <mergeCell ref="A1:E1"/>
    <mergeCell ref="A2:E2"/>
    <mergeCell ref="A3:E3"/>
    <mergeCell ref="A4:E4"/>
  </mergeCells>
  <phoneticPr fontId="0" type="noConversion"/>
  <printOptions horizontalCentered="1"/>
  <pageMargins left="0.6692913385826772" right="0.39370078740157483" top="0.98425196850393704" bottom="0.98425196850393704" header="0.51181102362204722" footer="0.51181102362204722"/>
  <pageSetup scale="59" orientation="portrait" r:id="rId1"/>
  <headerFooter>
    <oddHeader>&amp;C FINANCIAL STATEMENTS: MUSINA LOCAL MUNICIPALITY</oddHeader>
    <oddFooter>&amp;RPage &amp;P</oddFooter>
  </headerFooter>
</worksheet>
</file>

<file path=xl/worksheets/sheet35.xml><?xml version="1.0" encoding="utf-8"?>
<worksheet xmlns="http://schemas.openxmlformats.org/spreadsheetml/2006/main" xmlns:r="http://schemas.openxmlformats.org/officeDocument/2006/relationships">
  <sheetPr>
    <pageSetUpPr fitToPage="1"/>
  </sheetPr>
  <dimension ref="A1:AR222"/>
  <sheetViews>
    <sheetView view="pageBreakPreview" topLeftCell="D184" zoomScale="86" zoomScaleNormal="91" zoomScaleSheetLayoutView="86" workbookViewId="0">
      <selection activeCell="C12" sqref="C12"/>
    </sheetView>
  </sheetViews>
  <sheetFormatPr defaultRowHeight="15.75"/>
  <cols>
    <col min="1" max="1" width="1.28515625" style="132" customWidth="1"/>
    <col min="2" max="2" width="5.5703125" style="132" customWidth="1"/>
    <col min="3" max="3" width="8.7109375" style="132" customWidth="1"/>
    <col min="4" max="4" width="9.28515625" style="132" bestFit="1" customWidth="1"/>
    <col min="5" max="5" width="46.85546875" style="132" customWidth="1"/>
    <col min="6" max="6" width="20.28515625" style="542" hidden="1" customWidth="1"/>
    <col min="7" max="7" width="18.85546875" style="543" hidden="1" customWidth="1"/>
    <col min="8" max="8" width="19.5703125" style="543" hidden="1" customWidth="1"/>
    <col min="9" max="9" width="19.5703125" style="542" hidden="1" customWidth="1"/>
    <col min="10" max="10" width="20.42578125" style="542" hidden="1" customWidth="1"/>
    <col min="11" max="11" width="21.42578125" style="542" hidden="1" customWidth="1"/>
    <col min="12" max="12" width="26.5703125" style="542" customWidth="1"/>
    <col min="13" max="13" width="20.42578125" style="132" bestFit="1" customWidth="1"/>
    <col min="14" max="14" width="21.85546875" style="132" customWidth="1"/>
    <col min="15" max="15" width="26.42578125" style="542" customWidth="1"/>
    <col min="16" max="16" width="10.42578125" style="542" bestFit="1" customWidth="1"/>
    <col min="17" max="17" width="19.140625" style="542" bestFit="1" customWidth="1"/>
    <col min="18" max="18" width="18.28515625" style="542" bestFit="1" customWidth="1"/>
    <col min="19" max="19" width="19.5703125" style="542" bestFit="1" customWidth="1"/>
    <col min="20" max="20" width="17.5703125" style="542" bestFit="1" customWidth="1"/>
    <col min="21" max="44" width="9.140625" style="542" customWidth="1"/>
    <col min="45" max="16384" width="9.140625" style="132"/>
  </cols>
  <sheetData>
    <row r="1" spans="1:44" s="533" customFormat="1" ht="15">
      <c r="B1" s="533" t="s">
        <v>2652</v>
      </c>
      <c r="F1" s="534"/>
      <c r="G1" s="534"/>
      <c r="H1" s="534"/>
      <c r="I1" s="534"/>
      <c r="J1" s="534"/>
      <c r="K1" s="534"/>
      <c r="L1" s="534"/>
      <c r="O1" s="534"/>
      <c r="P1" s="535"/>
      <c r="Q1" s="535"/>
      <c r="R1" s="535"/>
      <c r="S1" s="535"/>
      <c r="T1" s="535"/>
      <c r="U1" s="535"/>
      <c r="V1" s="535"/>
      <c r="W1" s="535"/>
      <c r="X1" s="534"/>
      <c r="Y1" s="534"/>
      <c r="Z1" s="534"/>
      <c r="AA1" s="534"/>
      <c r="AB1" s="534"/>
      <c r="AC1" s="534"/>
      <c r="AD1" s="534"/>
      <c r="AE1" s="534"/>
      <c r="AF1" s="534"/>
      <c r="AG1" s="534"/>
      <c r="AH1" s="534"/>
      <c r="AI1" s="534"/>
      <c r="AJ1" s="534"/>
      <c r="AK1" s="534"/>
      <c r="AL1" s="534"/>
      <c r="AM1" s="534"/>
      <c r="AN1" s="534"/>
      <c r="AO1" s="534"/>
      <c r="AP1" s="534"/>
      <c r="AQ1" s="534"/>
      <c r="AR1" s="534"/>
    </row>
    <row r="3" spans="1:44" s="536" customFormat="1" ht="31.5" customHeight="1">
      <c r="B3" s="1958" t="s">
        <v>829</v>
      </c>
      <c r="C3" s="1958"/>
      <c r="D3" s="1958"/>
      <c r="E3" s="536" t="s">
        <v>830</v>
      </c>
      <c r="F3" s="537" t="s">
        <v>831</v>
      </c>
      <c r="G3" s="537" t="s">
        <v>2654</v>
      </c>
      <c r="H3" s="537" t="s">
        <v>2655</v>
      </c>
      <c r="I3" s="537" t="s">
        <v>2658</v>
      </c>
      <c r="J3" s="537" t="s">
        <v>2656</v>
      </c>
      <c r="K3" s="537" t="s">
        <v>2657</v>
      </c>
      <c r="L3" s="537" t="s">
        <v>2653</v>
      </c>
      <c r="M3" s="537" t="s">
        <v>3499</v>
      </c>
      <c r="N3" s="537" t="s">
        <v>3500</v>
      </c>
      <c r="O3" s="537" t="s">
        <v>3863</v>
      </c>
      <c r="P3" s="539"/>
      <c r="Q3" s="539"/>
      <c r="R3" s="539"/>
      <c r="S3" s="539"/>
      <c r="T3" s="539"/>
      <c r="U3" s="539"/>
      <c r="V3" s="539"/>
      <c r="W3" s="539"/>
      <c r="X3" s="538"/>
      <c r="Y3" s="538"/>
      <c r="Z3" s="538"/>
      <c r="AA3" s="538"/>
      <c r="AB3" s="538"/>
      <c r="AC3" s="538"/>
      <c r="AD3" s="538"/>
      <c r="AE3" s="538"/>
      <c r="AF3" s="538"/>
      <c r="AG3" s="538"/>
      <c r="AH3" s="538"/>
      <c r="AI3" s="538"/>
      <c r="AJ3" s="538"/>
      <c r="AK3" s="538"/>
      <c r="AL3" s="538"/>
      <c r="AM3" s="538"/>
      <c r="AN3" s="538"/>
      <c r="AO3" s="538"/>
      <c r="AP3" s="538"/>
      <c r="AQ3" s="538"/>
      <c r="AR3" s="538"/>
    </row>
    <row r="4" spans="1:44" s="540" customFormat="1">
      <c r="A4" s="536" t="s">
        <v>45</v>
      </c>
      <c r="B4" s="540" t="s">
        <v>45</v>
      </c>
      <c r="C4" s="536" t="s">
        <v>45</v>
      </c>
      <c r="D4" s="536" t="s">
        <v>45</v>
      </c>
      <c r="E4" s="536"/>
      <c r="F4" s="538" t="s">
        <v>45</v>
      </c>
      <c r="G4" s="541"/>
      <c r="H4" s="541"/>
      <c r="I4" s="538" t="s">
        <v>45</v>
      </c>
      <c r="J4" s="539"/>
      <c r="K4" s="539"/>
      <c r="L4" s="538" t="s">
        <v>45</v>
      </c>
      <c r="M4" s="539"/>
      <c r="N4" s="539"/>
      <c r="O4" s="542"/>
      <c r="P4" s="539"/>
      <c r="Q4" s="539"/>
      <c r="R4" s="539"/>
      <c r="S4" s="539"/>
      <c r="T4" s="539"/>
      <c r="U4" s="539"/>
      <c r="V4" s="539"/>
      <c r="W4" s="539"/>
      <c r="X4" s="539"/>
      <c r="Y4" s="539"/>
      <c r="Z4" s="539"/>
      <c r="AA4" s="539"/>
      <c r="AB4" s="539"/>
      <c r="AC4" s="539"/>
      <c r="AD4" s="539"/>
      <c r="AE4" s="539"/>
      <c r="AF4" s="539"/>
      <c r="AG4" s="539"/>
      <c r="AH4" s="539"/>
      <c r="AI4" s="539"/>
      <c r="AJ4" s="539"/>
      <c r="AK4" s="539"/>
      <c r="AL4" s="539"/>
      <c r="AM4" s="539"/>
      <c r="AN4" s="539"/>
      <c r="AO4" s="539"/>
      <c r="AP4" s="539"/>
      <c r="AQ4" s="539"/>
      <c r="AR4" s="539"/>
    </row>
    <row r="5" spans="1:44" ht="17.25" customHeight="1">
      <c r="A5" s="132">
        <v>5</v>
      </c>
      <c r="B5" s="127" t="s">
        <v>859</v>
      </c>
      <c r="C5" s="127" t="s">
        <v>859</v>
      </c>
      <c r="D5" s="127" t="s">
        <v>860</v>
      </c>
      <c r="E5" s="128" t="s">
        <v>2436</v>
      </c>
      <c r="F5" s="129">
        <f>-5467785.09+5430147.82</f>
        <v>-37637.269999999553</v>
      </c>
      <c r="G5" s="131">
        <v>37637.269999999997</v>
      </c>
      <c r="H5" s="131">
        <v>0</v>
      </c>
      <c r="I5" s="129">
        <f>SUM(F5:H5)</f>
        <v>4.4383341446518898E-10</v>
      </c>
      <c r="J5" s="129">
        <v>0</v>
      </c>
      <c r="K5" s="129"/>
      <c r="L5" s="129">
        <f>+I5+J5+K5</f>
        <v>4.4383341446518898E-10</v>
      </c>
      <c r="M5" s="129"/>
      <c r="N5" s="129"/>
      <c r="O5" s="129">
        <f t="shared" ref="O5:O23" si="0">L5+M5+N5</f>
        <v>4.4383341446518898E-10</v>
      </c>
    </row>
    <row r="6" spans="1:44" ht="17.25" customHeight="1" thickBot="1">
      <c r="M6" s="542"/>
      <c r="N6" s="542"/>
      <c r="O6" s="542">
        <f t="shared" si="0"/>
        <v>0</v>
      </c>
    </row>
    <row r="7" spans="1:44" ht="17.25" customHeight="1" thickTop="1" thickBot="1">
      <c r="B7" s="137" t="s">
        <v>2659</v>
      </c>
      <c r="C7" s="138"/>
      <c r="D7" s="136"/>
      <c r="E7" s="135" t="s">
        <v>862</v>
      </c>
      <c r="F7" s="134">
        <f t="shared" ref="F7:L7" si="1">SUM(F5:F5)</f>
        <v>-37637.269999999553</v>
      </c>
      <c r="G7" s="134">
        <f t="shared" si="1"/>
        <v>37637.269999999997</v>
      </c>
      <c r="H7" s="134">
        <f t="shared" si="1"/>
        <v>0</v>
      </c>
      <c r="I7" s="134">
        <f t="shared" si="1"/>
        <v>4.4383341446518898E-10</v>
      </c>
      <c r="J7" s="134">
        <f t="shared" si="1"/>
        <v>0</v>
      </c>
      <c r="K7" s="134">
        <f t="shared" si="1"/>
        <v>0</v>
      </c>
      <c r="L7" s="134">
        <f t="shared" si="1"/>
        <v>4.4383341446518898E-10</v>
      </c>
      <c r="M7" s="134">
        <f>SUM(M5:M5)</f>
        <v>0</v>
      </c>
      <c r="N7" s="134">
        <f>SUM(N5:N5)</f>
        <v>0</v>
      </c>
      <c r="O7" s="134">
        <f>SUM(O5:O5)</f>
        <v>4.4383341446518898E-10</v>
      </c>
    </row>
    <row r="8" spans="1:44" ht="17.25" customHeight="1" thickTop="1">
      <c r="F8" s="156"/>
      <c r="G8" s="544"/>
      <c r="H8" s="544"/>
      <c r="I8" s="156"/>
      <c r="J8" s="156"/>
      <c r="L8" s="542" t="s">
        <v>45</v>
      </c>
      <c r="M8" s="542"/>
      <c r="N8" s="542"/>
    </row>
    <row r="9" spans="1:44" ht="17.25" customHeight="1">
      <c r="A9" s="132">
        <v>5</v>
      </c>
      <c r="B9" s="127" t="s">
        <v>863</v>
      </c>
      <c r="C9" s="127" t="s">
        <v>863</v>
      </c>
      <c r="D9" s="127" t="s">
        <v>865</v>
      </c>
      <c r="E9" s="128" t="s">
        <v>866</v>
      </c>
      <c r="F9" s="129">
        <f>-2798963.42+1562266.36</f>
        <v>-1236697.0599999998</v>
      </c>
      <c r="G9" s="129">
        <v>1236697.06</v>
      </c>
      <c r="H9" s="129">
        <v>0</v>
      </c>
      <c r="I9" s="129">
        <f t="shared" ref="I9:I18" si="2">SUM(F9:H9)</f>
        <v>2.3283064365386963E-10</v>
      </c>
      <c r="J9" s="129">
        <v>0</v>
      </c>
      <c r="K9" s="129">
        <v>0</v>
      </c>
      <c r="L9" s="129">
        <f t="shared" ref="L9:L20" si="3">+I9+J9+K9</f>
        <v>2.3283064365386963E-10</v>
      </c>
      <c r="M9" s="129"/>
      <c r="N9" s="129"/>
      <c r="O9" s="129">
        <f t="shared" si="0"/>
        <v>2.3283064365386963E-10</v>
      </c>
    </row>
    <row r="10" spans="1:44" ht="17.25" customHeight="1">
      <c r="A10" s="132">
        <v>5</v>
      </c>
      <c r="B10" s="127" t="s">
        <v>863</v>
      </c>
      <c r="C10" s="127" t="s">
        <v>863</v>
      </c>
      <c r="D10" s="127" t="s">
        <v>867</v>
      </c>
      <c r="E10" s="128" t="s">
        <v>868</v>
      </c>
      <c r="F10" s="129">
        <f>-7477.81+7426.34</f>
        <v>-51.470000000000255</v>
      </c>
      <c r="G10" s="129">
        <v>51.47</v>
      </c>
      <c r="H10" s="129">
        <v>0</v>
      </c>
      <c r="I10" s="129">
        <f t="shared" si="2"/>
        <v>-2.5579538487363607E-13</v>
      </c>
      <c r="J10" s="129">
        <v>0</v>
      </c>
      <c r="K10" s="129">
        <v>0</v>
      </c>
      <c r="L10" s="129">
        <f t="shared" si="3"/>
        <v>-2.5579538487363607E-13</v>
      </c>
      <c r="M10" s="129"/>
      <c r="N10" s="129"/>
      <c r="O10" s="129">
        <f t="shared" si="0"/>
        <v>-2.5579538487363607E-13</v>
      </c>
    </row>
    <row r="11" spans="1:44" ht="17.25" customHeight="1">
      <c r="A11" s="132">
        <v>5</v>
      </c>
      <c r="B11" s="127" t="s">
        <v>863</v>
      </c>
      <c r="C11" s="127" t="s">
        <v>863</v>
      </c>
      <c r="D11" s="127" t="s">
        <v>869</v>
      </c>
      <c r="E11" s="128" t="s">
        <v>870</v>
      </c>
      <c r="F11" s="129">
        <f>-56727.04+67936.56</f>
        <v>11209.519999999997</v>
      </c>
      <c r="G11" s="129">
        <v>0</v>
      </c>
      <c r="H11" s="129">
        <v>-11209.52</v>
      </c>
      <c r="I11" s="129">
        <f t="shared" si="2"/>
        <v>0</v>
      </c>
      <c r="J11" s="129">
        <v>0</v>
      </c>
      <c r="K11" s="129">
        <v>0</v>
      </c>
      <c r="L11" s="129">
        <f t="shared" si="3"/>
        <v>0</v>
      </c>
      <c r="M11" s="129"/>
      <c r="N11" s="129"/>
      <c r="O11" s="129">
        <f t="shared" si="0"/>
        <v>0</v>
      </c>
    </row>
    <row r="12" spans="1:44" ht="17.25" customHeight="1">
      <c r="B12" s="130" t="s">
        <v>863</v>
      </c>
      <c r="C12" s="127">
        <v>520</v>
      </c>
      <c r="D12" s="127">
        <v>5411</v>
      </c>
      <c r="E12" s="128" t="s">
        <v>657</v>
      </c>
      <c r="F12" s="129">
        <f>-7028083.63-1482933.76</f>
        <v>-8511017.3900000006</v>
      </c>
      <c r="G12" s="129">
        <v>0</v>
      </c>
      <c r="H12" s="129">
        <v>-1490468.82</v>
      </c>
      <c r="I12" s="129">
        <f t="shared" si="2"/>
        <v>-10001486.210000001</v>
      </c>
      <c r="J12" s="129">
        <v>0</v>
      </c>
      <c r="K12" s="129">
        <v>-1834756</v>
      </c>
      <c r="L12" s="129">
        <f t="shared" si="3"/>
        <v>-11836242.210000001</v>
      </c>
      <c r="M12" s="129">
        <v>0</v>
      </c>
      <c r="N12" s="129">
        <v>-1198118.4099999999</v>
      </c>
      <c r="O12" s="649">
        <f t="shared" si="0"/>
        <v>-13034360.620000001</v>
      </c>
    </row>
    <row r="13" spans="1:44" ht="17.25" customHeight="1">
      <c r="B13" s="127">
        <v>520</v>
      </c>
      <c r="C13" s="127">
        <v>520</v>
      </c>
      <c r="D13" s="127">
        <v>5412</v>
      </c>
      <c r="E13" s="128" t="s">
        <v>658</v>
      </c>
      <c r="F13" s="129">
        <f>-5200229.03-873434</f>
        <v>-6073663.0300000003</v>
      </c>
      <c r="G13" s="129">
        <v>0</v>
      </c>
      <c r="H13" s="129">
        <v>-881682.57</v>
      </c>
      <c r="I13" s="129">
        <f t="shared" si="2"/>
        <v>-6955345.6000000006</v>
      </c>
      <c r="J13" s="129">
        <v>1824371</v>
      </c>
      <c r="K13" s="129">
        <v>0</v>
      </c>
      <c r="L13" s="129">
        <f t="shared" si="3"/>
        <v>-5130974.6000000006</v>
      </c>
      <c r="M13" s="129">
        <v>0</v>
      </c>
      <c r="N13" s="129">
        <v>-274960.69</v>
      </c>
      <c r="O13" s="649">
        <f t="shared" si="0"/>
        <v>-5405935.290000001</v>
      </c>
    </row>
    <row r="14" spans="1:44" ht="17.25" customHeight="1">
      <c r="B14" s="127">
        <v>520</v>
      </c>
      <c r="C14" s="127">
        <v>520</v>
      </c>
      <c r="D14" s="127">
        <v>5413</v>
      </c>
      <c r="E14" s="128" t="s">
        <v>659</v>
      </c>
      <c r="F14" s="129">
        <f>-3505009.29-939141.32</f>
        <v>-4444150.6100000003</v>
      </c>
      <c r="G14" s="129">
        <v>0</v>
      </c>
      <c r="H14" s="129">
        <v>-1120762.79</v>
      </c>
      <c r="I14" s="129">
        <f t="shared" si="2"/>
        <v>-5564913.4000000004</v>
      </c>
      <c r="J14" s="129">
        <v>0</v>
      </c>
      <c r="K14" s="129">
        <v>-3440776.78</v>
      </c>
      <c r="L14" s="129">
        <f t="shared" si="3"/>
        <v>-9005690.1799999997</v>
      </c>
      <c r="M14" s="129">
        <v>0</v>
      </c>
      <c r="N14" s="129">
        <v>-1718122.1</v>
      </c>
      <c r="O14" s="649">
        <f t="shared" si="0"/>
        <v>-10723812.279999999</v>
      </c>
    </row>
    <row r="15" spans="1:44" ht="17.25" customHeight="1">
      <c r="B15" s="127">
        <v>520</v>
      </c>
      <c r="C15" s="127">
        <v>520</v>
      </c>
      <c r="D15" s="127">
        <v>5414</v>
      </c>
      <c r="E15" s="128" t="s">
        <v>2234</v>
      </c>
      <c r="F15" s="129">
        <f>-21252.74-3417943.76</f>
        <v>-3439196.5</v>
      </c>
      <c r="G15" s="129">
        <v>26779.81</v>
      </c>
      <c r="H15" s="129">
        <v>-2130502.44</v>
      </c>
      <c r="I15" s="129">
        <f t="shared" si="2"/>
        <v>-5542919.1299999999</v>
      </c>
      <c r="J15" s="129">
        <v>0</v>
      </c>
      <c r="K15" s="129">
        <f>-7340078.66+102771.94</f>
        <v>-7237306.7199999997</v>
      </c>
      <c r="L15" s="129">
        <f t="shared" si="3"/>
        <v>-12780225.85</v>
      </c>
      <c r="M15" s="129"/>
      <c r="N15" s="129">
        <v>-5905737.2699999996</v>
      </c>
      <c r="O15" s="649">
        <f t="shared" si="0"/>
        <v>-18685963.119999997</v>
      </c>
    </row>
    <row r="16" spans="1:44" ht="17.25" customHeight="1">
      <c r="B16" s="127">
        <v>520</v>
      </c>
      <c r="C16" s="127">
        <v>520</v>
      </c>
      <c r="D16" s="127">
        <v>5415</v>
      </c>
      <c r="E16" s="128" t="s">
        <v>2007</v>
      </c>
      <c r="F16" s="129">
        <f>-959.99+320</f>
        <v>-639.99</v>
      </c>
      <c r="G16" s="129">
        <v>320</v>
      </c>
      <c r="H16" s="129">
        <v>0</v>
      </c>
      <c r="I16" s="129">
        <f t="shared" si="2"/>
        <v>-319.99</v>
      </c>
      <c r="J16" s="129">
        <v>0</v>
      </c>
      <c r="K16" s="129">
        <v>0</v>
      </c>
      <c r="L16" s="129">
        <f t="shared" si="3"/>
        <v>-319.99</v>
      </c>
      <c r="M16" s="129"/>
      <c r="N16" s="129"/>
      <c r="O16" s="649">
        <f t="shared" si="0"/>
        <v>-319.99</v>
      </c>
    </row>
    <row r="17" spans="1:19" ht="17.25" customHeight="1">
      <c r="A17" s="132">
        <v>5</v>
      </c>
      <c r="B17" s="127" t="s">
        <v>863</v>
      </c>
      <c r="C17" s="127" t="s">
        <v>863</v>
      </c>
      <c r="D17" s="127" t="s">
        <v>871</v>
      </c>
      <c r="E17" s="128" t="s">
        <v>872</v>
      </c>
      <c r="F17" s="129">
        <f>-875.37+875.37</f>
        <v>0</v>
      </c>
      <c r="G17" s="129">
        <v>0</v>
      </c>
      <c r="H17" s="129">
        <v>0</v>
      </c>
      <c r="I17" s="129">
        <f t="shared" si="2"/>
        <v>0</v>
      </c>
      <c r="J17" s="129">
        <v>0</v>
      </c>
      <c r="K17" s="129">
        <v>0</v>
      </c>
      <c r="L17" s="129">
        <f t="shared" si="3"/>
        <v>0</v>
      </c>
      <c r="M17" s="129"/>
      <c r="N17" s="129"/>
      <c r="O17" s="129">
        <f t="shared" si="0"/>
        <v>0</v>
      </c>
    </row>
    <row r="18" spans="1:19" ht="17.25" customHeight="1">
      <c r="B18" s="127">
        <v>520</v>
      </c>
      <c r="C18" s="127">
        <v>520</v>
      </c>
      <c r="D18" s="127">
        <v>5417</v>
      </c>
      <c r="E18" s="128" t="s">
        <v>2013</v>
      </c>
      <c r="F18" s="129">
        <v>0</v>
      </c>
      <c r="G18" s="129">
        <v>0</v>
      </c>
      <c r="H18" s="129">
        <v>-82528503</v>
      </c>
      <c r="I18" s="129">
        <f t="shared" si="2"/>
        <v>-82528503</v>
      </c>
      <c r="J18" s="129">
        <v>0</v>
      </c>
      <c r="K18" s="129">
        <v>0</v>
      </c>
      <c r="L18" s="129">
        <f t="shared" si="3"/>
        <v>-82528503</v>
      </c>
      <c r="M18" s="129">
        <v>18669220</v>
      </c>
      <c r="N18" s="129"/>
      <c r="O18" s="649">
        <f t="shared" si="0"/>
        <v>-63859283</v>
      </c>
    </row>
    <row r="19" spans="1:19" ht="17.25" customHeight="1">
      <c r="B19" s="127">
        <v>520</v>
      </c>
      <c r="C19" s="127">
        <v>520</v>
      </c>
      <c r="D19" s="127">
        <v>5418</v>
      </c>
      <c r="E19" s="128" t="s">
        <v>3935</v>
      </c>
      <c r="F19" s="156"/>
      <c r="G19" s="156"/>
      <c r="H19" s="156"/>
      <c r="I19" s="156"/>
      <c r="J19" s="156"/>
      <c r="K19" s="156"/>
      <c r="L19" s="129"/>
      <c r="M19" s="129"/>
      <c r="N19" s="129">
        <v>-251705.14</v>
      </c>
      <c r="O19" s="649">
        <f t="shared" si="0"/>
        <v>-251705.14</v>
      </c>
    </row>
    <row r="20" spans="1:19" ht="17.25" customHeight="1">
      <c r="B20" s="644" t="s">
        <v>3555</v>
      </c>
      <c r="C20" s="645" t="s">
        <v>863</v>
      </c>
      <c r="D20" s="646">
        <v>5421</v>
      </c>
      <c r="E20" s="647" t="s">
        <v>3150</v>
      </c>
      <c r="F20" s="638"/>
      <c r="G20" s="639"/>
      <c r="H20" s="639"/>
      <c r="I20" s="638"/>
      <c r="J20" s="638"/>
      <c r="K20" s="638">
        <v>-138.22</v>
      </c>
      <c r="L20" s="637">
        <f t="shared" si="3"/>
        <v>-138.22</v>
      </c>
      <c r="M20" s="637">
        <v>0</v>
      </c>
      <c r="N20" s="637">
        <v>-138.56</v>
      </c>
      <c r="O20" s="649">
        <f t="shared" si="0"/>
        <v>-276.77999999999997</v>
      </c>
    </row>
    <row r="21" spans="1:19" ht="17.25" customHeight="1" thickBot="1">
      <c r="L21" s="156"/>
      <c r="M21" s="156"/>
      <c r="N21" s="156"/>
      <c r="O21" s="156"/>
    </row>
    <row r="22" spans="1:19" ht="17.25" customHeight="1" thickTop="1" thickBot="1">
      <c r="B22" s="137" t="s">
        <v>861</v>
      </c>
      <c r="C22" s="138"/>
      <c r="D22" s="136"/>
      <c r="E22" s="135" t="s">
        <v>500</v>
      </c>
      <c r="F22" s="134">
        <f>SUM(F9:F18)</f>
        <v>-23694206.529999997</v>
      </c>
      <c r="G22" s="134">
        <f>SUM(G9:G18)</f>
        <v>1263848.3400000001</v>
      </c>
      <c r="H22" s="134">
        <f>SUM(H9:H18)</f>
        <v>-88163129.140000001</v>
      </c>
      <c r="I22" s="134">
        <f>SUM(I9:I18)</f>
        <v>-110593487.33</v>
      </c>
      <c r="J22" s="134">
        <f>SUM(J9:J18)</f>
        <v>1824371</v>
      </c>
      <c r="K22" s="134">
        <f>SUM(K9:K20)</f>
        <v>-12512977.720000001</v>
      </c>
      <c r="L22" s="545">
        <f>SUM(L12:L20)</f>
        <v>-121282094.05000001</v>
      </c>
      <c r="M22" s="545">
        <f>SUM(M12:M20)</f>
        <v>18669220</v>
      </c>
      <c r="N22" s="545">
        <f>SUM(N12:N20)</f>
        <v>-9348782.1699999999</v>
      </c>
      <c r="O22" s="545">
        <f>SUM(O12:O20)</f>
        <v>-111961656.22000001</v>
      </c>
    </row>
    <row r="23" spans="1:19" ht="17.25" customHeight="1" thickTop="1">
      <c r="M23" s="542"/>
      <c r="N23" s="542"/>
      <c r="O23" s="542">
        <f t="shared" si="0"/>
        <v>0</v>
      </c>
    </row>
    <row r="24" spans="1:19" ht="17.25" customHeight="1">
      <c r="A24" s="132">
        <v>5</v>
      </c>
      <c r="B24" s="127" t="s">
        <v>863</v>
      </c>
      <c r="C24" s="127" t="s">
        <v>873</v>
      </c>
      <c r="D24" s="127" t="s">
        <v>874</v>
      </c>
      <c r="E24" s="128" t="s">
        <v>875</v>
      </c>
      <c r="F24" s="129">
        <v>-5887481.4100000001</v>
      </c>
      <c r="G24" s="129">
        <v>318925.52</v>
      </c>
      <c r="H24" s="129">
        <v>-82519.28</v>
      </c>
      <c r="I24" s="129">
        <f>SUM(F24:H24)</f>
        <v>-5651075.1700000009</v>
      </c>
      <c r="J24" s="129">
        <v>624068.84</v>
      </c>
      <c r="K24" s="129">
        <v>-143551.78</v>
      </c>
      <c r="L24" s="129">
        <f>+I24+J24+K24</f>
        <v>-5170558.1100000013</v>
      </c>
      <c r="M24" s="129">
        <v>182067.56</v>
      </c>
      <c r="N24" s="129">
        <v>-68618.19</v>
      </c>
      <c r="O24" s="649">
        <f>L24+M24+N24</f>
        <v>-5057108.7400000021</v>
      </c>
      <c r="S24" s="542">
        <f>566614.51+1668103.16+179508.17</f>
        <v>2414225.84</v>
      </c>
    </row>
    <row r="25" spans="1:19" ht="17.25" customHeight="1">
      <c r="B25" s="127">
        <v>520</v>
      </c>
      <c r="C25" s="127">
        <v>540</v>
      </c>
      <c r="D25" s="127">
        <v>5402</v>
      </c>
      <c r="E25" s="128" t="s">
        <v>3397</v>
      </c>
      <c r="F25" s="129"/>
      <c r="G25" s="129"/>
      <c r="H25" s="129"/>
      <c r="I25" s="129"/>
      <c r="J25" s="129"/>
      <c r="K25" s="129">
        <v>-624068.84</v>
      </c>
      <c r="L25" s="129">
        <f>+I25+J25+K25</f>
        <v>-624068.84</v>
      </c>
      <c r="M25" s="129">
        <v>57454.33</v>
      </c>
      <c r="N25" s="129"/>
      <c r="O25" s="649">
        <f t="shared" ref="O25:O88" si="4">L25+M25+N25</f>
        <v>-566614.51</v>
      </c>
    </row>
    <row r="26" spans="1:19" ht="17.25" customHeight="1">
      <c r="B26" s="127">
        <v>520</v>
      </c>
      <c r="C26" s="127">
        <v>540</v>
      </c>
      <c r="D26" s="127">
        <v>5403</v>
      </c>
      <c r="E26" s="128" t="s">
        <v>3396</v>
      </c>
      <c r="F26" s="129"/>
      <c r="G26" s="129"/>
      <c r="H26" s="129"/>
      <c r="I26" s="129"/>
      <c r="J26" s="129"/>
      <c r="K26" s="129">
        <v>-3223927.54</v>
      </c>
      <c r="L26" s="129">
        <f>+I26+J26+K26</f>
        <v>-3223927.54</v>
      </c>
      <c r="M26" s="129">
        <f>1181176.24+374648.1</f>
        <v>1555824.3399999999</v>
      </c>
      <c r="N26" s="129">
        <v>0</v>
      </c>
      <c r="O26" s="649">
        <f>SUM(L26:N26)</f>
        <v>-1668103.2000000002</v>
      </c>
    </row>
    <row r="27" spans="1:19" ht="17.25" customHeight="1">
      <c r="B27" s="127">
        <v>520</v>
      </c>
      <c r="C27" s="127">
        <v>520</v>
      </c>
      <c r="D27" s="127">
        <v>5404</v>
      </c>
      <c r="E27" s="128" t="s">
        <v>2008</v>
      </c>
      <c r="F27" s="129">
        <v>-31894.93</v>
      </c>
      <c r="G27" s="129">
        <v>0</v>
      </c>
      <c r="H27" s="129">
        <v>-201980.16</v>
      </c>
      <c r="I27" s="129">
        <f>SUM(F27:H27)</f>
        <v>-233875.09</v>
      </c>
      <c r="J27" s="129">
        <v>54366.92</v>
      </c>
      <c r="K27" s="129">
        <v>0</v>
      </c>
      <c r="L27" s="129">
        <f>+I27+J27+K27</f>
        <v>-179508.16999999998</v>
      </c>
      <c r="M27" s="129"/>
      <c r="N27" s="129"/>
      <c r="O27" s="649">
        <f t="shared" si="4"/>
        <v>-179508.16999999998</v>
      </c>
    </row>
    <row r="28" spans="1:19" ht="17.25" customHeight="1" thickBot="1">
      <c r="B28" s="540"/>
      <c r="C28" s="540"/>
      <c r="D28" s="540"/>
      <c r="M28" s="542"/>
      <c r="N28" s="542"/>
      <c r="O28" s="542">
        <f t="shared" si="4"/>
        <v>0</v>
      </c>
    </row>
    <row r="29" spans="1:19" ht="17.25" customHeight="1" thickTop="1" thickBot="1">
      <c r="B29" s="137" t="s">
        <v>861</v>
      </c>
      <c r="C29" s="138"/>
      <c r="D29" s="136"/>
      <c r="E29" s="135" t="s">
        <v>832</v>
      </c>
      <c r="F29" s="134">
        <f t="shared" ref="F29:O29" si="5">SUM(F24:F27)</f>
        <v>-5919376.3399999999</v>
      </c>
      <c r="G29" s="134">
        <f t="shared" si="5"/>
        <v>318925.52</v>
      </c>
      <c r="H29" s="134">
        <f t="shared" si="5"/>
        <v>-284499.44</v>
      </c>
      <c r="I29" s="134">
        <f t="shared" si="5"/>
        <v>-5884950.2600000007</v>
      </c>
      <c r="J29" s="134">
        <f t="shared" si="5"/>
        <v>678435.76</v>
      </c>
      <c r="K29" s="134">
        <f t="shared" si="5"/>
        <v>-3991548.16</v>
      </c>
      <c r="L29" s="134">
        <f t="shared" si="5"/>
        <v>-9198062.660000002</v>
      </c>
      <c r="M29" s="134">
        <f t="shared" si="5"/>
        <v>1795346.23</v>
      </c>
      <c r="N29" s="134">
        <f t="shared" si="5"/>
        <v>-68618.19</v>
      </c>
      <c r="O29" s="134">
        <f t="shared" si="5"/>
        <v>-7471334.620000002</v>
      </c>
    </row>
    <row r="30" spans="1:19" ht="17.25" customHeight="1" thickTop="1" thickBot="1">
      <c r="M30" s="542"/>
      <c r="N30" s="542"/>
      <c r="O30" s="542">
        <f t="shared" si="4"/>
        <v>0</v>
      </c>
    </row>
    <row r="31" spans="1:19" ht="17.25" customHeight="1" thickTop="1" thickBot="1">
      <c r="B31" s="137" t="s">
        <v>2659</v>
      </c>
      <c r="C31" s="138"/>
      <c r="D31" s="136"/>
      <c r="E31" s="135" t="s">
        <v>876</v>
      </c>
      <c r="F31" s="134">
        <f>+F29+F22</f>
        <v>-29613582.869999997</v>
      </c>
      <c r="G31" s="134">
        <f t="shared" ref="G31:O31" si="6">+G29+G22</f>
        <v>1582773.86</v>
      </c>
      <c r="H31" s="134">
        <f t="shared" si="6"/>
        <v>-88447628.579999998</v>
      </c>
      <c r="I31" s="134">
        <f t="shared" si="6"/>
        <v>-116478437.59</v>
      </c>
      <c r="J31" s="134">
        <f t="shared" si="6"/>
        <v>2502806.7599999998</v>
      </c>
      <c r="K31" s="134">
        <f t="shared" si="6"/>
        <v>-16504525.880000001</v>
      </c>
      <c r="L31" s="134">
        <f t="shared" si="6"/>
        <v>-130480156.71000001</v>
      </c>
      <c r="M31" s="134">
        <f t="shared" si="6"/>
        <v>20464566.23</v>
      </c>
      <c r="N31" s="134">
        <f t="shared" si="6"/>
        <v>-9417400.3599999994</v>
      </c>
      <c r="O31" s="134">
        <f t="shared" si="6"/>
        <v>-119432990.84000002</v>
      </c>
    </row>
    <row r="32" spans="1:19" ht="17.25" customHeight="1" thickTop="1">
      <c r="F32" s="156"/>
      <c r="G32" s="544"/>
      <c r="H32" s="544"/>
      <c r="I32" s="156"/>
      <c r="J32" s="156"/>
      <c r="M32" s="542"/>
      <c r="N32" s="542"/>
      <c r="O32" s="542">
        <f t="shared" si="4"/>
        <v>0</v>
      </c>
    </row>
    <row r="33" spans="1:19" ht="17.25" customHeight="1">
      <c r="A33" s="132">
        <v>5</v>
      </c>
      <c r="B33" s="127" t="s">
        <v>877</v>
      </c>
      <c r="C33" s="127" t="s">
        <v>877</v>
      </c>
      <c r="D33" s="127" t="s">
        <v>878</v>
      </c>
      <c r="E33" s="128" t="s">
        <v>879</v>
      </c>
      <c r="F33" s="129">
        <f>26914053.26+642000-40027243.56</f>
        <v>-12471190.300000001</v>
      </c>
      <c r="G33" s="129">
        <v>93936519.599999994</v>
      </c>
      <c r="H33" s="129">
        <v>-103677909.58</v>
      </c>
      <c r="I33" s="129">
        <f>SUM(F33:H33)</f>
        <v>-22212580.280000001</v>
      </c>
      <c r="J33" s="129">
        <f>118791994.93+3223927.54</f>
        <v>122015922.47000001</v>
      </c>
      <c r="K33" s="129">
        <f>-188471775.91-102771.94</f>
        <v>-188574547.84999999</v>
      </c>
      <c r="L33" s="129">
        <f>I33+J33+K33+0.22</f>
        <v>-88771205.439999983</v>
      </c>
      <c r="M33" s="129">
        <v>138821084.36000001</v>
      </c>
      <c r="N33" s="129">
        <v>-117554143.40000001</v>
      </c>
      <c r="O33" s="649">
        <f t="shared" si="4"/>
        <v>-67504264.479999974</v>
      </c>
      <c r="S33" s="542" t="s">
        <v>45</v>
      </c>
    </row>
    <row r="34" spans="1:19" ht="17.25" customHeight="1">
      <c r="A34" s="132">
        <v>5</v>
      </c>
      <c r="B34" s="127" t="s">
        <v>877</v>
      </c>
      <c r="C34" s="127" t="s">
        <v>877</v>
      </c>
      <c r="D34" s="127" t="s">
        <v>880</v>
      </c>
      <c r="E34" s="128" t="s">
        <v>881</v>
      </c>
      <c r="F34" s="129">
        <v>-3786268.2</v>
      </c>
      <c r="G34" s="129">
        <v>6099965.7599999998</v>
      </c>
      <c r="H34" s="129">
        <v>-2313697.56</v>
      </c>
      <c r="I34" s="129">
        <f>SUM(F34:H34)</f>
        <v>0</v>
      </c>
      <c r="J34" s="129">
        <v>0</v>
      </c>
      <c r="K34" s="129">
        <v>0</v>
      </c>
      <c r="L34" s="129">
        <f>I34+J34+K34</f>
        <v>0</v>
      </c>
      <c r="M34" s="542">
        <v>0</v>
      </c>
      <c r="N34" s="542">
        <v>0</v>
      </c>
      <c r="O34" s="542">
        <f t="shared" si="4"/>
        <v>0</v>
      </c>
      <c r="S34" s="542" t="s">
        <v>45</v>
      </c>
    </row>
    <row r="35" spans="1:19" ht="17.25" customHeight="1">
      <c r="B35" s="127">
        <v>560</v>
      </c>
      <c r="C35" s="127">
        <v>560</v>
      </c>
      <c r="D35" s="127"/>
      <c r="E35" s="128" t="s">
        <v>1305</v>
      </c>
      <c r="F35" s="129">
        <v>0</v>
      </c>
      <c r="G35" s="129">
        <v>0</v>
      </c>
      <c r="H35" s="129">
        <v>-727328.6</v>
      </c>
      <c r="I35" s="129">
        <f>SUM(F35:H35)</f>
        <v>-727328.6</v>
      </c>
      <c r="J35" s="129">
        <v>727328.6</v>
      </c>
      <c r="K35" s="129">
        <v>0</v>
      </c>
      <c r="L35" s="129">
        <f>I35+J35+K35</f>
        <v>0</v>
      </c>
      <c r="M35" s="542"/>
      <c r="N35" s="542"/>
      <c r="O35" s="542">
        <f t="shared" si="4"/>
        <v>0</v>
      </c>
      <c r="S35" s="542" t="s">
        <v>45</v>
      </c>
    </row>
    <row r="36" spans="1:19" ht="17.25" customHeight="1" thickBot="1">
      <c r="B36" s="154"/>
      <c r="C36" s="154"/>
      <c r="D36" s="154"/>
      <c r="E36" s="155"/>
      <c r="F36" s="156"/>
      <c r="G36" s="544"/>
      <c r="H36" s="544"/>
      <c r="I36" s="156"/>
      <c r="J36" s="156"/>
      <c r="K36" s="156"/>
      <c r="L36" s="156"/>
      <c r="M36" s="542"/>
      <c r="N36" s="542"/>
      <c r="O36" s="542">
        <f t="shared" si="4"/>
        <v>0</v>
      </c>
      <c r="S36" s="542" t="s">
        <v>45</v>
      </c>
    </row>
    <row r="37" spans="1:19" ht="17.25" customHeight="1" thickTop="1" thickBot="1">
      <c r="A37" s="132" t="s">
        <v>45</v>
      </c>
      <c r="B37" s="137" t="s">
        <v>2661</v>
      </c>
      <c r="C37" s="138"/>
      <c r="D37" s="136"/>
      <c r="E37" s="135" t="s">
        <v>882</v>
      </c>
      <c r="F37" s="134">
        <f>SUM(F33:F36)</f>
        <v>-16257458.5</v>
      </c>
      <c r="G37" s="134">
        <f>SUM(G33:G36)</f>
        <v>100036485.36</v>
      </c>
      <c r="H37" s="134">
        <f>SUM(H33:H35)</f>
        <v>-106718935.73999999</v>
      </c>
      <c r="I37" s="134">
        <f>SUM(I33:I35)</f>
        <v>-22939908.880000003</v>
      </c>
      <c r="J37" s="134">
        <f>SUM(J33:J36)</f>
        <v>122743251.07000001</v>
      </c>
      <c r="K37" s="134">
        <f>SUM(K33:K36)</f>
        <v>-188574547.84999999</v>
      </c>
      <c r="L37" s="134">
        <f>SUM(L33:L35)</f>
        <v>-88771205.439999983</v>
      </c>
      <c r="M37" s="134">
        <f>SUM(M33:M35)</f>
        <v>138821084.36000001</v>
      </c>
      <c r="N37" s="134">
        <f>SUM(N33:N35)</f>
        <v>-117554143.40000001</v>
      </c>
      <c r="O37" s="134">
        <f>SUM(O33:O35)</f>
        <v>-67504264.479999974</v>
      </c>
      <c r="S37" s="542" t="s">
        <v>45</v>
      </c>
    </row>
    <row r="38" spans="1:19" ht="17.25" customHeight="1" thickTop="1">
      <c r="B38" s="540"/>
      <c r="C38" s="540"/>
      <c r="D38" s="540"/>
      <c r="F38" s="156"/>
      <c r="G38" s="544"/>
      <c r="H38" s="544"/>
      <c r="I38" s="542">
        <f>SUM(F38:H38)</f>
        <v>0</v>
      </c>
      <c r="J38" s="156"/>
      <c r="M38" s="542"/>
      <c r="N38" s="542"/>
      <c r="O38" s="542">
        <f t="shared" si="4"/>
        <v>0</v>
      </c>
      <c r="S38" s="542" t="s">
        <v>45</v>
      </c>
    </row>
    <row r="39" spans="1:19" ht="17.25" hidden="1" customHeight="1">
      <c r="A39" s="132">
        <v>5</v>
      </c>
      <c r="B39" s="127" t="s">
        <v>883</v>
      </c>
      <c r="C39" s="127" t="s">
        <v>883</v>
      </c>
      <c r="D39" s="127" t="s">
        <v>884</v>
      </c>
      <c r="E39" s="128" t="s">
        <v>885</v>
      </c>
      <c r="F39" s="129">
        <f>-11000+9750</f>
        <v>-1250</v>
      </c>
      <c r="G39" s="129">
        <v>1250</v>
      </c>
      <c r="H39" s="129"/>
      <c r="I39" s="129">
        <f>SUM(F39:H39)</f>
        <v>0</v>
      </c>
      <c r="J39" s="129">
        <v>0</v>
      </c>
      <c r="K39" s="129">
        <v>0</v>
      </c>
      <c r="L39" s="129">
        <f>+I39+J39+K39</f>
        <v>0</v>
      </c>
      <c r="M39" s="542"/>
      <c r="N39" s="542"/>
      <c r="O39" s="542">
        <f t="shared" si="4"/>
        <v>0</v>
      </c>
      <c r="S39" s="542" t="s">
        <v>45</v>
      </c>
    </row>
    <row r="40" spans="1:19" ht="17.25" hidden="1" customHeight="1">
      <c r="A40" s="132">
        <v>5</v>
      </c>
      <c r="B40" s="127" t="s">
        <v>883</v>
      </c>
      <c r="C40" s="127" t="s">
        <v>886</v>
      </c>
      <c r="D40" s="127" t="s">
        <v>887</v>
      </c>
      <c r="E40" s="128" t="s">
        <v>888</v>
      </c>
      <c r="F40" s="129">
        <f>-2027253.95+2027253.95</f>
        <v>0</v>
      </c>
      <c r="G40" s="129">
        <v>0</v>
      </c>
      <c r="H40" s="129"/>
      <c r="I40" s="129">
        <f t="shared" ref="I40:I47" si="7">SUM(F40:H40)</f>
        <v>0</v>
      </c>
      <c r="J40" s="129">
        <v>0</v>
      </c>
      <c r="K40" s="129">
        <v>0</v>
      </c>
      <c r="L40" s="129">
        <f t="shared" ref="L40:L69" si="8">+I40+J40+K40</f>
        <v>0</v>
      </c>
      <c r="M40" s="542"/>
      <c r="N40" s="542"/>
      <c r="O40" s="542">
        <f t="shared" si="4"/>
        <v>0</v>
      </c>
    </row>
    <row r="41" spans="1:19" ht="17.25" hidden="1" customHeight="1">
      <c r="A41" s="132">
        <v>5</v>
      </c>
      <c r="B41" s="127" t="s">
        <v>883</v>
      </c>
      <c r="C41" s="127" t="s">
        <v>886</v>
      </c>
      <c r="D41" s="127" t="s">
        <v>889</v>
      </c>
      <c r="E41" s="128" t="s">
        <v>888</v>
      </c>
      <c r="F41" s="129">
        <f>-471465.18+471465.18</f>
        <v>0</v>
      </c>
      <c r="G41" s="129">
        <v>0</v>
      </c>
      <c r="H41" s="129"/>
      <c r="I41" s="129">
        <f t="shared" si="7"/>
        <v>0</v>
      </c>
      <c r="J41" s="129">
        <v>0</v>
      </c>
      <c r="K41" s="129">
        <v>0</v>
      </c>
      <c r="L41" s="129">
        <f t="shared" si="8"/>
        <v>0</v>
      </c>
      <c r="M41" s="542"/>
      <c r="N41" s="542"/>
      <c r="O41" s="542">
        <f t="shared" si="4"/>
        <v>0</v>
      </c>
    </row>
    <row r="42" spans="1:19" ht="17.25" hidden="1" customHeight="1">
      <c r="A42" s="132">
        <v>5</v>
      </c>
      <c r="B42" s="127" t="s">
        <v>883</v>
      </c>
      <c r="C42" s="127" t="s">
        <v>886</v>
      </c>
      <c r="D42" s="127" t="s">
        <v>890</v>
      </c>
      <c r="E42" s="128" t="s">
        <v>888</v>
      </c>
      <c r="F42" s="129">
        <f>-470449.1+623949.1</f>
        <v>153500</v>
      </c>
      <c r="G42" s="129">
        <v>0</v>
      </c>
      <c r="H42" s="129">
        <v>-153500</v>
      </c>
      <c r="I42" s="129">
        <f t="shared" si="7"/>
        <v>0</v>
      </c>
      <c r="J42" s="129">
        <v>0</v>
      </c>
      <c r="K42" s="129">
        <v>0</v>
      </c>
      <c r="L42" s="129">
        <f t="shared" si="8"/>
        <v>0</v>
      </c>
      <c r="M42" s="542"/>
      <c r="N42" s="542"/>
      <c r="O42" s="542">
        <f t="shared" si="4"/>
        <v>0</v>
      </c>
    </row>
    <row r="43" spans="1:19" ht="17.25" hidden="1" customHeight="1">
      <c r="A43" s="132">
        <v>5</v>
      </c>
      <c r="B43" s="127" t="s">
        <v>883</v>
      </c>
      <c r="C43" s="127" t="s">
        <v>886</v>
      </c>
      <c r="D43" s="127" t="s">
        <v>891</v>
      </c>
      <c r="E43" s="128" t="s">
        <v>888</v>
      </c>
      <c r="F43" s="129">
        <f>-927953.53+927953.53</f>
        <v>0</v>
      </c>
      <c r="G43" s="129">
        <v>0</v>
      </c>
      <c r="H43" s="129"/>
      <c r="I43" s="129">
        <f t="shared" si="7"/>
        <v>0</v>
      </c>
      <c r="J43" s="129">
        <v>0</v>
      </c>
      <c r="K43" s="129">
        <v>0</v>
      </c>
      <c r="L43" s="129">
        <f t="shared" si="8"/>
        <v>0</v>
      </c>
      <c r="M43" s="542"/>
      <c r="N43" s="542"/>
      <c r="O43" s="542">
        <f t="shared" si="4"/>
        <v>0</v>
      </c>
    </row>
    <row r="44" spans="1:19" ht="17.25" hidden="1" customHeight="1">
      <c r="A44" s="132">
        <v>5</v>
      </c>
      <c r="B44" s="127" t="s">
        <v>883</v>
      </c>
      <c r="C44" s="127" t="s">
        <v>886</v>
      </c>
      <c r="D44" s="127" t="s">
        <v>892</v>
      </c>
      <c r="E44" s="128" t="s">
        <v>888</v>
      </c>
      <c r="F44" s="129">
        <f>-1953320.43+1803450.43</f>
        <v>-149870</v>
      </c>
      <c r="G44" s="129">
        <v>0</v>
      </c>
      <c r="H44" s="129">
        <v>149870</v>
      </c>
      <c r="I44" s="129">
        <f t="shared" si="7"/>
        <v>0</v>
      </c>
      <c r="J44" s="129">
        <v>0</v>
      </c>
      <c r="K44" s="129">
        <v>0</v>
      </c>
      <c r="L44" s="129">
        <f t="shared" si="8"/>
        <v>0</v>
      </c>
      <c r="M44" s="542"/>
      <c r="N44" s="542"/>
      <c r="O44" s="542">
        <f t="shared" si="4"/>
        <v>0</v>
      </c>
    </row>
    <row r="45" spans="1:19" ht="17.25" hidden="1" customHeight="1">
      <c r="A45" s="132">
        <v>5</v>
      </c>
      <c r="B45" s="127" t="s">
        <v>883</v>
      </c>
      <c r="C45" s="127" t="s">
        <v>886</v>
      </c>
      <c r="D45" s="127" t="s">
        <v>893</v>
      </c>
      <c r="E45" s="128" t="s">
        <v>888</v>
      </c>
      <c r="F45" s="129">
        <f>-293325.71+293325.71</f>
        <v>0</v>
      </c>
      <c r="G45" s="129">
        <v>0</v>
      </c>
      <c r="H45" s="129"/>
      <c r="I45" s="129">
        <f t="shared" si="7"/>
        <v>0</v>
      </c>
      <c r="J45" s="129">
        <v>0</v>
      </c>
      <c r="K45" s="129">
        <v>0</v>
      </c>
      <c r="L45" s="129">
        <f t="shared" si="8"/>
        <v>0</v>
      </c>
      <c r="M45" s="542"/>
      <c r="N45" s="542"/>
      <c r="O45" s="542">
        <f t="shared" si="4"/>
        <v>0</v>
      </c>
    </row>
    <row r="46" spans="1:19" ht="17.25" hidden="1" customHeight="1">
      <c r="A46" s="132">
        <v>5</v>
      </c>
      <c r="B46" s="127" t="s">
        <v>883</v>
      </c>
      <c r="C46" s="127" t="s">
        <v>886</v>
      </c>
      <c r="D46" s="127" t="s">
        <v>894</v>
      </c>
      <c r="E46" s="128" t="s">
        <v>888</v>
      </c>
      <c r="F46" s="129">
        <f>66478.13-66478.13</f>
        <v>0</v>
      </c>
      <c r="G46" s="129">
        <v>0</v>
      </c>
      <c r="H46" s="129"/>
      <c r="I46" s="129">
        <f t="shared" si="7"/>
        <v>0</v>
      </c>
      <c r="J46" s="129">
        <v>0</v>
      </c>
      <c r="K46" s="129">
        <v>0</v>
      </c>
      <c r="L46" s="129">
        <f t="shared" si="8"/>
        <v>0</v>
      </c>
      <c r="M46" s="542"/>
      <c r="N46" s="542"/>
      <c r="O46" s="542">
        <f t="shared" si="4"/>
        <v>0</v>
      </c>
    </row>
    <row r="47" spans="1:19" ht="17.25" hidden="1" customHeight="1">
      <c r="A47" s="132">
        <v>5</v>
      </c>
      <c r="B47" s="127" t="s">
        <v>883</v>
      </c>
      <c r="C47" s="127" t="s">
        <v>886</v>
      </c>
      <c r="D47" s="127" t="s">
        <v>895</v>
      </c>
      <c r="E47" s="128" t="s">
        <v>888</v>
      </c>
      <c r="F47" s="129">
        <f>-598036.85+598036.85</f>
        <v>0</v>
      </c>
      <c r="G47" s="129">
        <v>0</v>
      </c>
      <c r="H47" s="129"/>
      <c r="I47" s="129">
        <f t="shared" si="7"/>
        <v>0</v>
      </c>
      <c r="J47" s="129">
        <v>0</v>
      </c>
      <c r="K47" s="129">
        <v>0</v>
      </c>
      <c r="L47" s="129">
        <f t="shared" si="8"/>
        <v>0</v>
      </c>
      <c r="M47" s="542"/>
      <c r="N47" s="542"/>
      <c r="O47" s="542">
        <f t="shared" si="4"/>
        <v>0</v>
      </c>
    </row>
    <row r="48" spans="1:19" ht="17.25" hidden="1" customHeight="1">
      <c r="A48" s="132">
        <v>5</v>
      </c>
      <c r="B48" s="127" t="s">
        <v>883</v>
      </c>
      <c r="C48" s="127" t="s">
        <v>886</v>
      </c>
      <c r="D48" s="127" t="s">
        <v>896</v>
      </c>
      <c r="E48" s="128" t="s">
        <v>897</v>
      </c>
      <c r="F48" s="129">
        <f>-1344267.69+1475287.81</f>
        <v>131020.12000000011</v>
      </c>
      <c r="G48" s="129">
        <v>0</v>
      </c>
      <c r="H48" s="129">
        <v>-131020.12</v>
      </c>
      <c r="I48" s="129">
        <v>0</v>
      </c>
      <c r="J48" s="129">
        <v>0</v>
      </c>
      <c r="K48" s="129">
        <v>0</v>
      </c>
      <c r="L48" s="129">
        <f t="shared" si="8"/>
        <v>0</v>
      </c>
      <c r="M48" s="542"/>
      <c r="N48" s="542"/>
      <c r="O48" s="542">
        <f t="shared" si="4"/>
        <v>0</v>
      </c>
    </row>
    <row r="49" spans="1:15" ht="17.25" hidden="1" customHeight="1">
      <c r="A49" s="132">
        <v>5</v>
      </c>
      <c r="B49" s="127" t="s">
        <v>883</v>
      </c>
      <c r="C49" s="127" t="s">
        <v>886</v>
      </c>
      <c r="D49" s="127" t="s">
        <v>898</v>
      </c>
      <c r="E49" s="128" t="s">
        <v>888</v>
      </c>
      <c r="F49" s="129">
        <f>-33394.41+33394.41</f>
        <v>0</v>
      </c>
      <c r="G49" s="129">
        <v>0</v>
      </c>
      <c r="H49" s="129"/>
      <c r="I49" s="129">
        <f t="shared" ref="I49:I69" si="9">SUM(F49:H49)</f>
        <v>0</v>
      </c>
      <c r="J49" s="129">
        <v>0</v>
      </c>
      <c r="K49" s="129">
        <v>0</v>
      </c>
      <c r="L49" s="129">
        <f t="shared" si="8"/>
        <v>0</v>
      </c>
      <c r="M49" s="542"/>
      <c r="N49" s="542"/>
      <c r="O49" s="542">
        <f t="shared" si="4"/>
        <v>0</v>
      </c>
    </row>
    <row r="50" spans="1:15" ht="17.25" hidden="1" customHeight="1">
      <c r="A50" s="132">
        <v>5</v>
      </c>
      <c r="B50" s="127" t="s">
        <v>883</v>
      </c>
      <c r="C50" s="127" t="s">
        <v>886</v>
      </c>
      <c r="D50" s="127" t="s">
        <v>899</v>
      </c>
      <c r="E50" s="128" t="s">
        <v>888</v>
      </c>
      <c r="F50" s="129">
        <f>-172980.47+172980.47</f>
        <v>0</v>
      </c>
      <c r="G50" s="129">
        <v>0</v>
      </c>
      <c r="H50" s="129"/>
      <c r="I50" s="129">
        <f t="shared" si="9"/>
        <v>0</v>
      </c>
      <c r="J50" s="129">
        <v>0</v>
      </c>
      <c r="K50" s="129">
        <v>0</v>
      </c>
      <c r="L50" s="129">
        <f t="shared" si="8"/>
        <v>0</v>
      </c>
      <c r="M50" s="542"/>
      <c r="N50" s="542"/>
      <c r="O50" s="542">
        <f t="shared" si="4"/>
        <v>0</v>
      </c>
    </row>
    <row r="51" spans="1:15" ht="17.25" hidden="1" customHeight="1">
      <c r="A51" s="132">
        <v>5</v>
      </c>
      <c r="B51" s="127" t="s">
        <v>883</v>
      </c>
      <c r="C51" s="127" t="s">
        <v>886</v>
      </c>
      <c r="D51" s="127" t="s">
        <v>900</v>
      </c>
      <c r="E51" s="128" t="s">
        <v>888</v>
      </c>
      <c r="F51" s="129">
        <f>158573.12-158573.12</f>
        <v>0</v>
      </c>
      <c r="G51" s="129">
        <v>0</v>
      </c>
      <c r="H51" s="129"/>
      <c r="I51" s="129">
        <f t="shared" si="9"/>
        <v>0</v>
      </c>
      <c r="J51" s="129">
        <v>0</v>
      </c>
      <c r="K51" s="129">
        <v>0</v>
      </c>
      <c r="L51" s="129">
        <f t="shared" si="8"/>
        <v>0</v>
      </c>
      <c r="M51" s="542"/>
      <c r="N51" s="542"/>
      <c r="O51" s="542">
        <f t="shared" si="4"/>
        <v>0</v>
      </c>
    </row>
    <row r="52" spans="1:15" ht="17.25" hidden="1" customHeight="1">
      <c r="A52" s="132">
        <v>5</v>
      </c>
      <c r="B52" s="127" t="s">
        <v>883</v>
      </c>
      <c r="C52" s="127" t="s">
        <v>886</v>
      </c>
      <c r="D52" s="127" t="s">
        <v>901</v>
      </c>
      <c r="E52" s="128" t="s">
        <v>888</v>
      </c>
      <c r="F52" s="129">
        <f>-166821.94+166821.94</f>
        <v>0</v>
      </c>
      <c r="G52" s="129">
        <v>0</v>
      </c>
      <c r="H52" s="129"/>
      <c r="I52" s="129">
        <f t="shared" si="9"/>
        <v>0</v>
      </c>
      <c r="J52" s="129">
        <v>0</v>
      </c>
      <c r="K52" s="129">
        <v>0</v>
      </c>
      <c r="L52" s="129">
        <f t="shared" si="8"/>
        <v>0</v>
      </c>
      <c r="M52" s="542"/>
      <c r="N52" s="542"/>
      <c r="O52" s="542">
        <f t="shared" si="4"/>
        <v>0</v>
      </c>
    </row>
    <row r="53" spans="1:15" ht="17.25" hidden="1" customHeight="1">
      <c r="A53" s="132">
        <v>5</v>
      </c>
      <c r="B53" s="127" t="s">
        <v>883</v>
      </c>
      <c r="C53" s="127" t="s">
        <v>886</v>
      </c>
      <c r="D53" s="127" t="s">
        <v>902</v>
      </c>
      <c r="E53" s="128" t="s">
        <v>888</v>
      </c>
      <c r="F53" s="129">
        <f>1476283.6-1476283.6</f>
        <v>0</v>
      </c>
      <c r="G53" s="129">
        <v>0</v>
      </c>
      <c r="H53" s="129"/>
      <c r="I53" s="129">
        <f t="shared" si="9"/>
        <v>0</v>
      </c>
      <c r="J53" s="129">
        <v>0</v>
      </c>
      <c r="K53" s="129">
        <v>0</v>
      </c>
      <c r="L53" s="129">
        <f t="shared" si="8"/>
        <v>0</v>
      </c>
      <c r="M53" s="542"/>
      <c r="N53" s="542"/>
      <c r="O53" s="542">
        <f t="shared" si="4"/>
        <v>0</v>
      </c>
    </row>
    <row r="54" spans="1:15" ht="17.25" hidden="1" customHeight="1">
      <c r="A54" s="132">
        <v>5</v>
      </c>
      <c r="B54" s="127" t="s">
        <v>883</v>
      </c>
      <c r="C54" s="127" t="s">
        <v>886</v>
      </c>
      <c r="D54" s="127" t="s">
        <v>903</v>
      </c>
      <c r="E54" s="128" t="s">
        <v>888</v>
      </c>
      <c r="F54" s="129">
        <f>78921.47-78921.47</f>
        <v>0</v>
      </c>
      <c r="G54" s="129">
        <v>0</v>
      </c>
      <c r="H54" s="129"/>
      <c r="I54" s="129">
        <f t="shared" si="9"/>
        <v>0</v>
      </c>
      <c r="J54" s="129">
        <v>0</v>
      </c>
      <c r="K54" s="129">
        <v>0</v>
      </c>
      <c r="L54" s="129">
        <f t="shared" si="8"/>
        <v>0</v>
      </c>
      <c r="M54" s="542"/>
      <c r="N54" s="542"/>
      <c r="O54" s="542">
        <f t="shared" si="4"/>
        <v>0</v>
      </c>
    </row>
    <row r="55" spans="1:15" ht="17.25" hidden="1" customHeight="1">
      <c r="A55" s="132">
        <v>5</v>
      </c>
      <c r="B55" s="127" t="s">
        <v>883</v>
      </c>
      <c r="C55" s="127" t="s">
        <v>886</v>
      </c>
      <c r="D55" s="127" t="s">
        <v>904</v>
      </c>
      <c r="E55" s="128" t="s">
        <v>905</v>
      </c>
      <c r="F55" s="129">
        <f>-12827.67+2737.67</f>
        <v>-10090</v>
      </c>
      <c r="G55" s="129">
        <v>0</v>
      </c>
      <c r="H55" s="129">
        <v>10090</v>
      </c>
      <c r="I55" s="129">
        <f t="shared" si="9"/>
        <v>0</v>
      </c>
      <c r="J55" s="129">
        <v>0</v>
      </c>
      <c r="K55" s="129">
        <v>0</v>
      </c>
      <c r="L55" s="129">
        <f t="shared" si="8"/>
        <v>0</v>
      </c>
      <c r="M55" s="542"/>
      <c r="N55" s="542"/>
      <c r="O55" s="542">
        <f t="shared" si="4"/>
        <v>0</v>
      </c>
    </row>
    <row r="56" spans="1:15" ht="17.25" hidden="1" customHeight="1">
      <c r="A56" s="132">
        <v>5</v>
      </c>
      <c r="B56" s="127" t="s">
        <v>883</v>
      </c>
      <c r="C56" s="127" t="s">
        <v>886</v>
      </c>
      <c r="D56" s="127" t="s">
        <v>906</v>
      </c>
      <c r="E56" s="128" t="s">
        <v>907</v>
      </c>
      <c r="F56" s="129">
        <f>-187350+187350</f>
        <v>0</v>
      </c>
      <c r="G56" s="129">
        <v>0</v>
      </c>
      <c r="H56" s="129"/>
      <c r="I56" s="129">
        <f t="shared" si="9"/>
        <v>0</v>
      </c>
      <c r="J56" s="129">
        <v>0</v>
      </c>
      <c r="K56" s="129">
        <v>0</v>
      </c>
      <c r="L56" s="129">
        <f t="shared" si="8"/>
        <v>0</v>
      </c>
      <c r="M56" s="542"/>
      <c r="N56" s="542"/>
      <c r="O56" s="542">
        <f t="shared" si="4"/>
        <v>0</v>
      </c>
    </row>
    <row r="57" spans="1:15" ht="17.25" hidden="1" customHeight="1">
      <c r="A57" s="132">
        <v>5</v>
      </c>
      <c r="B57" s="127" t="s">
        <v>883</v>
      </c>
      <c r="C57" s="127" t="s">
        <v>886</v>
      </c>
      <c r="D57" s="127" t="s">
        <v>908</v>
      </c>
      <c r="E57" s="128" t="s">
        <v>909</v>
      </c>
      <c r="F57" s="129">
        <f>-207364.48+207364.48</f>
        <v>0</v>
      </c>
      <c r="G57" s="129">
        <v>0</v>
      </c>
      <c r="H57" s="129"/>
      <c r="I57" s="129">
        <f t="shared" si="9"/>
        <v>0</v>
      </c>
      <c r="J57" s="129">
        <v>0</v>
      </c>
      <c r="K57" s="129">
        <v>0</v>
      </c>
      <c r="L57" s="129">
        <f t="shared" si="8"/>
        <v>0</v>
      </c>
      <c r="M57" s="542"/>
      <c r="N57" s="542"/>
      <c r="O57" s="542">
        <f t="shared" si="4"/>
        <v>0</v>
      </c>
    </row>
    <row r="58" spans="1:15" ht="17.25" hidden="1" customHeight="1">
      <c r="A58" s="132">
        <v>5</v>
      </c>
      <c r="B58" s="127" t="s">
        <v>883</v>
      </c>
      <c r="C58" s="127" t="s">
        <v>886</v>
      </c>
      <c r="D58" s="127" t="s">
        <v>910</v>
      </c>
      <c r="E58" s="128" t="s">
        <v>911</v>
      </c>
      <c r="F58" s="129">
        <f>-11217.5+11217.5</f>
        <v>0</v>
      </c>
      <c r="G58" s="129">
        <v>0</v>
      </c>
      <c r="H58" s="129"/>
      <c r="I58" s="129">
        <f t="shared" si="9"/>
        <v>0</v>
      </c>
      <c r="J58" s="129">
        <v>0</v>
      </c>
      <c r="K58" s="129">
        <v>0</v>
      </c>
      <c r="L58" s="129">
        <f t="shared" si="8"/>
        <v>0</v>
      </c>
      <c r="M58" s="542"/>
      <c r="N58" s="542"/>
      <c r="O58" s="542">
        <f t="shared" si="4"/>
        <v>0</v>
      </c>
    </row>
    <row r="59" spans="1:15" ht="17.25" hidden="1" customHeight="1">
      <c r="A59" s="132">
        <v>5</v>
      </c>
      <c r="B59" s="127" t="s">
        <v>883</v>
      </c>
      <c r="C59" s="127" t="s">
        <v>886</v>
      </c>
      <c r="D59" s="127" t="s">
        <v>912</v>
      </c>
      <c r="E59" s="128" t="s">
        <v>913</v>
      </c>
      <c r="F59" s="129">
        <f>105687.12-88293.32</f>
        <v>17393.799999999988</v>
      </c>
      <c r="G59" s="129">
        <v>0</v>
      </c>
      <c r="H59" s="129">
        <v>-17393.8</v>
      </c>
      <c r="I59" s="129">
        <f t="shared" si="9"/>
        <v>0</v>
      </c>
      <c r="J59" s="129">
        <v>0</v>
      </c>
      <c r="K59" s="129">
        <v>0</v>
      </c>
      <c r="L59" s="129">
        <f t="shared" si="8"/>
        <v>0</v>
      </c>
      <c r="M59" s="542"/>
      <c r="N59" s="542"/>
      <c r="O59" s="542">
        <f t="shared" si="4"/>
        <v>0</v>
      </c>
    </row>
    <row r="60" spans="1:15" ht="17.25" hidden="1" customHeight="1">
      <c r="A60" s="132">
        <v>5</v>
      </c>
      <c r="B60" s="127" t="s">
        <v>883</v>
      </c>
      <c r="C60" s="127" t="s">
        <v>886</v>
      </c>
      <c r="D60" s="127" t="s">
        <v>914</v>
      </c>
      <c r="E60" s="128" t="s">
        <v>915</v>
      </c>
      <c r="F60" s="129">
        <f>139931.23-139931.23</f>
        <v>0</v>
      </c>
      <c r="G60" s="129">
        <v>0</v>
      </c>
      <c r="H60" s="129"/>
      <c r="I60" s="129">
        <f t="shared" si="9"/>
        <v>0</v>
      </c>
      <c r="J60" s="129">
        <v>0</v>
      </c>
      <c r="K60" s="129">
        <v>0</v>
      </c>
      <c r="L60" s="129">
        <f t="shared" si="8"/>
        <v>0</v>
      </c>
      <c r="M60" s="542"/>
      <c r="N60" s="542"/>
      <c r="O60" s="542">
        <f t="shared" si="4"/>
        <v>0</v>
      </c>
    </row>
    <row r="61" spans="1:15" ht="17.25" hidden="1" customHeight="1">
      <c r="A61" s="132">
        <v>5</v>
      </c>
      <c r="B61" s="127" t="s">
        <v>883</v>
      </c>
      <c r="C61" s="127" t="s">
        <v>886</v>
      </c>
      <c r="D61" s="127" t="s">
        <v>916</v>
      </c>
      <c r="E61" s="128" t="s">
        <v>917</v>
      </c>
      <c r="F61" s="129">
        <f>93871.73-92231.23</f>
        <v>1640.5</v>
      </c>
      <c r="G61" s="129">
        <v>0</v>
      </c>
      <c r="H61" s="129">
        <v>-1640.5</v>
      </c>
      <c r="I61" s="129">
        <f t="shared" si="9"/>
        <v>0</v>
      </c>
      <c r="J61" s="129">
        <v>0</v>
      </c>
      <c r="K61" s="129">
        <v>0</v>
      </c>
      <c r="L61" s="129">
        <f t="shared" si="8"/>
        <v>0</v>
      </c>
      <c r="M61" s="542"/>
      <c r="N61" s="542"/>
      <c r="O61" s="542">
        <f t="shared" si="4"/>
        <v>0</v>
      </c>
    </row>
    <row r="62" spans="1:15" ht="17.25" hidden="1" customHeight="1">
      <c r="A62" s="132">
        <v>5</v>
      </c>
      <c r="B62" s="127" t="s">
        <v>883</v>
      </c>
      <c r="C62" s="127" t="s">
        <v>886</v>
      </c>
      <c r="D62" s="127" t="s">
        <v>918</v>
      </c>
      <c r="E62" s="128" t="s">
        <v>919</v>
      </c>
      <c r="F62" s="129">
        <f>95331.23-77831.23</f>
        <v>17500</v>
      </c>
      <c r="G62" s="129">
        <v>0</v>
      </c>
      <c r="H62" s="129">
        <v>-17500</v>
      </c>
      <c r="I62" s="129">
        <f t="shared" si="9"/>
        <v>0</v>
      </c>
      <c r="J62" s="129">
        <v>0</v>
      </c>
      <c r="K62" s="129">
        <v>0</v>
      </c>
      <c r="L62" s="129">
        <f t="shared" si="8"/>
        <v>0</v>
      </c>
      <c r="M62" s="542"/>
      <c r="N62" s="542"/>
      <c r="O62" s="542">
        <f t="shared" si="4"/>
        <v>0</v>
      </c>
    </row>
    <row r="63" spans="1:15" ht="17.25" hidden="1" customHeight="1">
      <c r="A63" s="132">
        <v>5</v>
      </c>
      <c r="B63" s="127" t="s">
        <v>883</v>
      </c>
      <c r="C63" s="127" t="s">
        <v>886</v>
      </c>
      <c r="D63" s="127" t="s">
        <v>920</v>
      </c>
      <c r="E63" s="128" t="s">
        <v>921</v>
      </c>
      <c r="F63" s="129">
        <f>263479.5-239918.82</f>
        <v>23560.679999999993</v>
      </c>
      <c r="G63" s="129">
        <v>0</v>
      </c>
      <c r="H63" s="129">
        <v>-23560.68</v>
      </c>
      <c r="I63" s="129">
        <f t="shared" si="9"/>
        <v>0</v>
      </c>
      <c r="J63" s="129">
        <v>0</v>
      </c>
      <c r="K63" s="129">
        <v>0</v>
      </c>
      <c r="L63" s="129">
        <f t="shared" si="8"/>
        <v>0</v>
      </c>
      <c r="M63" s="542"/>
      <c r="N63" s="542"/>
      <c r="O63" s="542">
        <f t="shared" si="4"/>
        <v>0</v>
      </c>
    </row>
    <row r="64" spans="1:15" ht="17.25" hidden="1" customHeight="1">
      <c r="A64" s="132">
        <v>5</v>
      </c>
      <c r="B64" s="127" t="s">
        <v>883</v>
      </c>
      <c r="C64" s="127" t="s">
        <v>886</v>
      </c>
      <c r="D64" s="127" t="s">
        <v>922</v>
      </c>
      <c r="E64" s="128" t="s">
        <v>923</v>
      </c>
      <c r="F64" s="129">
        <f>56279.01-54638.51</f>
        <v>1640.5</v>
      </c>
      <c r="G64" s="129">
        <v>0</v>
      </c>
      <c r="H64" s="129">
        <v>-1640.5</v>
      </c>
      <c r="I64" s="129">
        <f t="shared" si="9"/>
        <v>0</v>
      </c>
      <c r="J64" s="129">
        <v>0</v>
      </c>
      <c r="K64" s="129">
        <v>0</v>
      </c>
      <c r="L64" s="129">
        <f t="shared" si="8"/>
        <v>0</v>
      </c>
      <c r="M64" s="542"/>
      <c r="N64" s="542"/>
      <c r="O64" s="542">
        <f t="shared" si="4"/>
        <v>0</v>
      </c>
    </row>
    <row r="65" spans="1:44" ht="17.25" hidden="1" customHeight="1">
      <c r="A65" s="132">
        <v>5</v>
      </c>
      <c r="B65" s="127" t="s">
        <v>883</v>
      </c>
      <c r="C65" s="127" t="s">
        <v>886</v>
      </c>
      <c r="D65" s="127" t="s">
        <v>924</v>
      </c>
      <c r="E65" s="128" t="s">
        <v>925</v>
      </c>
      <c r="F65" s="129">
        <f>460794.43-434708.38</f>
        <v>26086.049999999988</v>
      </c>
      <c r="G65" s="129">
        <v>0</v>
      </c>
      <c r="H65" s="129">
        <v>-26086.05</v>
      </c>
      <c r="I65" s="129">
        <f t="shared" si="9"/>
        <v>0</v>
      </c>
      <c r="J65" s="129">
        <v>0</v>
      </c>
      <c r="K65" s="129">
        <v>0</v>
      </c>
      <c r="L65" s="129">
        <f t="shared" si="8"/>
        <v>0</v>
      </c>
      <c r="M65" s="542"/>
      <c r="N65" s="542"/>
      <c r="O65" s="542">
        <f t="shared" si="4"/>
        <v>0</v>
      </c>
    </row>
    <row r="66" spans="1:44" ht="17.25" hidden="1" customHeight="1">
      <c r="A66" s="132">
        <v>5</v>
      </c>
      <c r="B66" s="127" t="s">
        <v>883</v>
      </c>
      <c r="C66" s="127" t="s">
        <v>886</v>
      </c>
      <c r="D66" s="127" t="s">
        <v>926</v>
      </c>
      <c r="E66" s="128" t="s">
        <v>927</v>
      </c>
      <c r="F66" s="129">
        <f>173285.51-146031.61</f>
        <v>27253.900000000023</v>
      </c>
      <c r="G66" s="129">
        <v>0</v>
      </c>
      <c r="H66" s="129">
        <v>-27253.9</v>
      </c>
      <c r="I66" s="129">
        <f t="shared" si="9"/>
        <v>0</v>
      </c>
      <c r="J66" s="129">
        <v>0</v>
      </c>
      <c r="K66" s="129">
        <v>0</v>
      </c>
      <c r="L66" s="129">
        <f t="shared" si="8"/>
        <v>0</v>
      </c>
      <c r="M66" s="542"/>
      <c r="N66" s="542"/>
      <c r="O66" s="542">
        <f t="shared" si="4"/>
        <v>0</v>
      </c>
    </row>
    <row r="67" spans="1:44" ht="17.25" hidden="1" customHeight="1">
      <c r="B67" s="127">
        <v>580</v>
      </c>
      <c r="C67" s="127">
        <v>581</v>
      </c>
      <c r="D67" s="127">
        <v>5839</v>
      </c>
      <c r="E67" s="128" t="s">
        <v>645</v>
      </c>
      <c r="F67" s="129">
        <v>0</v>
      </c>
      <c r="G67" s="129">
        <v>0</v>
      </c>
      <c r="H67" s="129"/>
      <c r="I67" s="129">
        <f t="shared" si="9"/>
        <v>0</v>
      </c>
      <c r="J67" s="129">
        <v>0</v>
      </c>
      <c r="K67" s="129">
        <v>0</v>
      </c>
      <c r="L67" s="129">
        <f t="shared" si="8"/>
        <v>0</v>
      </c>
      <c r="M67" s="542"/>
      <c r="N67" s="542"/>
      <c r="O67" s="542">
        <f t="shared" si="4"/>
        <v>0</v>
      </c>
    </row>
    <row r="68" spans="1:44" ht="17.25" hidden="1" customHeight="1">
      <c r="B68" s="127">
        <v>580</v>
      </c>
      <c r="C68" s="127">
        <v>581</v>
      </c>
      <c r="D68" s="127">
        <v>5841</v>
      </c>
      <c r="E68" s="128" t="s">
        <v>928</v>
      </c>
      <c r="F68" s="129">
        <v>1640.5</v>
      </c>
      <c r="G68" s="129">
        <v>0</v>
      </c>
      <c r="H68" s="129">
        <v>-1640.5</v>
      </c>
      <c r="I68" s="129">
        <f t="shared" si="9"/>
        <v>0</v>
      </c>
      <c r="J68" s="129">
        <v>0</v>
      </c>
      <c r="K68" s="129">
        <v>0</v>
      </c>
      <c r="L68" s="129">
        <f t="shared" si="8"/>
        <v>0</v>
      </c>
      <c r="M68" s="542"/>
      <c r="N68" s="542"/>
      <c r="O68" s="542">
        <f t="shared" si="4"/>
        <v>0</v>
      </c>
    </row>
    <row r="69" spans="1:44" ht="17.25" hidden="1" customHeight="1">
      <c r="A69" s="132">
        <v>5</v>
      </c>
      <c r="B69" s="127" t="s">
        <v>883</v>
      </c>
      <c r="C69" s="127" t="s">
        <v>886</v>
      </c>
      <c r="D69" s="127" t="s">
        <v>929</v>
      </c>
      <c r="E69" s="128" t="s">
        <v>930</v>
      </c>
      <c r="F69" s="129">
        <f>-2200969.33+2200969.33</f>
        <v>0</v>
      </c>
      <c r="G69" s="129">
        <v>0</v>
      </c>
      <c r="H69" s="129"/>
      <c r="I69" s="129">
        <f t="shared" si="9"/>
        <v>0</v>
      </c>
      <c r="J69" s="129">
        <v>0</v>
      </c>
      <c r="K69" s="129">
        <v>0</v>
      </c>
      <c r="L69" s="129">
        <f t="shared" si="8"/>
        <v>0</v>
      </c>
      <c r="M69" s="542"/>
      <c r="N69" s="542"/>
      <c r="O69" s="542">
        <f t="shared" si="4"/>
        <v>0</v>
      </c>
    </row>
    <row r="70" spans="1:44" ht="17.25" customHeight="1">
      <c r="B70" s="540"/>
      <c r="C70" s="540"/>
      <c r="D70" s="540"/>
      <c r="M70" s="542"/>
      <c r="N70" s="542"/>
      <c r="O70" s="542">
        <f t="shared" si="4"/>
        <v>0</v>
      </c>
    </row>
    <row r="71" spans="1:44" ht="17.25" hidden="1" customHeight="1" thickTop="1" thickBot="1">
      <c r="B71" s="137" t="s">
        <v>2660</v>
      </c>
      <c r="C71" s="138"/>
      <c r="D71" s="136"/>
      <c r="E71" s="135" t="s">
        <v>931</v>
      </c>
      <c r="F71" s="134">
        <f>SUM(F39:F70)</f>
        <v>240026.0500000001</v>
      </c>
      <c r="G71" s="134">
        <f t="shared" ref="G71:L71" si="10">SUM(G39:G70)</f>
        <v>1250</v>
      </c>
      <c r="H71" s="134">
        <f t="shared" si="10"/>
        <v>-241276.04999999996</v>
      </c>
      <c r="I71" s="134">
        <f t="shared" si="10"/>
        <v>0</v>
      </c>
      <c r="J71" s="134">
        <f t="shared" si="10"/>
        <v>0</v>
      </c>
      <c r="K71" s="134">
        <f t="shared" si="10"/>
        <v>0</v>
      </c>
      <c r="L71" s="134">
        <f t="shared" si="10"/>
        <v>0</v>
      </c>
      <c r="M71" s="542"/>
      <c r="N71" s="542"/>
      <c r="O71" s="542">
        <f t="shared" si="4"/>
        <v>0</v>
      </c>
    </row>
    <row r="72" spans="1:44" ht="17.25" customHeight="1">
      <c r="B72" s="540"/>
      <c r="C72" s="540"/>
      <c r="D72" s="540"/>
      <c r="M72" s="542"/>
      <c r="N72" s="542"/>
      <c r="O72" s="542">
        <f t="shared" si="4"/>
        <v>0</v>
      </c>
    </row>
    <row r="73" spans="1:44" s="546" customFormat="1" ht="17.25" customHeight="1">
      <c r="A73" s="546">
        <v>5</v>
      </c>
      <c r="B73" s="127" t="s">
        <v>932</v>
      </c>
      <c r="C73" s="127" t="s">
        <v>932</v>
      </c>
      <c r="D73" s="127" t="s">
        <v>933</v>
      </c>
      <c r="E73" s="128" t="s">
        <v>934</v>
      </c>
      <c r="F73" s="129">
        <v>-704172.19</v>
      </c>
      <c r="G73" s="129">
        <v>879662.85</v>
      </c>
      <c r="H73" s="129">
        <v>-703181.35</v>
      </c>
      <c r="I73" s="129">
        <f t="shared" ref="I73:I97" si="11">SUM(F73:H73)</f>
        <v>-527690.68999999994</v>
      </c>
      <c r="J73" s="129">
        <v>3996892.52</v>
      </c>
      <c r="K73" s="129">
        <v>-3915252.92</v>
      </c>
      <c r="L73" s="129">
        <f t="shared" ref="L73:L97" si="12">+I73+J73+K73</f>
        <v>-446051.08999999985</v>
      </c>
      <c r="M73" s="129">
        <v>92163.43</v>
      </c>
      <c r="N73" s="129"/>
      <c r="O73" s="649">
        <f t="shared" si="4"/>
        <v>-353887.65999999986</v>
      </c>
      <c r="P73" s="542"/>
      <c r="Q73" s="542"/>
      <c r="R73" s="542"/>
      <c r="S73" s="542"/>
      <c r="T73" s="542"/>
      <c r="U73" s="542"/>
      <c r="V73" s="542"/>
      <c r="W73" s="542"/>
      <c r="X73" s="543"/>
      <c r="Y73" s="543"/>
      <c r="Z73" s="543"/>
      <c r="AA73" s="543"/>
      <c r="AB73" s="543"/>
      <c r="AC73" s="543"/>
      <c r="AD73" s="543"/>
      <c r="AE73" s="543"/>
      <c r="AF73" s="543"/>
      <c r="AG73" s="543"/>
      <c r="AH73" s="543"/>
      <c r="AI73" s="543"/>
      <c r="AJ73" s="543"/>
      <c r="AK73" s="543"/>
      <c r="AL73" s="543"/>
      <c r="AM73" s="543"/>
      <c r="AN73" s="543"/>
      <c r="AO73" s="543"/>
      <c r="AP73" s="543"/>
      <c r="AQ73" s="543"/>
      <c r="AR73" s="543"/>
    </row>
    <row r="74" spans="1:44" s="546" customFormat="1" ht="17.25" hidden="1" customHeight="1">
      <c r="A74" s="546">
        <v>5</v>
      </c>
      <c r="B74" s="127" t="s">
        <v>932</v>
      </c>
      <c r="C74" s="127" t="s">
        <v>932</v>
      </c>
      <c r="D74" s="127"/>
      <c r="E74" s="128" t="s">
        <v>935</v>
      </c>
      <c r="F74" s="129">
        <v>0</v>
      </c>
      <c r="G74" s="129"/>
      <c r="H74" s="129"/>
      <c r="I74" s="129">
        <f t="shared" si="11"/>
        <v>0</v>
      </c>
      <c r="J74" s="129">
        <v>0</v>
      </c>
      <c r="K74" s="129">
        <v>0</v>
      </c>
      <c r="L74" s="129">
        <f t="shared" si="12"/>
        <v>0</v>
      </c>
      <c r="M74" s="129"/>
      <c r="N74" s="129"/>
      <c r="O74" s="649">
        <f t="shared" si="4"/>
        <v>0</v>
      </c>
      <c r="P74" s="542"/>
      <c r="Q74" s="542"/>
      <c r="R74" s="542"/>
      <c r="S74" s="542"/>
      <c r="T74" s="542"/>
      <c r="U74" s="542"/>
      <c r="V74" s="542"/>
      <c r="W74" s="542"/>
      <c r="X74" s="543"/>
      <c r="Y74" s="543"/>
      <c r="Z74" s="543"/>
      <c r="AA74" s="543"/>
      <c r="AB74" s="543"/>
      <c r="AC74" s="543"/>
      <c r="AD74" s="543"/>
      <c r="AE74" s="543"/>
      <c r="AF74" s="543"/>
      <c r="AG74" s="543"/>
      <c r="AH74" s="543"/>
      <c r="AI74" s="543"/>
      <c r="AJ74" s="543"/>
      <c r="AK74" s="543"/>
      <c r="AL74" s="543"/>
      <c r="AM74" s="543"/>
      <c r="AN74" s="543"/>
      <c r="AO74" s="543"/>
      <c r="AP74" s="543"/>
      <c r="AQ74" s="543"/>
      <c r="AR74" s="543"/>
    </row>
    <row r="75" spans="1:44" s="546" customFormat="1" ht="17.25" hidden="1" customHeight="1">
      <c r="A75" s="546">
        <v>5</v>
      </c>
      <c r="B75" s="127" t="s">
        <v>932</v>
      </c>
      <c r="C75" s="127" t="s">
        <v>932</v>
      </c>
      <c r="D75" s="127" t="s">
        <v>936</v>
      </c>
      <c r="E75" s="128" t="s">
        <v>937</v>
      </c>
      <c r="F75" s="129">
        <v>0</v>
      </c>
      <c r="G75" s="129"/>
      <c r="H75" s="129"/>
      <c r="I75" s="129">
        <f t="shared" si="11"/>
        <v>0</v>
      </c>
      <c r="J75" s="129">
        <v>0</v>
      </c>
      <c r="K75" s="129">
        <v>0</v>
      </c>
      <c r="L75" s="129">
        <f t="shared" si="12"/>
        <v>0</v>
      </c>
      <c r="M75" s="129"/>
      <c r="N75" s="129"/>
      <c r="O75" s="649">
        <f t="shared" si="4"/>
        <v>0</v>
      </c>
      <c r="P75" s="542"/>
      <c r="Q75" s="542"/>
      <c r="R75" s="542"/>
      <c r="S75" s="542"/>
      <c r="T75" s="542"/>
      <c r="U75" s="542"/>
      <c r="V75" s="542"/>
      <c r="W75" s="542"/>
      <c r="X75" s="543"/>
      <c r="Y75" s="543"/>
      <c r="Z75" s="543"/>
      <c r="AA75" s="543"/>
      <c r="AB75" s="543"/>
      <c r="AC75" s="543"/>
      <c r="AD75" s="543"/>
      <c r="AE75" s="543"/>
      <c r="AF75" s="543"/>
      <c r="AG75" s="543"/>
      <c r="AH75" s="543"/>
      <c r="AI75" s="543"/>
      <c r="AJ75" s="543"/>
      <c r="AK75" s="543"/>
      <c r="AL75" s="543"/>
      <c r="AM75" s="543"/>
      <c r="AN75" s="543"/>
      <c r="AO75" s="543"/>
      <c r="AP75" s="543"/>
      <c r="AQ75" s="543"/>
      <c r="AR75" s="543"/>
    </row>
    <row r="76" spans="1:44" s="546" customFormat="1" ht="17.25" hidden="1" customHeight="1">
      <c r="A76" s="546">
        <v>5</v>
      </c>
      <c r="B76" s="127" t="s">
        <v>932</v>
      </c>
      <c r="C76" s="127" t="s">
        <v>932</v>
      </c>
      <c r="D76" s="127" t="s">
        <v>938</v>
      </c>
      <c r="E76" s="128" t="s">
        <v>939</v>
      </c>
      <c r="F76" s="129">
        <v>0</v>
      </c>
      <c r="G76" s="129"/>
      <c r="H76" s="129"/>
      <c r="I76" s="129">
        <f t="shared" si="11"/>
        <v>0</v>
      </c>
      <c r="J76" s="129">
        <v>0</v>
      </c>
      <c r="K76" s="129">
        <v>0</v>
      </c>
      <c r="L76" s="129">
        <f t="shared" si="12"/>
        <v>0</v>
      </c>
      <c r="M76" s="129"/>
      <c r="N76" s="129"/>
      <c r="O76" s="649">
        <f t="shared" si="4"/>
        <v>0</v>
      </c>
      <c r="P76" s="542"/>
      <c r="Q76" s="542"/>
      <c r="R76" s="542"/>
      <c r="S76" s="542"/>
      <c r="T76" s="542"/>
      <c r="U76" s="542"/>
      <c r="V76" s="542"/>
      <c r="W76" s="542"/>
      <c r="X76" s="543"/>
      <c r="Y76" s="543"/>
      <c r="Z76" s="543"/>
      <c r="AA76" s="543"/>
      <c r="AB76" s="543"/>
      <c r="AC76" s="543"/>
      <c r="AD76" s="543"/>
      <c r="AE76" s="543"/>
      <c r="AF76" s="543"/>
      <c r="AG76" s="543"/>
      <c r="AH76" s="543"/>
      <c r="AI76" s="543"/>
      <c r="AJ76" s="543"/>
      <c r="AK76" s="543"/>
      <c r="AL76" s="543"/>
      <c r="AM76" s="543"/>
      <c r="AN76" s="543"/>
      <c r="AO76" s="543"/>
      <c r="AP76" s="543"/>
      <c r="AQ76" s="543"/>
      <c r="AR76" s="543"/>
    </row>
    <row r="77" spans="1:44" s="546" customFormat="1" ht="17.25" hidden="1" customHeight="1">
      <c r="A77" s="546">
        <v>5</v>
      </c>
      <c r="B77" s="127" t="s">
        <v>932</v>
      </c>
      <c r="C77" s="127" t="s">
        <v>932</v>
      </c>
      <c r="D77" s="127" t="s">
        <v>940</v>
      </c>
      <c r="E77" s="128" t="s">
        <v>941</v>
      </c>
      <c r="F77" s="129">
        <v>-10000</v>
      </c>
      <c r="G77" s="129">
        <v>10000</v>
      </c>
      <c r="H77" s="129"/>
      <c r="I77" s="129">
        <f t="shared" si="11"/>
        <v>0</v>
      </c>
      <c r="J77" s="129">
        <v>0</v>
      </c>
      <c r="K77" s="129">
        <v>0</v>
      </c>
      <c r="L77" s="129">
        <f t="shared" si="12"/>
        <v>0</v>
      </c>
      <c r="M77" s="129"/>
      <c r="N77" s="129"/>
      <c r="O77" s="649">
        <f t="shared" si="4"/>
        <v>0</v>
      </c>
      <c r="P77" s="542"/>
      <c r="Q77" s="542"/>
      <c r="R77" s="542"/>
      <c r="S77" s="542"/>
      <c r="T77" s="542"/>
      <c r="U77" s="542"/>
      <c r="V77" s="542"/>
      <c r="W77" s="542"/>
      <c r="X77" s="543"/>
      <c r="Y77" s="543"/>
      <c r="Z77" s="543"/>
      <c r="AA77" s="543"/>
      <c r="AB77" s="543"/>
      <c r="AC77" s="543"/>
      <c r="AD77" s="543"/>
      <c r="AE77" s="543"/>
      <c r="AF77" s="543"/>
      <c r="AG77" s="543"/>
      <c r="AH77" s="543"/>
      <c r="AI77" s="543"/>
      <c r="AJ77" s="543"/>
      <c r="AK77" s="543"/>
      <c r="AL77" s="543"/>
      <c r="AM77" s="543"/>
      <c r="AN77" s="543"/>
      <c r="AO77" s="543"/>
      <c r="AP77" s="543"/>
      <c r="AQ77" s="543"/>
      <c r="AR77" s="543"/>
    </row>
    <row r="78" spans="1:44" s="546" customFormat="1" ht="17.25" customHeight="1">
      <c r="A78" s="546">
        <v>5</v>
      </c>
      <c r="B78" s="127" t="s">
        <v>932</v>
      </c>
      <c r="C78" s="127" t="s">
        <v>932</v>
      </c>
      <c r="D78" s="127" t="s">
        <v>942</v>
      </c>
      <c r="E78" s="128" t="s">
        <v>943</v>
      </c>
      <c r="F78" s="129">
        <v>-2756180.69</v>
      </c>
      <c r="G78" s="129">
        <v>963243.49</v>
      </c>
      <c r="H78" s="129">
        <v>0</v>
      </c>
      <c r="I78" s="129">
        <f t="shared" si="11"/>
        <v>-1792937.2</v>
      </c>
      <c r="J78" s="129">
        <v>531227.79</v>
      </c>
      <c r="K78" s="129">
        <v>0</v>
      </c>
      <c r="L78" s="129">
        <f t="shared" si="12"/>
        <v>-1261709.4099999999</v>
      </c>
      <c r="M78" s="129">
        <v>595086.85</v>
      </c>
      <c r="N78" s="129"/>
      <c r="O78" s="649">
        <f t="shared" si="4"/>
        <v>-666622.55999999994</v>
      </c>
      <c r="P78" s="542"/>
      <c r="Q78" s="542"/>
      <c r="R78" s="542"/>
      <c r="S78" s="542"/>
      <c r="T78" s="542"/>
      <c r="U78" s="542"/>
      <c r="V78" s="542"/>
      <c r="W78" s="542"/>
      <c r="X78" s="543"/>
      <c r="Y78" s="543"/>
      <c r="Z78" s="543"/>
      <c r="AA78" s="543"/>
      <c r="AB78" s="543"/>
      <c r="AC78" s="543"/>
      <c r="AD78" s="543"/>
      <c r="AE78" s="543"/>
      <c r="AF78" s="543"/>
      <c r="AG78" s="543"/>
      <c r="AH78" s="543"/>
      <c r="AI78" s="543"/>
      <c r="AJ78" s="543"/>
      <c r="AK78" s="543"/>
      <c r="AL78" s="543"/>
      <c r="AM78" s="543"/>
      <c r="AN78" s="543"/>
      <c r="AO78" s="543"/>
      <c r="AP78" s="543"/>
      <c r="AQ78" s="543"/>
      <c r="AR78" s="543"/>
    </row>
    <row r="79" spans="1:44" s="546" customFormat="1" ht="17.25" customHeight="1">
      <c r="A79" s="546">
        <v>5</v>
      </c>
      <c r="B79" s="127" t="s">
        <v>932</v>
      </c>
      <c r="C79" s="127" t="s">
        <v>932</v>
      </c>
      <c r="D79" s="127" t="s">
        <v>944</v>
      </c>
      <c r="E79" s="128" t="s">
        <v>945</v>
      </c>
      <c r="F79" s="129">
        <v>-19868.04</v>
      </c>
      <c r="G79" s="129">
        <v>19868.04</v>
      </c>
      <c r="H79" s="129"/>
      <c r="I79" s="129">
        <f t="shared" si="11"/>
        <v>0</v>
      </c>
      <c r="J79" s="129">
        <v>463514.94</v>
      </c>
      <c r="K79" s="129">
        <v>-2628051.2400000002</v>
      </c>
      <c r="L79" s="129">
        <f t="shared" si="12"/>
        <v>-2164536.3000000003</v>
      </c>
      <c r="M79" s="129">
        <v>506807.87</v>
      </c>
      <c r="N79" s="129">
        <v>-88992.18</v>
      </c>
      <c r="O79" s="649">
        <f t="shared" si="4"/>
        <v>-1746720.61</v>
      </c>
      <c r="P79" s="542"/>
      <c r="Q79" s="542"/>
      <c r="R79" s="542"/>
      <c r="S79" s="542"/>
      <c r="T79" s="542"/>
      <c r="U79" s="542"/>
      <c r="V79" s="542"/>
      <c r="W79" s="542"/>
      <c r="X79" s="543"/>
      <c r="Y79" s="543"/>
      <c r="Z79" s="543"/>
      <c r="AA79" s="543"/>
      <c r="AB79" s="543"/>
      <c r="AC79" s="543"/>
      <c r="AD79" s="543"/>
      <c r="AE79" s="543"/>
      <c r="AF79" s="543"/>
      <c r="AG79" s="543"/>
      <c r="AH79" s="543"/>
      <c r="AI79" s="543"/>
      <c r="AJ79" s="543"/>
      <c r="AK79" s="543"/>
      <c r="AL79" s="543"/>
      <c r="AM79" s="543"/>
      <c r="AN79" s="543"/>
      <c r="AO79" s="543"/>
      <c r="AP79" s="543"/>
      <c r="AQ79" s="543"/>
      <c r="AR79" s="543"/>
    </row>
    <row r="80" spans="1:44" s="546" customFormat="1" ht="17.25" customHeight="1">
      <c r="A80" s="546">
        <v>5</v>
      </c>
      <c r="B80" s="127" t="s">
        <v>932</v>
      </c>
      <c r="C80" s="127" t="s">
        <v>932</v>
      </c>
      <c r="D80" s="127" t="s">
        <v>946</v>
      </c>
      <c r="E80" s="128" t="s">
        <v>947</v>
      </c>
      <c r="F80" s="129">
        <v>-403522.09</v>
      </c>
      <c r="G80" s="129">
        <v>78860.61</v>
      </c>
      <c r="H80" s="129"/>
      <c r="I80" s="129">
        <f t="shared" si="11"/>
        <v>-324661.48000000004</v>
      </c>
      <c r="J80" s="129">
        <v>92100.24</v>
      </c>
      <c r="K80" s="129">
        <v>0</v>
      </c>
      <c r="L80" s="129">
        <f t="shared" si="12"/>
        <v>-232561.24000000005</v>
      </c>
      <c r="M80" s="129">
        <v>107375.96</v>
      </c>
      <c r="N80" s="129"/>
      <c r="O80" s="649">
        <f t="shared" si="4"/>
        <v>-125185.28000000004</v>
      </c>
      <c r="P80" s="542"/>
      <c r="Q80" s="542"/>
      <c r="R80" s="542"/>
      <c r="S80" s="542"/>
      <c r="T80" s="542"/>
      <c r="U80" s="542"/>
      <c r="V80" s="542"/>
      <c r="W80" s="542"/>
      <c r="X80" s="543"/>
      <c r="Y80" s="543"/>
      <c r="Z80" s="543"/>
      <c r="AA80" s="543"/>
      <c r="AB80" s="543"/>
      <c r="AC80" s="543"/>
      <c r="AD80" s="543"/>
      <c r="AE80" s="543"/>
      <c r="AF80" s="543"/>
      <c r="AG80" s="543"/>
      <c r="AH80" s="543"/>
      <c r="AI80" s="543"/>
      <c r="AJ80" s="543"/>
      <c r="AK80" s="543"/>
      <c r="AL80" s="543"/>
      <c r="AM80" s="543"/>
      <c r="AN80" s="543"/>
      <c r="AO80" s="543"/>
      <c r="AP80" s="543"/>
      <c r="AQ80" s="543"/>
      <c r="AR80" s="543"/>
    </row>
    <row r="81" spans="1:44" s="546" customFormat="1" ht="17.25" customHeight="1">
      <c r="A81" s="546">
        <v>5</v>
      </c>
      <c r="B81" s="127" t="s">
        <v>932</v>
      </c>
      <c r="C81" s="127" t="s">
        <v>932</v>
      </c>
      <c r="D81" s="127" t="s">
        <v>948</v>
      </c>
      <c r="E81" s="128" t="s">
        <v>949</v>
      </c>
      <c r="F81" s="129">
        <v>-951281.16</v>
      </c>
      <c r="G81" s="129">
        <v>21017.01</v>
      </c>
      <c r="H81" s="129"/>
      <c r="I81" s="129">
        <f t="shared" si="11"/>
        <v>-930264.15</v>
      </c>
      <c r="J81" s="129">
        <v>66437.740000000005</v>
      </c>
      <c r="K81" s="129">
        <v>0</v>
      </c>
      <c r="L81" s="129">
        <f t="shared" si="12"/>
        <v>-863826.41</v>
      </c>
      <c r="M81" s="129">
        <v>26264.400000000001</v>
      </c>
      <c r="N81" s="129">
        <v>-5428.52</v>
      </c>
      <c r="O81" s="649">
        <f t="shared" si="4"/>
        <v>-842990.53</v>
      </c>
      <c r="P81" s="542"/>
      <c r="Q81" s="542"/>
      <c r="R81" s="542"/>
      <c r="S81" s="542"/>
      <c r="T81" s="542"/>
      <c r="U81" s="542"/>
      <c r="V81" s="542"/>
      <c r="W81" s="542"/>
      <c r="X81" s="543"/>
      <c r="Y81" s="543"/>
      <c r="Z81" s="543"/>
      <c r="AA81" s="543"/>
      <c r="AB81" s="543"/>
      <c r="AC81" s="543"/>
      <c r="AD81" s="543"/>
      <c r="AE81" s="543"/>
      <c r="AF81" s="543"/>
      <c r="AG81" s="543"/>
      <c r="AH81" s="543"/>
      <c r="AI81" s="543"/>
      <c r="AJ81" s="543"/>
      <c r="AK81" s="543"/>
      <c r="AL81" s="543"/>
      <c r="AM81" s="543"/>
      <c r="AN81" s="543"/>
      <c r="AO81" s="543"/>
      <c r="AP81" s="543"/>
      <c r="AQ81" s="543"/>
      <c r="AR81" s="543"/>
    </row>
    <row r="82" spans="1:44" s="546" customFormat="1" ht="17.25" hidden="1" customHeight="1">
      <c r="A82" s="546">
        <v>5</v>
      </c>
      <c r="B82" s="127" t="s">
        <v>932</v>
      </c>
      <c r="C82" s="127" t="s">
        <v>932</v>
      </c>
      <c r="D82" s="127" t="s">
        <v>950</v>
      </c>
      <c r="E82" s="128" t="s">
        <v>951</v>
      </c>
      <c r="F82" s="129">
        <v>0</v>
      </c>
      <c r="G82" s="129">
        <v>0</v>
      </c>
      <c r="H82" s="129"/>
      <c r="I82" s="129">
        <f t="shared" si="11"/>
        <v>0</v>
      </c>
      <c r="J82" s="129">
        <v>0</v>
      </c>
      <c r="K82" s="129">
        <v>0</v>
      </c>
      <c r="L82" s="129">
        <f t="shared" si="12"/>
        <v>0</v>
      </c>
      <c r="M82" s="129"/>
      <c r="N82" s="129"/>
      <c r="O82" s="649">
        <f t="shared" si="4"/>
        <v>0</v>
      </c>
      <c r="P82" s="542"/>
      <c r="Q82" s="542"/>
      <c r="R82" s="542"/>
      <c r="S82" s="542"/>
      <c r="T82" s="542"/>
      <c r="U82" s="542"/>
      <c r="V82" s="542"/>
      <c r="W82" s="542"/>
      <c r="X82" s="543"/>
      <c r="Y82" s="543"/>
      <c r="Z82" s="543"/>
      <c r="AA82" s="543"/>
      <c r="AB82" s="543"/>
      <c r="AC82" s="543"/>
      <c r="AD82" s="543"/>
      <c r="AE82" s="543"/>
      <c r="AF82" s="543"/>
      <c r="AG82" s="543"/>
      <c r="AH82" s="543"/>
      <c r="AI82" s="543"/>
      <c r="AJ82" s="543"/>
      <c r="AK82" s="543"/>
      <c r="AL82" s="543"/>
      <c r="AM82" s="543"/>
      <c r="AN82" s="543"/>
      <c r="AO82" s="543"/>
      <c r="AP82" s="543"/>
      <c r="AQ82" s="543"/>
      <c r="AR82" s="543"/>
    </row>
    <row r="83" spans="1:44" s="546" customFormat="1" ht="17.25" hidden="1" customHeight="1">
      <c r="A83" s="546">
        <v>5</v>
      </c>
      <c r="B83" s="127" t="s">
        <v>932</v>
      </c>
      <c r="C83" s="127" t="s">
        <v>932</v>
      </c>
      <c r="D83" s="127" t="s">
        <v>952</v>
      </c>
      <c r="E83" s="128" t="s">
        <v>953</v>
      </c>
      <c r="F83" s="129">
        <v>0</v>
      </c>
      <c r="G83" s="129">
        <v>0</v>
      </c>
      <c r="H83" s="129"/>
      <c r="I83" s="129">
        <f t="shared" si="11"/>
        <v>0</v>
      </c>
      <c r="J83" s="129">
        <v>0</v>
      </c>
      <c r="K83" s="129">
        <v>0</v>
      </c>
      <c r="L83" s="129">
        <f t="shared" si="12"/>
        <v>0</v>
      </c>
      <c r="M83" s="129"/>
      <c r="N83" s="129"/>
      <c r="O83" s="649">
        <f t="shared" si="4"/>
        <v>0</v>
      </c>
      <c r="P83" s="542"/>
      <c r="Q83" s="542"/>
      <c r="R83" s="542"/>
      <c r="S83" s="542"/>
      <c r="T83" s="542"/>
      <c r="U83" s="542"/>
      <c r="V83" s="542"/>
      <c r="W83" s="542"/>
      <c r="X83" s="543"/>
      <c r="Y83" s="543"/>
      <c r="Z83" s="543"/>
      <c r="AA83" s="543"/>
      <c r="AB83" s="543"/>
      <c r="AC83" s="543"/>
      <c r="AD83" s="543"/>
      <c r="AE83" s="543"/>
      <c r="AF83" s="543"/>
      <c r="AG83" s="543"/>
      <c r="AH83" s="543"/>
      <c r="AI83" s="543"/>
      <c r="AJ83" s="543"/>
      <c r="AK83" s="543"/>
      <c r="AL83" s="543"/>
      <c r="AM83" s="543"/>
      <c r="AN83" s="543"/>
      <c r="AO83" s="543"/>
      <c r="AP83" s="543"/>
      <c r="AQ83" s="543"/>
      <c r="AR83" s="543"/>
    </row>
    <row r="84" spans="1:44" s="546" customFormat="1" ht="17.25" customHeight="1">
      <c r="A84" s="546">
        <v>5</v>
      </c>
      <c r="B84" s="127" t="s">
        <v>932</v>
      </c>
      <c r="C84" s="127" t="s">
        <v>932</v>
      </c>
      <c r="D84" s="127" t="s">
        <v>954</v>
      </c>
      <c r="E84" s="128" t="s">
        <v>955</v>
      </c>
      <c r="F84" s="129">
        <v>-420630.21</v>
      </c>
      <c r="G84" s="129">
        <v>78715.210000000006</v>
      </c>
      <c r="H84" s="129"/>
      <c r="I84" s="129">
        <f t="shared" si="11"/>
        <v>-341915</v>
      </c>
      <c r="J84" s="129">
        <v>101305.7</v>
      </c>
      <c r="K84" s="129">
        <v>0</v>
      </c>
      <c r="L84" s="129">
        <f t="shared" si="12"/>
        <v>-240609.3</v>
      </c>
      <c r="M84" s="129">
        <v>113483.68</v>
      </c>
      <c r="N84" s="129"/>
      <c r="O84" s="649">
        <f t="shared" si="4"/>
        <v>-127125.62</v>
      </c>
      <c r="P84" s="542"/>
      <c r="Q84" s="542"/>
      <c r="R84" s="542"/>
      <c r="S84" s="542"/>
      <c r="T84" s="542"/>
      <c r="U84" s="542"/>
      <c r="V84" s="542"/>
      <c r="W84" s="542"/>
      <c r="X84" s="543"/>
      <c r="Y84" s="543"/>
      <c r="Z84" s="543"/>
      <c r="AA84" s="543"/>
      <c r="AB84" s="543"/>
      <c r="AC84" s="543"/>
      <c r="AD84" s="543"/>
      <c r="AE84" s="543"/>
      <c r="AF84" s="543"/>
      <c r="AG84" s="543"/>
      <c r="AH84" s="543"/>
      <c r="AI84" s="543"/>
      <c r="AJ84" s="543"/>
      <c r="AK84" s="543"/>
      <c r="AL84" s="543"/>
      <c r="AM84" s="543"/>
      <c r="AN84" s="543"/>
      <c r="AO84" s="543"/>
      <c r="AP84" s="543"/>
      <c r="AQ84" s="543"/>
      <c r="AR84" s="543"/>
    </row>
    <row r="85" spans="1:44" s="546" customFormat="1" ht="17.25" hidden="1" customHeight="1">
      <c r="A85" s="546">
        <v>5</v>
      </c>
      <c r="B85" s="127" t="s">
        <v>932</v>
      </c>
      <c r="C85" s="127" t="s">
        <v>932</v>
      </c>
      <c r="D85" s="127" t="s">
        <v>956</v>
      </c>
      <c r="E85" s="128" t="s">
        <v>957</v>
      </c>
      <c r="F85" s="129">
        <v>0</v>
      </c>
      <c r="G85" s="129">
        <v>0</v>
      </c>
      <c r="H85" s="129"/>
      <c r="I85" s="129">
        <f t="shared" si="11"/>
        <v>0</v>
      </c>
      <c r="J85" s="129">
        <v>0</v>
      </c>
      <c r="K85" s="129">
        <v>0</v>
      </c>
      <c r="L85" s="129">
        <f t="shared" si="12"/>
        <v>0</v>
      </c>
      <c r="M85" s="129"/>
      <c r="N85" s="129"/>
      <c r="O85" s="649">
        <f t="shared" si="4"/>
        <v>0</v>
      </c>
      <c r="P85" s="542"/>
      <c r="Q85" s="542"/>
      <c r="R85" s="542"/>
      <c r="S85" s="542"/>
      <c r="T85" s="542"/>
      <c r="U85" s="542"/>
      <c r="V85" s="542"/>
      <c r="W85" s="542"/>
      <c r="X85" s="543"/>
      <c r="Y85" s="543"/>
      <c r="Z85" s="543"/>
      <c r="AA85" s="543"/>
      <c r="AB85" s="543"/>
      <c r="AC85" s="543"/>
      <c r="AD85" s="543"/>
      <c r="AE85" s="543"/>
      <c r="AF85" s="543"/>
      <c r="AG85" s="543"/>
      <c r="AH85" s="543"/>
      <c r="AI85" s="543"/>
      <c r="AJ85" s="543"/>
      <c r="AK85" s="543"/>
      <c r="AL85" s="543"/>
      <c r="AM85" s="543"/>
      <c r="AN85" s="543"/>
      <c r="AO85" s="543"/>
      <c r="AP85" s="543"/>
      <c r="AQ85" s="543"/>
      <c r="AR85" s="543"/>
    </row>
    <row r="86" spans="1:44" s="546" customFormat="1" ht="17.25" customHeight="1">
      <c r="A86" s="546">
        <v>5</v>
      </c>
      <c r="B86" s="127" t="s">
        <v>932</v>
      </c>
      <c r="C86" s="127" t="s">
        <v>932</v>
      </c>
      <c r="D86" s="127" t="s">
        <v>958</v>
      </c>
      <c r="E86" s="128" t="s">
        <v>959</v>
      </c>
      <c r="F86" s="129">
        <v>-1323360.76</v>
      </c>
      <c r="G86" s="129">
        <v>247648.93</v>
      </c>
      <c r="H86" s="129"/>
      <c r="I86" s="129">
        <f t="shared" si="11"/>
        <v>-1075711.83</v>
      </c>
      <c r="J86" s="129">
        <v>318721.71999999997</v>
      </c>
      <c r="K86" s="129">
        <v>0</v>
      </c>
      <c r="L86" s="129">
        <f t="shared" si="12"/>
        <v>-756990.1100000001</v>
      </c>
      <c r="M86" s="129">
        <v>357035.36</v>
      </c>
      <c r="N86" s="129"/>
      <c r="O86" s="649">
        <f t="shared" si="4"/>
        <v>-399954.75000000012</v>
      </c>
      <c r="P86" s="542"/>
      <c r="Q86" s="542"/>
      <c r="R86" s="542"/>
      <c r="S86" s="542"/>
      <c r="T86" s="542"/>
      <c r="U86" s="542"/>
      <c r="V86" s="542"/>
      <c r="W86" s="542"/>
      <c r="X86" s="543"/>
      <c r="Y86" s="543"/>
      <c r="Z86" s="543"/>
      <c r="AA86" s="543"/>
      <c r="AB86" s="543"/>
      <c r="AC86" s="543"/>
      <c r="AD86" s="543"/>
      <c r="AE86" s="543"/>
      <c r="AF86" s="543"/>
      <c r="AG86" s="543"/>
      <c r="AH86" s="543"/>
      <c r="AI86" s="543"/>
      <c r="AJ86" s="543"/>
      <c r="AK86" s="543"/>
      <c r="AL86" s="543"/>
      <c r="AM86" s="543"/>
      <c r="AN86" s="543"/>
      <c r="AO86" s="543"/>
      <c r="AP86" s="543"/>
      <c r="AQ86" s="543"/>
      <c r="AR86" s="543"/>
    </row>
    <row r="87" spans="1:44" s="546" customFormat="1" ht="17.25" hidden="1" customHeight="1">
      <c r="A87" s="546">
        <v>5</v>
      </c>
      <c r="B87" s="127" t="s">
        <v>932</v>
      </c>
      <c r="C87" s="127" t="s">
        <v>932</v>
      </c>
      <c r="D87" s="127" t="s">
        <v>960</v>
      </c>
      <c r="E87" s="128" t="s">
        <v>961</v>
      </c>
      <c r="F87" s="129">
        <v>0</v>
      </c>
      <c r="G87" s="129">
        <v>0</v>
      </c>
      <c r="H87" s="129"/>
      <c r="I87" s="129">
        <f t="shared" si="11"/>
        <v>0</v>
      </c>
      <c r="J87" s="129">
        <v>0</v>
      </c>
      <c r="K87" s="129">
        <v>0</v>
      </c>
      <c r="L87" s="129">
        <f t="shared" si="12"/>
        <v>0</v>
      </c>
      <c r="M87" s="129"/>
      <c r="N87" s="129"/>
      <c r="O87" s="649">
        <f t="shared" si="4"/>
        <v>0</v>
      </c>
      <c r="P87" s="542"/>
      <c r="Q87" s="542"/>
      <c r="R87" s="542"/>
      <c r="S87" s="542"/>
      <c r="T87" s="542"/>
      <c r="U87" s="542"/>
      <c r="V87" s="542"/>
      <c r="W87" s="542"/>
      <c r="X87" s="543"/>
      <c r="Y87" s="543"/>
      <c r="Z87" s="543"/>
      <c r="AA87" s="543"/>
      <c r="AB87" s="543"/>
      <c r="AC87" s="543"/>
      <c r="AD87" s="543"/>
      <c r="AE87" s="543"/>
      <c r="AF87" s="543"/>
      <c r="AG87" s="543"/>
      <c r="AH87" s="543"/>
      <c r="AI87" s="543"/>
      <c r="AJ87" s="543"/>
      <c r="AK87" s="543"/>
      <c r="AL87" s="543"/>
      <c r="AM87" s="543"/>
      <c r="AN87" s="543"/>
      <c r="AO87" s="543"/>
      <c r="AP87" s="543"/>
      <c r="AQ87" s="543"/>
      <c r="AR87" s="543"/>
    </row>
    <row r="88" spans="1:44" s="546" customFormat="1" ht="17.25" customHeight="1">
      <c r="A88" s="546">
        <v>5</v>
      </c>
      <c r="B88" s="127" t="s">
        <v>932</v>
      </c>
      <c r="C88" s="127" t="s">
        <v>932</v>
      </c>
      <c r="D88" s="127" t="s">
        <v>962</v>
      </c>
      <c r="E88" s="128" t="s">
        <v>963</v>
      </c>
      <c r="F88" s="129">
        <v>-1580177</v>
      </c>
      <c r="G88" s="129">
        <v>34911.440000000002</v>
      </c>
      <c r="H88" s="129"/>
      <c r="I88" s="129">
        <f t="shared" si="11"/>
        <v>-1545265.56</v>
      </c>
      <c r="J88" s="129">
        <v>110359.99</v>
      </c>
      <c r="K88" s="129">
        <v>0</v>
      </c>
      <c r="L88" s="129">
        <f t="shared" si="12"/>
        <v>-1434905.57</v>
      </c>
      <c r="M88" s="129">
        <v>43627.9</v>
      </c>
      <c r="N88" s="129">
        <v>-9017.34</v>
      </c>
      <c r="O88" s="649">
        <f t="shared" si="4"/>
        <v>-1400295.0100000002</v>
      </c>
      <c r="P88" s="542"/>
      <c r="Q88" s="542"/>
      <c r="R88" s="542"/>
      <c r="S88" s="542"/>
      <c r="T88" s="542"/>
      <c r="U88" s="542"/>
      <c r="V88" s="542"/>
      <c r="W88" s="542"/>
      <c r="X88" s="543"/>
      <c r="Y88" s="543"/>
      <c r="Z88" s="543"/>
      <c r="AA88" s="543"/>
      <c r="AB88" s="543"/>
      <c r="AC88" s="543"/>
      <c r="AD88" s="543"/>
      <c r="AE88" s="543"/>
      <c r="AF88" s="543"/>
      <c r="AG88" s="543"/>
      <c r="AH88" s="543"/>
      <c r="AI88" s="543"/>
      <c r="AJ88" s="543"/>
      <c r="AK88" s="543"/>
      <c r="AL88" s="543"/>
      <c r="AM88" s="543"/>
      <c r="AN88" s="543"/>
      <c r="AO88" s="543"/>
      <c r="AP88" s="543"/>
      <c r="AQ88" s="543"/>
      <c r="AR88" s="543"/>
    </row>
    <row r="89" spans="1:44" s="546" customFormat="1" ht="17.25" customHeight="1">
      <c r="B89" s="127">
        <v>600</v>
      </c>
      <c r="C89" s="127">
        <v>600</v>
      </c>
      <c r="D89" s="127">
        <v>6042</v>
      </c>
      <c r="E89" s="128" t="s">
        <v>646</v>
      </c>
      <c r="F89" s="129">
        <v>-1016202.54</v>
      </c>
      <c r="G89" s="129">
        <v>249448.94</v>
      </c>
      <c r="H89" s="129"/>
      <c r="I89" s="129">
        <f t="shared" si="11"/>
        <v>-766753.60000000009</v>
      </c>
      <c r="J89" s="129">
        <v>227180.76</v>
      </c>
      <c r="K89" s="129">
        <v>0</v>
      </c>
      <c r="L89" s="129">
        <f t="shared" si="12"/>
        <v>-539572.84000000008</v>
      </c>
      <c r="M89" s="129">
        <v>254490.22</v>
      </c>
      <c r="N89" s="129"/>
      <c r="O89" s="649">
        <f>L89+M89+N89</f>
        <v>-285082.62000000011</v>
      </c>
      <c r="P89" s="542"/>
      <c r="Q89" s="542"/>
      <c r="R89" s="542"/>
      <c r="S89" s="542"/>
      <c r="T89" s="542"/>
      <c r="U89" s="542"/>
      <c r="V89" s="542"/>
      <c r="W89" s="542"/>
      <c r="X89" s="543"/>
      <c r="Y89" s="543"/>
      <c r="Z89" s="543"/>
      <c r="AA89" s="543"/>
      <c r="AB89" s="543"/>
      <c r="AC89" s="543"/>
      <c r="AD89" s="543"/>
      <c r="AE89" s="543"/>
      <c r="AF89" s="543"/>
      <c r="AG89" s="543"/>
      <c r="AH89" s="543"/>
      <c r="AI89" s="543"/>
      <c r="AJ89" s="543"/>
      <c r="AK89" s="543"/>
      <c r="AL89" s="543"/>
      <c r="AM89" s="543"/>
      <c r="AN89" s="543"/>
      <c r="AO89" s="543"/>
      <c r="AP89" s="543"/>
      <c r="AQ89" s="543"/>
      <c r="AR89" s="543"/>
    </row>
    <row r="90" spans="1:44" s="546" customFormat="1" ht="17.25" customHeight="1">
      <c r="B90" s="127">
        <v>600</v>
      </c>
      <c r="C90" s="127">
        <v>600</v>
      </c>
      <c r="D90" s="127">
        <v>6043</v>
      </c>
      <c r="E90" s="128" t="s">
        <v>647</v>
      </c>
      <c r="F90" s="129">
        <v>0</v>
      </c>
      <c r="G90" s="129">
        <v>8849.16</v>
      </c>
      <c r="H90" s="129">
        <v>-1702295.01</v>
      </c>
      <c r="I90" s="129">
        <f t="shared" si="11"/>
        <v>-1693445.85</v>
      </c>
      <c r="J90" s="129">
        <v>0</v>
      </c>
      <c r="K90" s="129">
        <v>-4621092.88</v>
      </c>
      <c r="L90" s="129">
        <f t="shared" si="12"/>
        <v>-6314538.7300000004</v>
      </c>
      <c r="M90" s="129">
        <v>249325.28</v>
      </c>
      <c r="N90" s="129">
        <v>-558715.12</v>
      </c>
      <c r="O90" s="649">
        <f>L90+M90+N90</f>
        <v>-6623928.5700000003</v>
      </c>
      <c r="P90" s="542"/>
      <c r="Q90" s="542"/>
      <c r="R90" s="542"/>
      <c r="S90" s="542"/>
      <c r="T90" s="542"/>
      <c r="U90" s="542"/>
      <c r="V90" s="542"/>
      <c r="W90" s="542"/>
      <c r="X90" s="543"/>
      <c r="Y90" s="543"/>
      <c r="Z90" s="543"/>
      <c r="AA90" s="543"/>
      <c r="AB90" s="543"/>
      <c r="AC90" s="543"/>
      <c r="AD90" s="543"/>
      <c r="AE90" s="543"/>
      <c r="AF90" s="543"/>
      <c r="AG90" s="543"/>
      <c r="AH90" s="543"/>
      <c r="AI90" s="543"/>
      <c r="AJ90" s="543"/>
      <c r="AK90" s="543"/>
      <c r="AL90" s="543"/>
      <c r="AM90" s="543"/>
      <c r="AN90" s="543"/>
      <c r="AO90" s="543"/>
      <c r="AP90" s="543"/>
      <c r="AQ90" s="543"/>
      <c r="AR90" s="543"/>
    </row>
    <row r="91" spans="1:44" s="546" customFormat="1" ht="17.25" customHeight="1">
      <c r="B91" s="127"/>
      <c r="C91" s="127"/>
      <c r="D91" s="127">
        <v>6046</v>
      </c>
      <c r="E91" s="128" t="s">
        <v>2727</v>
      </c>
      <c r="F91" s="129"/>
      <c r="G91" s="129"/>
      <c r="H91" s="129"/>
      <c r="I91" s="129"/>
      <c r="J91" s="129"/>
      <c r="K91" s="129">
        <v>-5184247.26</v>
      </c>
      <c r="L91" s="129">
        <f>+I91+J91+K91</f>
        <v>-5184247.26</v>
      </c>
      <c r="M91" s="129">
        <v>259285.24</v>
      </c>
      <c r="N91" s="129">
        <v>-1048206.89</v>
      </c>
      <c r="O91" s="649">
        <f>L91+M91+N91</f>
        <v>-5973168.9099999992</v>
      </c>
      <c r="P91" s="542"/>
      <c r="Q91" s="542"/>
      <c r="R91" s="542"/>
      <c r="S91" s="542"/>
      <c r="T91" s="542"/>
      <c r="U91" s="542"/>
      <c r="V91" s="542"/>
      <c r="W91" s="542"/>
      <c r="X91" s="543"/>
      <c r="Y91" s="543"/>
      <c r="Z91" s="543"/>
      <c r="AA91" s="543"/>
      <c r="AB91" s="543"/>
      <c r="AC91" s="543"/>
      <c r="AD91" s="543"/>
      <c r="AE91" s="543"/>
      <c r="AF91" s="543"/>
      <c r="AG91" s="543"/>
      <c r="AH91" s="543"/>
      <c r="AI91" s="543"/>
      <c r="AJ91" s="543"/>
      <c r="AK91" s="543"/>
      <c r="AL91" s="543"/>
      <c r="AM91" s="543"/>
      <c r="AN91" s="543"/>
      <c r="AO91" s="543"/>
      <c r="AP91" s="543"/>
      <c r="AQ91" s="543"/>
      <c r="AR91" s="543"/>
    </row>
    <row r="92" spans="1:44" s="546" customFormat="1" ht="17.25" customHeight="1">
      <c r="B92" s="531"/>
      <c r="C92" s="531"/>
      <c r="D92" s="154"/>
      <c r="E92" s="155"/>
      <c r="F92" s="156"/>
      <c r="G92" s="156"/>
      <c r="H92" s="156"/>
      <c r="I92" s="156"/>
      <c r="J92" s="156"/>
      <c r="K92" s="156"/>
      <c r="L92" s="532"/>
      <c r="N92" s="547"/>
      <c r="O92" s="650"/>
      <c r="P92" s="542"/>
      <c r="Q92" s="542"/>
      <c r="R92" s="542"/>
      <c r="S92" s="542"/>
      <c r="T92" s="542"/>
      <c r="U92" s="542"/>
      <c r="V92" s="542"/>
      <c r="W92" s="542"/>
      <c r="X92" s="543"/>
      <c r="Y92" s="543"/>
      <c r="Z92" s="543"/>
      <c r="AA92" s="543"/>
      <c r="AB92" s="543"/>
      <c r="AC92" s="543"/>
      <c r="AD92" s="543"/>
      <c r="AE92" s="543"/>
      <c r="AF92" s="543"/>
      <c r="AG92" s="543"/>
      <c r="AH92" s="543"/>
      <c r="AI92" s="543"/>
      <c r="AJ92" s="543"/>
      <c r="AK92" s="543"/>
      <c r="AL92" s="543"/>
      <c r="AM92" s="543"/>
      <c r="AN92" s="543"/>
      <c r="AO92" s="543"/>
      <c r="AP92" s="543"/>
      <c r="AQ92" s="543"/>
      <c r="AR92" s="543"/>
    </row>
    <row r="93" spans="1:44" s="546" customFormat="1" ht="17.25" customHeight="1">
      <c r="B93" s="127"/>
      <c r="C93" s="127"/>
      <c r="D93" s="154"/>
      <c r="E93" s="155"/>
      <c r="F93" s="156"/>
      <c r="G93" s="156"/>
      <c r="H93" s="156"/>
      <c r="I93" s="156"/>
      <c r="J93" s="156"/>
      <c r="K93" s="156"/>
      <c r="L93" s="129"/>
      <c r="N93" s="547"/>
      <c r="O93" s="650"/>
      <c r="P93" s="542"/>
      <c r="Q93" s="542"/>
      <c r="R93" s="542"/>
      <c r="S93" s="542"/>
      <c r="T93" s="542"/>
      <c r="U93" s="542"/>
      <c r="V93" s="542"/>
      <c r="W93" s="542"/>
      <c r="X93" s="543"/>
      <c r="Y93" s="543"/>
      <c r="Z93" s="543"/>
      <c r="AA93" s="543"/>
      <c r="AB93" s="543"/>
      <c r="AC93" s="543"/>
      <c r="AD93" s="543"/>
      <c r="AE93" s="543"/>
      <c r="AF93" s="543"/>
      <c r="AG93" s="543"/>
      <c r="AH93" s="543"/>
      <c r="AI93" s="543"/>
      <c r="AJ93" s="543"/>
      <c r="AK93" s="543"/>
      <c r="AL93" s="543"/>
      <c r="AM93" s="543"/>
      <c r="AN93" s="543"/>
      <c r="AO93" s="543"/>
      <c r="AP93" s="543"/>
      <c r="AQ93" s="543"/>
      <c r="AR93" s="543"/>
    </row>
    <row r="94" spans="1:44" s="546" customFormat="1" ht="17.25" customHeight="1">
      <c r="B94" s="127"/>
      <c r="C94" s="127"/>
      <c r="D94" s="154"/>
      <c r="E94" s="155"/>
      <c r="F94" s="156"/>
      <c r="G94" s="156"/>
      <c r="H94" s="156"/>
      <c r="I94" s="156"/>
      <c r="J94" s="156"/>
      <c r="K94" s="156"/>
      <c r="L94" s="129"/>
      <c r="N94" s="547"/>
      <c r="O94" s="650"/>
      <c r="P94" s="542"/>
      <c r="Q94" s="542"/>
      <c r="R94" s="542"/>
      <c r="S94" s="542"/>
      <c r="T94" s="542"/>
      <c r="U94" s="542"/>
      <c r="V94" s="542"/>
      <c r="W94" s="542"/>
      <c r="X94" s="543"/>
      <c r="Y94" s="543"/>
      <c r="Z94" s="543"/>
      <c r="AA94" s="543"/>
      <c r="AB94" s="543"/>
      <c r="AC94" s="543"/>
      <c r="AD94" s="543"/>
      <c r="AE94" s="543"/>
      <c r="AF94" s="543"/>
      <c r="AG94" s="543"/>
      <c r="AH94" s="543"/>
      <c r="AI94" s="543"/>
      <c r="AJ94" s="543"/>
      <c r="AK94" s="543"/>
      <c r="AL94" s="543"/>
      <c r="AM94" s="543"/>
      <c r="AN94" s="543"/>
      <c r="AO94" s="543"/>
      <c r="AP94" s="543"/>
      <c r="AQ94" s="543"/>
      <c r="AR94" s="543"/>
    </row>
    <row r="95" spans="1:44" s="546" customFormat="1" ht="17.25" customHeight="1">
      <c r="B95" s="127"/>
      <c r="C95" s="127"/>
      <c r="D95" s="154"/>
      <c r="E95" s="155"/>
      <c r="F95" s="156"/>
      <c r="G95" s="156"/>
      <c r="H95" s="156"/>
      <c r="I95" s="156"/>
      <c r="J95" s="156"/>
      <c r="K95" s="156"/>
      <c r="L95" s="129"/>
      <c r="N95" s="547"/>
      <c r="O95" s="650"/>
      <c r="P95" s="542"/>
      <c r="Q95" s="542"/>
      <c r="R95" s="542"/>
      <c r="S95" s="542"/>
      <c r="T95" s="542"/>
      <c r="U95" s="542"/>
      <c r="V95" s="542"/>
      <c r="W95" s="542"/>
      <c r="X95" s="543"/>
      <c r="Y95" s="543"/>
      <c r="Z95" s="543"/>
      <c r="AA95" s="543"/>
      <c r="AB95" s="543"/>
      <c r="AC95" s="543"/>
      <c r="AD95" s="543"/>
      <c r="AE95" s="543"/>
      <c r="AF95" s="543"/>
      <c r="AG95" s="543"/>
      <c r="AH95" s="543"/>
      <c r="AI95" s="543"/>
      <c r="AJ95" s="543"/>
      <c r="AK95" s="543"/>
      <c r="AL95" s="543"/>
      <c r="AM95" s="543"/>
      <c r="AN95" s="543"/>
      <c r="AO95" s="543"/>
      <c r="AP95" s="543"/>
      <c r="AQ95" s="543"/>
      <c r="AR95" s="543"/>
    </row>
    <row r="96" spans="1:44" s="546" customFormat="1" ht="17.25" customHeight="1">
      <c r="B96" s="127">
        <v>600</v>
      </c>
      <c r="C96" s="127">
        <v>600</v>
      </c>
      <c r="D96" s="127">
        <v>6044</v>
      </c>
      <c r="E96" s="128" t="s">
        <v>2009</v>
      </c>
      <c r="F96" s="129"/>
      <c r="G96" s="129">
        <v>134125.6</v>
      </c>
      <c r="H96" s="129">
        <v>-2262640.62</v>
      </c>
      <c r="I96" s="129">
        <f t="shared" si="11"/>
        <v>-2128515.02</v>
      </c>
      <c r="J96" s="129">
        <v>0</v>
      </c>
      <c r="K96" s="129">
        <v>-61763.76</v>
      </c>
      <c r="L96" s="129">
        <f t="shared" si="12"/>
        <v>-2190278.7799999998</v>
      </c>
      <c r="M96" s="129">
        <v>1239686.4099999999</v>
      </c>
      <c r="N96" s="131">
        <v>0</v>
      </c>
      <c r="O96" s="649">
        <f>L96+M96+N96</f>
        <v>-950592.36999999988</v>
      </c>
      <c r="P96" s="542"/>
      <c r="Q96" s="542"/>
      <c r="R96" s="542"/>
      <c r="S96" s="542"/>
      <c r="T96" s="542"/>
      <c r="U96" s="542"/>
      <c r="V96" s="542"/>
      <c r="W96" s="542"/>
      <c r="X96" s="543"/>
      <c r="Y96" s="543"/>
      <c r="Z96" s="543"/>
      <c r="AA96" s="543"/>
      <c r="AB96" s="543"/>
      <c r="AC96" s="543"/>
      <c r="AD96" s="543"/>
      <c r="AE96" s="543"/>
      <c r="AF96" s="543"/>
      <c r="AG96" s="543"/>
      <c r="AH96" s="543"/>
      <c r="AI96" s="543"/>
      <c r="AJ96" s="543"/>
      <c r="AK96" s="543"/>
      <c r="AL96" s="543"/>
      <c r="AM96" s="543"/>
      <c r="AN96" s="543"/>
      <c r="AO96" s="543"/>
      <c r="AP96" s="543"/>
      <c r="AQ96" s="543"/>
      <c r="AR96" s="543"/>
    </row>
    <row r="97" spans="1:44" s="546" customFormat="1" ht="17.25" customHeight="1">
      <c r="B97" s="127">
        <v>600</v>
      </c>
      <c r="C97" s="127">
        <v>600</v>
      </c>
      <c r="D97" s="127">
        <v>6045</v>
      </c>
      <c r="E97" s="128" t="s">
        <v>2014</v>
      </c>
      <c r="F97" s="129">
        <v>0</v>
      </c>
      <c r="G97" s="129">
        <v>1798.12</v>
      </c>
      <c r="H97" s="129">
        <v>-109965.51</v>
      </c>
      <c r="I97" s="129">
        <f t="shared" si="11"/>
        <v>-108167.39</v>
      </c>
      <c r="J97" s="129">
        <v>108167.39</v>
      </c>
      <c r="K97" s="129">
        <v>0</v>
      </c>
      <c r="L97" s="129">
        <f t="shared" si="12"/>
        <v>0</v>
      </c>
      <c r="M97" s="131"/>
      <c r="N97" s="131"/>
      <c r="O97" s="649">
        <f>L97+M97+N97</f>
        <v>0</v>
      </c>
      <c r="P97" s="542"/>
      <c r="Q97" s="542"/>
      <c r="R97" s="542"/>
      <c r="S97" s="542"/>
      <c r="T97" s="542"/>
      <c r="U97" s="542"/>
      <c r="V97" s="542"/>
      <c r="W97" s="542"/>
      <c r="X97" s="543"/>
      <c r="Y97" s="543"/>
      <c r="Z97" s="543"/>
      <c r="AA97" s="543"/>
      <c r="AB97" s="543"/>
      <c r="AC97" s="543"/>
      <c r="AD97" s="543"/>
      <c r="AE97" s="543"/>
      <c r="AF97" s="543"/>
      <c r="AG97" s="543"/>
      <c r="AH97" s="543"/>
      <c r="AI97" s="543"/>
      <c r="AJ97" s="543"/>
      <c r="AK97" s="543"/>
      <c r="AL97" s="543"/>
      <c r="AM97" s="543"/>
      <c r="AN97" s="543"/>
      <c r="AO97" s="543"/>
      <c r="AP97" s="543"/>
      <c r="AQ97" s="543"/>
      <c r="AR97" s="543"/>
    </row>
    <row r="98" spans="1:44" s="546" customFormat="1" ht="17.25" customHeight="1">
      <c r="B98" s="154"/>
      <c r="C98" s="154"/>
      <c r="D98" s="154"/>
      <c r="E98" s="155"/>
      <c r="F98" s="156"/>
      <c r="G98" s="156"/>
      <c r="H98" s="156"/>
      <c r="I98" s="156"/>
      <c r="J98" s="156"/>
      <c r="K98" s="156"/>
      <c r="L98" s="129"/>
      <c r="M98" s="156"/>
      <c r="N98" s="156"/>
      <c r="O98" s="651"/>
      <c r="P98" s="542"/>
      <c r="Q98" s="542"/>
      <c r="R98" s="542"/>
      <c r="S98" s="542"/>
      <c r="T98" s="542"/>
      <c r="U98" s="542"/>
      <c r="V98" s="542"/>
      <c r="W98" s="542"/>
      <c r="X98" s="543"/>
      <c r="Y98" s="543"/>
      <c r="Z98" s="543"/>
      <c r="AA98" s="543"/>
      <c r="AB98" s="543"/>
      <c r="AC98" s="543"/>
      <c r="AD98" s="543"/>
      <c r="AE98" s="543"/>
      <c r="AF98" s="543"/>
      <c r="AG98" s="543"/>
      <c r="AH98" s="543"/>
      <c r="AI98" s="543"/>
      <c r="AJ98" s="543"/>
      <c r="AK98" s="543"/>
      <c r="AL98" s="543"/>
      <c r="AM98" s="543"/>
      <c r="AN98" s="543"/>
      <c r="AO98" s="543"/>
      <c r="AP98" s="543"/>
      <c r="AQ98" s="543"/>
      <c r="AR98" s="543"/>
    </row>
    <row r="99" spans="1:44" s="546" customFormat="1" ht="17.25" customHeight="1" thickBot="1">
      <c r="B99" s="154"/>
      <c r="C99" s="154"/>
      <c r="D99" s="154"/>
      <c r="E99" s="155"/>
      <c r="F99" s="156"/>
      <c r="G99" s="156"/>
      <c r="H99" s="156"/>
      <c r="I99" s="156"/>
      <c r="J99" s="156"/>
      <c r="K99" s="156"/>
      <c r="L99" s="129"/>
      <c r="M99" s="543"/>
      <c r="N99" s="543"/>
      <c r="O99" s="652">
        <f>L99+M99+N99</f>
        <v>0</v>
      </c>
      <c r="P99" s="542"/>
      <c r="Q99" s="542"/>
      <c r="R99" s="542"/>
      <c r="S99" s="542"/>
      <c r="T99" s="542"/>
      <c r="U99" s="542"/>
      <c r="V99" s="542"/>
      <c r="W99" s="542"/>
      <c r="X99" s="543"/>
      <c r="Y99" s="543"/>
      <c r="Z99" s="543"/>
      <c r="AA99" s="543"/>
      <c r="AB99" s="543"/>
      <c r="AC99" s="543"/>
      <c r="AD99" s="543"/>
      <c r="AE99" s="543"/>
      <c r="AF99" s="543"/>
      <c r="AG99" s="543"/>
      <c r="AH99" s="543"/>
      <c r="AI99" s="543"/>
      <c r="AJ99" s="543"/>
      <c r="AK99" s="543"/>
      <c r="AL99" s="543"/>
      <c r="AM99" s="543"/>
      <c r="AN99" s="543"/>
      <c r="AO99" s="543"/>
      <c r="AP99" s="543"/>
      <c r="AQ99" s="543"/>
      <c r="AR99" s="543"/>
    </row>
    <row r="100" spans="1:44" s="546" customFormat="1" ht="17.25" customHeight="1" thickTop="1" thickBot="1">
      <c r="B100" s="137" t="s">
        <v>2659</v>
      </c>
      <c r="C100" s="138"/>
      <c r="D100" s="136"/>
      <c r="E100" s="135" t="s">
        <v>964</v>
      </c>
      <c r="F100" s="134">
        <f>SUM(F73:F97)</f>
        <v>-9185394.6799999997</v>
      </c>
      <c r="G100" s="134">
        <f>SUM(G73:G97)</f>
        <v>2728149.4000000004</v>
      </c>
      <c r="H100" s="134">
        <f>SUM(H73:H97)</f>
        <v>-4778082.49</v>
      </c>
      <c r="I100" s="134">
        <f>SUM(I73:I97)</f>
        <v>-11235327.77</v>
      </c>
      <c r="J100" s="134">
        <f>SUM(J73:J97)</f>
        <v>6015908.790000001</v>
      </c>
      <c r="K100" s="134">
        <f>SUM(K73:K99)</f>
        <v>-16410408.059999999</v>
      </c>
      <c r="L100" s="134">
        <f>SUM(L73:L99)</f>
        <v>-21629827.039999999</v>
      </c>
      <c r="M100" s="134">
        <f>SUM(M73:M99)</f>
        <v>3844632.5999999996</v>
      </c>
      <c r="N100" s="134">
        <f>SUM(N73:N99)</f>
        <v>-1710360.05</v>
      </c>
      <c r="O100" s="653">
        <f>SUM(O73:O99)</f>
        <v>-19495554.490000002</v>
      </c>
      <c r="P100" s="542"/>
      <c r="Q100" s="542"/>
      <c r="R100" s="542"/>
      <c r="S100" s="542"/>
      <c r="T100" s="542"/>
      <c r="U100" s="542"/>
      <c r="V100" s="542"/>
      <c r="W100" s="542"/>
      <c r="X100" s="543"/>
      <c r="Y100" s="543"/>
      <c r="Z100" s="543"/>
      <c r="AA100" s="543"/>
      <c r="AB100" s="543"/>
      <c r="AC100" s="543"/>
      <c r="AD100" s="543"/>
      <c r="AE100" s="543"/>
      <c r="AF100" s="543"/>
      <c r="AG100" s="543"/>
      <c r="AH100" s="543"/>
      <c r="AI100" s="543"/>
      <c r="AJ100" s="543"/>
      <c r="AK100" s="543"/>
      <c r="AL100" s="543"/>
      <c r="AM100" s="543"/>
      <c r="AN100" s="543"/>
      <c r="AO100" s="543"/>
      <c r="AP100" s="543"/>
      <c r="AQ100" s="543"/>
      <c r="AR100" s="543"/>
    </row>
    <row r="101" spans="1:44" s="546" customFormat="1" ht="17.25" customHeight="1" thickTop="1">
      <c r="B101" s="536"/>
      <c r="C101" s="536"/>
      <c r="D101" s="536"/>
      <c r="F101" s="544"/>
      <c r="G101" s="544"/>
      <c r="H101" s="544"/>
      <c r="I101" s="544"/>
      <c r="J101" s="544"/>
      <c r="K101" s="544"/>
      <c r="L101" s="543"/>
      <c r="N101" s="547"/>
      <c r="O101" s="543"/>
      <c r="P101" s="542"/>
      <c r="Q101" s="542"/>
      <c r="R101" s="542"/>
      <c r="S101" s="542"/>
      <c r="T101" s="542"/>
      <c r="U101" s="542"/>
      <c r="V101" s="542"/>
      <c r="W101" s="542"/>
      <c r="X101" s="543"/>
      <c r="Y101" s="543"/>
      <c r="Z101" s="543"/>
      <c r="AA101" s="543"/>
      <c r="AB101" s="543"/>
      <c r="AC101" s="543"/>
      <c r="AD101" s="543"/>
      <c r="AE101" s="543"/>
      <c r="AF101" s="543"/>
      <c r="AG101" s="543"/>
      <c r="AH101" s="543"/>
      <c r="AI101" s="543"/>
      <c r="AJ101" s="543"/>
      <c r="AK101" s="543"/>
      <c r="AL101" s="543"/>
      <c r="AM101" s="543"/>
      <c r="AN101" s="543"/>
      <c r="AO101" s="543"/>
      <c r="AP101" s="543"/>
      <c r="AQ101" s="543"/>
      <c r="AR101" s="543"/>
    </row>
    <row r="102" spans="1:44" ht="17.25" customHeight="1">
      <c r="A102" s="132">
        <v>5</v>
      </c>
      <c r="B102" s="127" t="s">
        <v>965</v>
      </c>
      <c r="C102" s="127" t="s">
        <v>965</v>
      </c>
      <c r="D102" s="127" t="s">
        <v>966</v>
      </c>
      <c r="E102" s="128" t="s">
        <v>3552</v>
      </c>
      <c r="F102" s="129">
        <v>-1327936.83</v>
      </c>
      <c r="G102" s="129">
        <v>295039.03000000003</v>
      </c>
      <c r="H102" s="129">
        <v>-528649.6</v>
      </c>
      <c r="I102" s="129">
        <f>SUM(F102:H102)</f>
        <v>-1561547.4</v>
      </c>
      <c r="J102" s="129">
        <v>449041.06</v>
      </c>
      <c r="K102" s="129">
        <v>-718447.5</v>
      </c>
      <c r="L102" s="129">
        <v>-1561547.4</v>
      </c>
      <c r="M102" s="129">
        <v>0</v>
      </c>
      <c r="N102" s="129">
        <v>-665485.49</v>
      </c>
      <c r="O102" s="649">
        <f>L102+M102+N102</f>
        <v>-2227032.8899999997</v>
      </c>
    </row>
    <row r="103" spans="1:44" ht="17.25" customHeight="1">
      <c r="B103" s="127" t="s">
        <v>965</v>
      </c>
      <c r="C103" s="127" t="s">
        <v>965</v>
      </c>
      <c r="D103" s="127">
        <v>6203</v>
      </c>
      <c r="E103" s="128" t="s">
        <v>3551</v>
      </c>
      <c r="F103" s="129">
        <v>-1327936.83</v>
      </c>
      <c r="G103" s="129">
        <v>295039.03000000003</v>
      </c>
      <c r="H103" s="129">
        <v>-528649.6</v>
      </c>
      <c r="I103" s="129">
        <f>SUM(F103:H103)</f>
        <v>-1561547.4</v>
      </c>
      <c r="J103" s="129">
        <v>449041.06</v>
      </c>
      <c r="K103" s="129">
        <v>-718447.5</v>
      </c>
      <c r="L103" s="129">
        <v>-269406.44</v>
      </c>
      <c r="M103" s="129">
        <v>1141053.21</v>
      </c>
      <c r="N103" s="129">
        <v>-1444375.99</v>
      </c>
      <c r="O103" s="649">
        <f>L103+M103+N103</f>
        <v>-572729.22</v>
      </c>
    </row>
    <row r="104" spans="1:44" ht="17.25" customHeight="1" thickBot="1">
      <c r="B104" s="540"/>
      <c r="C104" s="540"/>
      <c r="D104" s="540"/>
      <c r="M104" s="542"/>
      <c r="N104" s="542"/>
      <c r="O104" s="652">
        <f>L104+M104+N104</f>
        <v>0</v>
      </c>
    </row>
    <row r="105" spans="1:44" ht="17.25" customHeight="1" thickTop="1" thickBot="1">
      <c r="B105" s="137" t="s">
        <v>2660</v>
      </c>
      <c r="C105" s="138"/>
      <c r="D105" s="136"/>
      <c r="E105" s="135" t="s">
        <v>967</v>
      </c>
      <c r="F105" s="134">
        <f t="shared" ref="F105:K105" si="13">F102</f>
        <v>-1327936.83</v>
      </c>
      <c r="G105" s="134">
        <f t="shared" si="13"/>
        <v>295039.03000000003</v>
      </c>
      <c r="H105" s="134">
        <f t="shared" si="13"/>
        <v>-528649.6</v>
      </c>
      <c r="I105" s="134">
        <f t="shared" si="13"/>
        <v>-1561547.4</v>
      </c>
      <c r="J105" s="134">
        <f t="shared" si="13"/>
        <v>449041.06</v>
      </c>
      <c r="K105" s="134">
        <f t="shared" si="13"/>
        <v>-718447.5</v>
      </c>
      <c r="L105" s="134">
        <f>SUM(L102:L103)</f>
        <v>-1830953.8399999999</v>
      </c>
      <c r="M105" s="134">
        <f>SUM(M103:M104)</f>
        <v>1141053.21</v>
      </c>
      <c r="N105" s="134">
        <f>SUM(N102:N104)</f>
        <v>-2109861.48</v>
      </c>
      <c r="O105" s="653">
        <f>SUM(O102:O104)</f>
        <v>-2799762.1099999994</v>
      </c>
    </row>
    <row r="106" spans="1:44" ht="17.25" customHeight="1" thickTop="1">
      <c r="B106" s="540"/>
      <c r="C106" s="540"/>
      <c r="D106" s="540"/>
      <c r="F106" s="156"/>
      <c r="G106" s="544"/>
      <c r="H106" s="544"/>
      <c r="I106" s="156"/>
      <c r="J106" s="156"/>
      <c r="N106" s="548"/>
    </row>
    <row r="107" spans="1:44" ht="17.25" customHeight="1">
      <c r="B107" s="540"/>
      <c r="C107" s="540"/>
      <c r="D107" s="540"/>
      <c r="F107" s="156"/>
      <c r="G107" s="544"/>
      <c r="H107" s="544"/>
      <c r="I107" s="156"/>
      <c r="J107" s="156"/>
      <c r="L107" s="542">
        <f>+I107+J107+K107</f>
        <v>0</v>
      </c>
      <c r="N107" s="548"/>
    </row>
    <row r="108" spans="1:44" ht="17.25" customHeight="1">
      <c r="A108" s="132">
        <v>5</v>
      </c>
      <c r="B108" s="127" t="s">
        <v>968</v>
      </c>
      <c r="C108" s="127" t="s">
        <v>968</v>
      </c>
      <c r="D108" s="127" t="s">
        <v>969</v>
      </c>
      <c r="E108" s="128" t="s">
        <v>970</v>
      </c>
      <c r="F108" s="129">
        <v>-149710.31</v>
      </c>
      <c r="G108" s="129">
        <v>1398322.83</v>
      </c>
      <c r="H108" s="129">
        <v>-1407881.33</v>
      </c>
      <c r="I108" s="129">
        <f>SUM(F108:H108)</f>
        <v>-159268.81000000006</v>
      </c>
      <c r="J108" s="129">
        <v>801355.35</v>
      </c>
      <c r="K108" s="129">
        <v>-1719607.13</v>
      </c>
      <c r="L108" s="129">
        <f>+I108+J108+K108</f>
        <v>-1077520.5899999999</v>
      </c>
      <c r="M108" s="129">
        <v>1608516.16</v>
      </c>
      <c r="N108" s="129">
        <v>-2465058.23</v>
      </c>
      <c r="O108" s="649">
        <f>L108+M108+N108</f>
        <v>-1934062.66</v>
      </c>
    </row>
    <row r="109" spans="1:44" ht="17.25" customHeight="1">
      <c r="A109" s="132">
        <v>5</v>
      </c>
      <c r="B109" s="127" t="s">
        <v>968</v>
      </c>
      <c r="C109" s="127" t="s">
        <v>968</v>
      </c>
      <c r="D109" s="127" t="s">
        <v>971</v>
      </c>
      <c r="E109" s="128" t="s">
        <v>972</v>
      </c>
      <c r="F109" s="129">
        <v>-4447424.0199999996</v>
      </c>
      <c r="G109" s="129">
        <v>4194441.47</v>
      </c>
      <c r="H109" s="129">
        <v>-3076100.77</v>
      </c>
      <c r="I109" s="129">
        <f>SUM(F109:H109)</f>
        <v>-3329083.32</v>
      </c>
      <c r="J109" s="129">
        <v>2639860.46</v>
      </c>
      <c r="K109" s="129">
        <v>-13206800.09</v>
      </c>
      <c r="L109" s="129">
        <f>+I109+J109+K109</f>
        <v>-13896022.949999999</v>
      </c>
      <c r="M109" s="129">
        <v>10433404.529999999</v>
      </c>
      <c r="N109" s="129">
        <v>-20812007.219999999</v>
      </c>
      <c r="O109" s="649">
        <f>L109+M109+N109</f>
        <v>-24274625.640000001</v>
      </c>
    </row>
    <row r="110" spans="1:44" ht="17.25" customHeight="1">
      <c r="A110" s="132">
        <v>5</v>
      </c>
      <c r="B110" s="127" t="s">
        <v>968</v>
      </c>
      <c r="C110" s="127" t="s">
        <v>968</v>
      </c>
      <c r="D110" s="127" t="s">
        <v>973</v>
      </c>
      <c r="E110" s="128" t="s">
        <v>1047</v>
      </c>
      <c r="F110" s="129">
        <v>-906500.46</v>
      </c>
      <c r="G110" s="129">
        <v>906500.46</v>
      </c>
      <c r="H110" s="129">
        <v>-1234470.78</v>
      </c>
      <c r="I110" s="129">
        <f>SUM(F110:H110)</f>
        <v>-1234470.78</v>
      </c>
      <c r="J110" s="129">
        <v>0</v>
      </c>
      <c r="K110" s="129">
        <v>-201300.51</v>
      </c>
      <c r="L110" s="129">
        <f>+I110+J110+K110</f>
        <v>-1435771.29</v>
      </c>
      <c r="M110" s="129">
        <v>189450.09</v>
      </c>
      <c r="N110" s="129"/>
      <c r="O110" s="649">
        <f>L110+M110+N110</f>
        <v>-1246321.2</v>
      </c>
    </row>
    <row r="111" spans="1:44" ht="17.25" customHeight="1">
      <c r="A111" s="132">
        <v>5</v>
      </c>
      <c r="B111" s="127" t="s">
        <v>968</v>
      </c>
      <c r="C111" s="127" t="s">
        <v>968</v>
      </c>
      <c r="D111" s="127" t="s">
        <v>974</v>
      </c>
      <c r="E111" s="128" t="s">
        <v>975</v>
      </c>
      <c r="F111" s="129">
        <v>-1410492.72</v>
      </c>
      <c r="G111" s="129">
        <v>8923621.4299999997</v>
      </c>
      <c r="H111" s="129">
        <v>-8923621.4299999997</v>
      </c>
      <c r="I111" s="129">
        <f>SUM(F111:H111)</f>
        <v>-1410492.7199999997</v>
      </c>
      <c r="J111" s="129">
        <v>14837438.82</v>
      </c>
      <c r="K111" s="129">
        <v>-14507327.789999999</v>
      </c>
      <c r="L111" s="129">
        <f>+I111+J111+K111</f>
        <v>-1080381.6899999976</v>
      </c>
      <c r="M111" s="129">
        <v>21195195.710000001</v>
      </c>
      <c r="N111" s="129">
        <v>-21515983.780000001</v>
      </c>
      <c r="O111" s="649">
        <f>L111+M111+N111</f>
        <v>-1401169.7599999979</v>
      </c>
    </row>
    <row r="112" spans="1:44" ht="17.25" customHeight="1" thickBot="1">
      <c r="B112" s="540"/>
      <c r="C112" s="540"/>
      <c r="D112" s="540"/>
      <c r="J112" s="542">
        <v>0</v>
      </c>
      <c r="M112" s="542"/>
      <c r="N112" s="542"/>
      <c r="O112" s="652">
        <f>L112+M112+N112</f>
        <v>0</v>
      </c>
    </row>
    <row r="113" spans="1:19" ht="17.25" customHeight="1" thickTop="1" thickBot="1">
      <c r="B113" s="137" t="s">
        <v>2662</v>
      </c>
      <c r="C113" s="138"/>
      <c r="D113" s="136"/>
      <c r="E113" s="135" t="s">
        <v>976</v>
      </c>
      <c r="F113" s="134">
        <f>SUM(F108:F112)</f>
        <v>-6914127.5099999988</v>
      </c>
      <c r="G113" s="134">
        <f t="shared" ref="G113:L113" si="14">SUM(G108:G112)</f>
        <v>15422886.189999999</v>
      </c>
      <c r="H113" s="134">
        <f t="shared" si="14"/>
        <v>-14642074.309999999</v>
      </c>
      <c r="I113" s="134">
        <f t="shared" si="14"/>
        <v>-6133315.6299999999</v>
      </c>
      <c r="J113" s="134">
        <f t="shared" si="14"/>
        <v>18278654.629999999</v>
      </c>
      <c r="K113" s="134">
        <f t="shared" si="14"/>
        <v>-29635035.519999996</v>
      </c>
      <c r="L113" s="134">
        <f t="shared" si="14"/>
        <v>-17489696.519999996</v>
      </c>
      <c r="M113" s="134">
        <f>SUM(M108:M112)</f>
        <v>33426566.490000002</v>
      </c>
      <c r="N113" s="134">
        <f>SUM(N108:N112)</f>
        <v>-44793049.230000004</v>
      </c>
      <c r="O113" s="653">
        <f>SUM(O108:O112)</f>
        <v>-28856179.259999998</v>
      </c>
    </row>
    <row r="114" spans="1:19" ht="17.25" customHeight="1" thickTop="1">
      <c r="B114" s="540"/>
      <c r="C114" s="540"/>
      <c r="D114" s="540"/>
      <c r="N114" s="548"/>
      <c r="O114" s="648"/>
    </row>
    <row r="115" spans="1:19" ht="17.25" customHeight="1">
      <c r="A115" s="132">
        <v>5</v>
      </c>
      <c r="B115" s="127" t="s">
        <v>968</v>
      </c>
      <c r="C115" s="127" t="s">
        <v>977</v>
      </c>
      <c r="D115" s="127" t="s">
        <v>978</v>
      </c>
      <c r="E115" s="128" t="s">
        <v>2439</v>
      </c>
      <c r="F115" s="129">
        <v>-1610.62</v>
      </c>
      <c r="G115" s="129">
        <v>9126515.1099999994</v>
      </c>
      <c r="H115" s="129">
        <v>-9145974.1899999995</v>
      </c>
      <c r="I115" s="129">
        <f t="shared" ref="I115:I151" si="15">SUM(F115:H115)</f>
        <v>-21069.699999999255</v>
      </c>
      <c r="J115" s="129">
        <v>2107804.9300000002</v>
      </c>
      <c r="K115" s="129">
        <v>-2150606.2400000002</v>
      </c>
      <c r="L115" s="129">
        <f t="shared" ref="L115:L155" si="16">+I115+J115+K115</f>
        <v>-63871.009999999311</v>
      </c>
      <c r="M115" s="129">
        <v>11529875.34</v>
      </c>
      <c r="N115" s="129">
        <v>-11548482.130000001</v>
      </c>
      <c r="O115" s="649">
        <f t="shared" ref="O115:O191" si="17">L115+M115+N115</f>
        <v>-82477.800000000745</v>
      </c>
      <c r="S115" s="542">
        <f>O115-L115</f>
        <v>-18606.790000001434</v>
      </c>
    </row>
    <row r="116" spans="1:19" ht="17.25" customHeight="1">
      <c r="B116" s="127">
        <v>640</v>
      </c>
      <c r="C116" s="127">
        <v>640</v>
      </c>
      <c r="D116" s="127">
        <v>6421</v>
      </c>
      <c r="E116" s="128" t="s">
        <v>2011</v>
      </c>
      <c r="F116" s="129">
        <v>0</v>
      </c>
      <c r="G116" s="129">
        <v>22730</v>
      </c>
      <c r="H116" s="129">
        <v>-22730</v>
      </c>
      <c r="I116" s="129">
        <f t="shared" si="15"/>
        <v>0</v>
      </c>
      <c r="J116" s="129">
        <v>0</v>
      </c>
      <c r="K116" s="129">
        <v>0</v>
      </c>
      <c r="L116" s="129">
        <f t="shared" si="16"/>
        <v>0</v>
      </c>
      <c r="M116" s="129"/>
      <c r="N116" s="129"/>
      <c r="O116" s="649">
        <f t="shared" si="17"/>
        <v>0</v>
      </c>
    </row>
    <row r="117" spans="1:19" ht="17.25" customHeight="1">
      <c r="A117" s="132">
        <v>5</v>
      </c>
      <c r="B117" s="127" t="s">
        <v>968</v>
      </c>
      <c r="C117" s="127" t="s">
        <v>977</v>
      </c>
      <c r="D117" s="127" t="s">
        <v>973</v>
      </c>
      <c r="E117" s="128" t="s">
        <v>979</v>
      </c>
      <c r="F117" s="129">
        <v>-318235.78000000003</v>
      </c>
      <c r="G117" s="129">
        <v>0</v>
      </c>
      <c r="H117" s="129">
        <v>0</v>
      </c>
      <c r="I117" s="129">
        <f t="shared" si="15"/>
        <v>-318235.78000000003</v>
      </c>
      <c r="J117" s="129">
        <v>0</v>
      </c>
      <c r="K117" s="129">
        <v>0</v>
      </c>
      <c r="L117" s="129">
        <f t="shared" si="16"/>
        <v>-318235.78000000003</v>
      </c>
      <c r="M117" s="129"/>
      <c r="N117" s="129"/>
      <c r="O117" s="649">
        <f t="shared" si="17"/>
        <v>-318235.78000000003</v>
      </c>
    </row>
    <row r="118" spans="1:19" ht="17.25" hidden="1" customHeight="1">
      <c r="A118" s="132">
        <v>5</v>
      </c>
      <c r="B118" s="127" t="s">
        <v>968</v>
      </c>
      <c r="C118" s="127" t="s">
        <v>977</v>
      </c>
      <c r="D118" s="127" t="s">
        <v>980</v>
      </c>
      <c r="E118" s="128" t="s">
        <v>981</v>
      </c>
      <c r="F118" s="129">
        <v>-70051.360000000001</v>
      </c>
      <c r="G118" s="129">
        <v>0</v>
      </c>
      <c r="H118" s="129">
        <v>0</v>
      </c>
      <c r="I118" s="129">
        <f t="shared" si="15"/>
        <v>-70051.360000000001</v>
      </c>
      <c r="J118" s="129">
        <v>70051.360000000001</v>
      </c>
      <c r="K118" s="129">
        <v>0</v>
      </c>
      <c r="L118" s="129">
        <f t="shared" si="16"/>
        <v>0</v>
      </c>
      <c r="M118" s="129"/>
      <c r="N118" s="129"/>
      <c r="O118" s="649">
        <f t="shared" si="17"/>
        <v>0</v>
      </c>
    </row>
    <row r="119" spans="1:19" ht="17.25" hidden="1" customHeight="1">
      <c r="A119" s="132">
        <v>5</v>
      </c>
      <c r="B119" s="127" t="s">
        <v>968</v>
      </c>
      <c r="C119" s="127" t="s">
        <v>977</v>
      </c>
      <c r="D119" s="127" t="s">
        <v>982</v>
      </c>
      <c r="E119" s="128" t="s">
        <v>2441</v>
      </c>
      <c r="F119" s="129">
        <v>-1258.99</v>
      </c>
      <c r="G119" s="129">
        <v>1258.99</v>
      </c>
      <c r="H119" s="129">
        <v>0</v>
      </c>
      <c r="I119" s="129">
        <f t="shared" si="15"/>
        <v>0</v>
      </c>
      <c r="J119" s="129">
        <v>0</v>
      </c>
      <c r="K119" s="129">
        <v>0</v>
      </c>
      <c r="L119" s="129">
        <f t="shared" si="16"/>
        <v>0</v>
      </c>
      <c r="M119" s="129"/>
      <c r="N119" s="129"/>
      <c r="O119" s="649">
        <f t="shared" si="17"/>
        <v>0</v>
      </c>
    </row>
    <row r="120" spans="1:19" ht="17.25" hidden="1" customHeight="1">
      <c r="A120" s="132">
        <v>5</v>
      </c>
      <c r="B120" s="127" t="s">
        <v>968</v>
      </c>
      <c r="C120" s="127" t="s">
        <v>977</v>
      </c>
      <c r="D120" s="127" t="s">
        <v>983</v>
      </c>
      <c r="E120" s="128" t="s">
        <v>2442</v>
      </c>
      <c r="F120" s="129">
        <v>-95581.09</v>
      </c>
      <c r="G120" s="129">
        <v>0</v>
      </c>
      <c r="H120" s="129">
        <v>0</v>
      </c>
      <c r="I120" s="129">
        <f t="shared" si="15"/>
        <v>-95581.09</v>
      </c>
      <c r="J120" s="129">
        <v>95581.09</v>
      </c>
      <c r="K120" s="129">
        <v>0</v>
      </c>
      <c r="L120" s="129">
        <f t="shared" si="16"/>
        <v>0</v>
      </c>
      <c r="M120" s="129"/>
      <c r="N120" s="129"/>
      <c r="O120" s="649">
        <f t="shared" si="17"/>
        <v>0</v>
      </c>
    </row>
    <row r="121" spans="1:19" ht="17.25" hidden="1" customHeight="1">
      <c r="A121" s="132">
        <v>5</v>
      </c>
      <c r="B121" s="127" t="s">
        <v>968</v>
      </c>
      <c r="C121" s="127" t="s">
        <v>977</v>
      </c>
      <c r="D121" s="127" t="s">
        <v>984</v>
      </c>
      <c r="E121" s="128" t="s">
        <v>648</v>
      </c>
      <c r="F121" s="129">
        <v>-3240000</v>
      </c>
      <c r="G121" s="129">
        <v>3240000</v>
      </c>
      <c r="H121" s="129">
        <v>0</v>
      </c>
      <c r="I121" s="129">
        <f t="shared" si="15"/>
        <v>0</v>
      </c>
      <c r="J121" s="129">
        <v>0</v>
      </c>
      <c r="K121" s="129">
        <v>0</v>
      </c>
      <c r="L121" s="129">
        <f t="shared" si="16"/>
        <v>0</v>
      </c>
      <c r="M121" s="129"/>
      <c r="N121" s="129"/>
      <c r="O121" s="649">
        <f t="shared" si="17"/>
        <v>0</v>
      </c>
    </row>
    <row r="122" spans="1:19" ht="17.25" hidden="1" customHeight="1">
      <c r="A122" s="132">
        <v>5</v>
      </c>
      <c r="B122" s="127" t="s">
        <v>968</v>
      </c>
      <c r="C122" s="127" t="s">
        <v>977</v>
      </c>
      <c r="D122" s="127" t="s">
        <v>985</v>
      </c>
      <c r="E122" s="128" t="s">
        <v>2443</v>
      </c>
      <c r="F122" s="129">
        <v>0.08</v>
      </c>
      <c r="G122" s="129">
        <v>0</v>
      </c>
      <c r="H122" s="129">
        <v>0</v>
      </c>
      <c r="I122" s="129">
        <f t="shared" si="15"/>
        <v>0.08</v>
      </c>
      <c r="J122" s="129">
        <v>0</v>
      </c>
      <c r="K122" s="129">
        <v>0</v>
      </c>
      <c r="L122" s="129">
        <f t="shared" si="16"/>
        <v>0.08</v>
      </c>
      <c r="M122" s="129"/>
      <c r="N122" s="129"/>
      <c r="O122" s="649">
        <v>0</v>
      </c>
    </row>
    <row r="123" spans="1:19" ht="17.25" hidden="1" customHeight="1">
      <c r="A123" s="132">
        <v>5</v>
      </c>
      <c r="B123" s="127" t="s">
        <v>968</v>
      </c>
      <c r="C123" s="127" t="s">
        <v>977</v>
      </c>
      <c r="D123" s="127" t="s">
        <v>986</v>
      </c>
      <c r="E123" s="128" t="s">
        <v>987</v>
      </c>
      <c r="F123" s="129">
        <v>-24022.54</v>
      </c>
      <c r="G123" s="129">
        <v>0</v>
      </c>
      <c r="H123" s="129">
        <v>-0.08</v>
      </c>
      <c r="I123" s="129">
        <f t="shared" si="15"/>
        <v>-24022.620000000003</v>
      </c>
      <c r="J123" s="129">
        <v>24022.54</v>
      </c>
      <c r="K123" s="129">
        <v>0</v>
      </c>
      <c r="L123" s="129">
        <f t="shared" si="16"/>
        <v>-8.000000000174623E-2</v>
      </c>
      <c r="M123" s="129"/>
      <c r="N123" s="129"/>
      <c r="O123" s="649">
        <v>0</v>
      </c>
    </row>
    <row r="124" spans="1:19" ht="17.25" hidden="1" customHeight="1">
      <c r="A124" s="132">
        <v>5</v>
      </c>
      <c r="B124" s="127" t="s">
        <v>968</v>
      </c>
      <c r="C124" s="127" t="s">
        <v>977</v>
      </c>
      <c r="D124" s="127" t="s">
        <v>988</v>
      </c>
      <c r="E124" s="128" t="s">
        <v>989</v>
      </c>
      <c r="F124" s="129">
        <v>-17801.25</v>
      </c>
      <c r="G124" s="129">
        <v>0</v>
      </c>
      <c r="H124" s="129">
        <v>0</v>
      </c>
      <c r="I124" s="129">
        <f t="shared" si="15"/>
        <v>-17801.25</v>
      </c>
      <c r="J124" s="129">
        <v>17801.25</v>
      </c>
      <c r="K124" s="129">
        <v>0</v>
      </c>
      <c r="L124" s="129">
        <f t="shared" si="16"/>
        <v>0</v>
      </c>
      <c r="M124" s="129"/>
      <c r="N124" s="129"/>
      <c r="O124" s="649">
        <f t="shared" si="17"/>
        <v>0</v>
      </c>
    </row>
    <row r="125" spans="1:19" ht="17.25" customHeight="1">
      <c r="B125" s="127">
        <v>640</v>
      </c>
      <c r="C125" s="127">
        <v>641</v>
      </c>
      <c r="D125" s="127">
        <v>6437</v>
      </c>
      <c r="E125" s="128" t="s">
        <v>3501</v>
      </c>
      <c r="F125" s="129"/>
      <c r="G125" s="129"/>
      <c r="H125" s="129"/>
      <c r="I125" s="129"/>
      <c r="J125" s="129"/>
      <c r="K125" s="129"/>
      <c r="L125" s="129"/>
      <c r="M125" s="129"/>
      <c r="N125" s="129">
        <v>-600000</v>
      </c>
      <c r="O125" s="649">
        <f t="shared" si="17"/>
        <v>-600000</v>
      </c>
    </row>
    <row r="126" spans="1:19" ht="17.25" customHeight="1">
      <c r="A126" s="132">
        <v>5</v>
      </c>
      <c r="B126" s="127" t="s">
        <v>968</v>
      </c>
      <c r="C126" s="127" t="s">
        <v>977</v>
      </c>
      <c r="D126" s="127" t="s">
        <v>990</v>
      </c>
      <c r="E126" s="128" t="s">
        <v>991</v>
      </c>
      <c r="F126" s="129">
        <v>-86917.96</v>
      </c>
      <c r="G126" s="129">
        <v>0</v>
      </c>
      <c r="H126" s="129">
        <v>0</v>
      </c>
      <c r="I126" s="129">
        <f t="shared" si="15"/>
        <v>-86917.96</v>
      </c>
      <c r="J126" s="129">
        <v>0</v>
      </c>
      <c r="K126" s="129">
        <v>0</v>
      </c>
      <c r="L126" s="129">
        <f t="shared" si="16"/>
        <v>-86917.96</v>
      </c>
      <c r="M126" s="129"/>
      <c r="N126" s="129"/>
      <c r="O126" s="649">
        <f t="shared" si="17"/>
        <v>-86917.96</v>
      </c>
    </row>
    <row r="127" spans="1:19" ht="17.25" customHeight="1">
      <c r="A127" s="132">
        <v>5</v>
      </c>
      <c r="B127" s="127" t="s">
        <v>968</v>
      </c>
      <c r="C127" s="127" t="s">
        <v>977</v>
      </c>
      <c r="D127" s="127" t="s">
        <v>992</v>
      </c>
      <c r="E127" s="128" t="s">
        <v>649</v>
      </c>
      <c r="F127" s="129">
        <v>-833000</v>
      </c>
      <c r="G127" s="129">
        <v>857673.78</v>
      </c>
      <c r="H127" s="129">
        <v>-857673.78</v>
      </c>
      <c r="I127" s="129">
        <f t="shared" si="15"/>
        <v>-833000</v>
      </c>
      <c r="J127" s="129">
        <v>397045.24</v>
      </c>
      <c r="K127" s="129">
        <v>0</v>
      </c>
      <c r="L127" s="129">
        <f t="shared" si="16"/>
        <v>-435954.76</v>
      </c>
      <c r="M127" s="129"/>
      <c r="N127" s="129"/>
      <c r="O127" s="649">
        <f t="shared" si="17"/>
        <v>-435954.76</v>
      </c>
    </row>
    <row r="128" spans="1:19" ht="17.25" customHeight="1">
      <c r="A128" s="132">
        <v>5</v>
      </c>
      <c r="B128" s="127" t="s">
        <v>968</v>
      </c>
      <c r="C128" s="127" t="s">
        <v>977</v>
      </c>
      <c r="D128" s="127" t="s">
        <v>993</v>
      </c>
      <c r="E128" s="128" t="s">
        <v>2444</v>
      </c>
      <c r="F128" s="129">
        <v>-4952.33</v>
      </c>
      <c r="G128" s="129">
        <v>0</v>
      </c>
      <c r="H128" s="129">
        <v>0</v>
      </c>
      <c r="I128" s="129">
        <f t="shared" si="15"/>
        <v>-4952.33</v>
      </c>
      <c r="J128" s="129">
        <v>0</v>
      </c>
      <c r="K128" s="129">
        <v>0</v>
      </c>
      <c r="L128" s="129">
        <f t="shared" si="16"/>
        <v>-4952.33</v>
      </c>
      <c r="M128" s="129"/>
      <c r="N128" s="129"/>
      <c r="O128" s="649">
        <f t="shared" si="17"/>
        <v>-4952.33</v>
      </c>
    </row>
    <row r="129" spans="1:19" ht="17.25" customHeight="1">
      <c r="A129" s="132">
        <v>5</v>
      </c>
      <c r="B129" s="127" t="s">
        <v>968</v>
      </c>
      <c r="C129" s="127" t="s">
        <v>977</v>
      </c>
      <c r="D129" s="127" t="s">
        <v>994</v>
      </c>
      <c r="E129" s="128" t="s">
        <v>35</v>
      </c>
      <c r="F129" s="129">
        <v>-726426.18</v>
      </c>
      <c r="G129" s="129">
        <v>1452852.36</v>
      </c>
      <c r="H129" s="129">
        <v>-2160006.1800000002</v>
      </c>
      <c r="I129" s="129">
        <f t="shared" si="15"/>
        <v>-1433580</v>
      </c>
      <c r="J129" s="129">
        <v>0</v>
      </c>
      <c r="K129" s="129">
        <v>0</v>
      </c>
      <c r="L129" s="129">
        <f t="shared" si="16"/>
        <v>-1433580</v>
      </c>
      <c r="M129" s="129"/>
      <c r="N129" s="129"/>
      <c r="O129" s="649">
        <f t="shared" si="17"/>
        <v>-1433580</v>
      </c>
    </row>
    <row r="130" spans="1:19" ht="17.25" customHeight="1">
      <c r="A130" s="132">
        <v>5</v>
      </c>
      <c r="B130" s="127" t="s">
        <v>968</v>
      </c>
      <c r="C130" s="127" t="s">
        <v>977</v>
      </c>
      <c r="D130" s="127" t="s">
        <v>36</v>
      </c>
      <c r="E130" s="128" t="s">
        <v>650</v>
      </c>
      <c r="F130" s="129">
        <v>-26561.11</v>
      </c>
      <c r="G130" s="129">
        <v>10501.61</v>
      </c>
      <c r="H130" s="129">
        <v>-9573.3799999999992</v>
      </c>
      <c r="I130" s="129">
        <f t="shared" si="15"/>
        <v>-25632.879999999997</v>
      </c>
      <c r="J130" s="129">
        <v>12126.2</v>
      </c>
      <c r="K130" s="129">
        <v>-9179.1</v>
      </c>
      <c r="L130" s="129">
        <f t="shared" si="16"/>
        <v>-22685.78</v>
      </c>
      <c r="M130" s="129">
        <v>2748.57</v>
      </c>
      <c r="N130" s="129">
        <v>-415.85</v>
      </c>
      <c r="O130" s="649">
        <f t="shared" si="17"/>
        <v>-20353.059999999998</v>
      </c>
      <c r="S130" s="542">
        <f>-L130-O130</f>
        <v>43038.84</v>
      </c>
    </row>
    <row r="131" spans="1:19" ht="17.25" customHeight="1">
      <c r="B131" s="127">
        <v>640</v>
      </c>
      <c r="C131" s="127">
        <v>641</v>
      </c>
      <c r="D131" s="127">
        <v>6447</v>
      </c>
      <c r="E131" s="128" t="s">
        <v>2635</v>
      </c>
      <c r="F131" s="129">
        <v>0</v>
      </c>
      <c r="G131" s="129">
        <v>0</v>
      </c>
      <c r="H131" s="129">
        <v>-5200457.41</v>
      </c>
      <c r="I131" s="129">
        <f t="shared" si="15"/>
        <v>-5200457.41</v>
      </c>
      <c r="J131" s="129">
        <v>0</v>
      </c>
      <c r="K131" s="129">
        <v>-7144807.79</v>
      </c>
      <c r="L131" s="129">
        <f t="shared" si="16"/>
        <v>-12345265.199999999</v>
      </c>
      <c r="M131" s="129">
        <v>24897.64</v>
      </c>
      <c r="N131" s="129">
        <v>-5244737.95</v>
      </c>
      <c r="O131" s="649">
        <f t="shared" si="17"/>
        <v>-17565105.509999998</v>
      </c>
    </row>
    <row r="132" spans="1:19" ht="17.25" customHeight="1">
      <c r="A132" s="132">
        <v>5</v>
      </c>
      <c r="B132" s="127" t="s">
        <v>968</v>
      </c>
      <c r="C132" s="127" t="s">
        <v>977</v>
      </c>
      <c r="D132" s="127">
        <v>6448</v>
      </c>
      <c r="E132" s="128" t="s">
        <v>37</v>
      </c>
      <c r="F132" s="129">
        <v>-32618.76</v>
      </c>
      <c r="G132" s="129">
        <v>0</v>
      </c>
      <c r="H132" s="129">
        <v>0</v>
      </c>
      <c r="I132" s="129">
        <f t="shared" si="15"/>
        <v>-32618.76</v>
      </c>
      <c r="J132" s="129">
        <v>2500</v>
      </c>
      <c r="K132" s="129">
        <v>-2500</v>
      </c>
      <c r="L132" s="129">
        <f t="shared" si="16"/>
        <v>-32618.76</v>
      </c>
      <c r="M132" s="129"/>
      <c r="N132" s="129"/>
      <c r="O132" s="649">
        <f t="shared" si="17"/>
        <v>-32618.76</v>
      </c>
    </row>
    <row r="133" spans="1:19" ht="17.25" customHeight="1">
      <c r="B133" s="127" t="s">
        <v>968</v>
      </c>
      <c r="C133" s="127" t="s">
        <v>977</v>
      </c>
      <c r="D133" s="127">
        <v>6451</v>
      </c>
      <c r="E133" s="128" t="s">
        <v>38</v>
      </c>
      <c r="F133" s="129">
        <v>-141100</v>
      </c>
      <c r="G133" s="129">
        <v>1529100</v>
      </c>
      <c r="H133" s="129">
        <v>-2388000</v>
      </c>
      <c r="I133" s="129">
        <f t="shared" si="15"/>
        <v>-1000000</v>
      </c>
      <c r="J133" s="129">
        <v>18431.88</v>
      </c>
      <c r="K133" s="129">
        <v>-1500000</v>
      </c>
      <c r="L133" s="129">
        <f t="shared" si="16"/>
        <v>-2481568.12</v>
      </c>
      <c r="M133" s="129"/>
      <c r="N133" s="129"/>
      <c r="O133" s="649">
        <f t="shared" si="17"/>
        <v>-2481568.12</v>
      </c>
    </row>
    <row r="134" spans="1:19" ht="17.25" hidden="1" customHeight="1">
      <c r="B134" s="127">
        <v>640</v>
      </c>
      <c r="C134" s="127">
        <v>641</v>
      </c>
      <c r="D134" s="127">
        <v>6452</v>
      </c>
      <c r="E134" s="128" t="s">
        <v>39</v>
      </c>
      <c r="F134" s="129">
        <v>-27240.639999999999</v>
      </c>
      <c r="G134" s="129">
        <v>1058322.73</v>
      </c>
      <c r="H134" s="129">
        <v>-1058322.73</v>
      </c>
      <c r="I134" s="129">
        <f t="shared" si="15"/>
        <v>-27240.640000000014</v>
      </c>
      <c r="J134" s="129">
        <v>2128528.0499999998</v>
      </c>
      <c r="K134" s="129">
        <v>-2101287.41</v>
      </c>
      <c r="L134" s="129">
        <f t="shared" si="16"/>
        <v>0</v>
      </c>
      <c r="M134" s="129"/>
      <c r="N134" s="129"/>
      <c r="O134" s="649">
        <f t="shared" si="17"/>
        <v>0</v>
      </c>
    </row>
    <row r="135" spans="1:19" ht="17.25" hidden="1" customHeight="1">
      <c r="B135" s="127" t="s">
        <v>968</v>
      </c>
      <c r="C135" s="127" t="s">
        <v>977</v>
      </c>
      <c r="D135" s="127">
        <v>6453</v>
      </c>
      <c r="E135" s="128" t="s">
        <v>40</v>
      </c>
      <c r="F135" s="129">
        <v>-43385</v>
      </c>
      <c r="G135" s="129">
        <v>1153559.17</v>
      </c>
      <c r="H135" s="129">
        <v>-1110174.17</v>
      </c>
      <c r="I135" s="129">
        <f t="shared" si="15"/>
        <v>0</v>
      </c>
      <c r="J135" s="129">
        <v>237791.98</v>
      </c>
      <c r="K135" s="129">
        <v>-237791.98</v>
      </c>
      <c r="L135" s="129">
        <f t="shared" si="16"/>
        <v>0</v>
      </c>
      <c r="M135" s="129"/>
      <c r="N135" s="129"/>
      <c r="O135" s="649">
        <f t="shared" si="17"/>
        <v>0</v>
      </c>
    </row>
    <row r="136" spans="1:19" ht="17.25" customHeight="1">
      <c r="B136" s="127" t="s">
        <v>968</v>
      </c>
      <c r="C136" s="127" t="s">
        <v>977</v>
      </c>
      <c r="D136" s="127">
        <v>6454</v>
      </c>
      <c r="E136" s="128" t="s">
        <v>41</v>
      </c>
      <c r="F136" s="129">
        <v>-82600</v>
      </c>
      <c r="G136" s="129">
        <v>95000</v>
      </c>
      <c r="H136" s="129">
        <v>-95000</v>
      </c>
      <c r="I136" s="129">
        <f t="shared" si="15"/>
        <v>-82600</v>
      </c>
      <c r="J136" s="129">
        <v>0</v>
      </c>
      <c r="K136" s="129">
        <v>0</v>
      </c>
      <c r="L136" s="129">
        <f t="shared" si="16"/>
        <v>-82600</v>
      </c>
      <c r="M136" s="129">
        <v>35276</v>
      </c>
      <c r="N136" s="129"/>
      <c r="O136" s="649">
        <f t="shared" si="17"/>
        <v>-47324</v>
      </c>
    </row>
    <row r="137" spans="1:19" ht="17.25" hidden="1" customHeight="1">
      <c r="B137" s="127">
        <v>640</v>
      </c>
      <c r="C137" s="127">
        <v>641</v>
      </c>
      <c r="D137" s="127">
        <v>6456</v>
      </c>
      <c r="E137" s="128" t="s">
        <v>3507</v>
      </c>
      <c r="F137" s="129"/>
      <c r="G137" s="129"/>
      <c r="H137" s="129"/>
      <c r="I137" s="129"/>
      <c r="J137" s="129"/>
      <c r="K137" s="129"/>
      <c r="L137" s="129"/>
      <c r="M137" s="129"/>
      <c r="N137" s="129">
        <v>0</v>
      </c>
      <c r="O137" s="649">
        <f t="shared" si="17"/>
        <v>0</v>
      </c>
    </row>
    <row r="138" spans="1:19" ht="17.25" hidden="1" customHeight="1">
      <c r="B138" s="127">
        <v>640</v>
      </c>
      <c r="C138" s="127">
        <v>641</v>
      </c>
      <c r="D138" s="127">
        <v>6464</v>
      </c>
      <c r="E138" s="128" t="s">
        <v>42</v>
      </c>
      <c r="F138" s="129">
        <v>0</v>
      </c>
      <c r="G138" s="129">
        <v>0</v>
      </c>
      <c r="H138" s="129">
        <v>0</v>
      </c>
      <c r="I138" s="129">
        <f t="shared" si="15"/>
        <v>0</v>
      </c>
      <c r="J138" s="133">
        <v>0</v>
      </c>
      <c r="K138" s="129">
        <v>0</v>
      </c>
      <c r="L138" s="129">
        <f t="shared" si="16"/>
        <v>0</v>
      </c>
      <c r="M138" s="129"/>
      <c r="N138" s="129"/>
      <c r="O138" s="649">
        <f t="shared" si="17"/>
        <v>0</v>
      </c>
    </row>
    <row r="139" spans="1:19" ht="17.25" hidden="1" customHeight="1">
      <c r="B139" s="127" t="s">
        <v>968</v>
      </c>
      <c r="C139" s="127" t="s">
        <v>977</v>
      </c>
      <c r="D139" s="127"/>
      <c r="E139" s="128" t="s">
        <v>2520</v>
      </c>
      <c r="F139" s="129">
        <v>0</v>
      </c>
      <c r="G139" s="129">
        <v>0</v>
      </c>
      <c r="H139" s="129">
        <v>0</v>
      </c>
      <c r="I139" s="129">
        <f t="shared" si="15"/>
        <v>0</v>
      </c>
      <c r="J139" s="129">
        <v>0</v>
      </c>
      <c r="K139" s="129">
        <v>0</v>
      </c>
      <c r="L139" s="129">
        <f t="shared" si="16"/>
        <v>0</v>
      </c>
      <c r="M139" s="129"/>
      <c r="N139" s="129"/>
      <c r="O139" s="649">
        <f t="shared" si="17"/>
        <v>0</v>
      </c>
    </row>
    <row r="140" spans="1:19" ht="17.25" customHeight="1">
      <c r="B140" s="127">
        <v>640</v>
      </c>
      <c r="C140" s="127">
        <v>641</v>
      </c>
      <c r="D140" s="127">
        <v>6455</v>
      </c>
      <c r="E140" s="128" t="s">
        <v>2521</v>
      </c>
      <c r="F140" s="129">
        <v>-822017.94</v>
      </c>
      <c r="G140" s="129">
        <v>836611.99</v>
      </c>
      <c r="H140" s="129">
        <v>-261608.2</v>
      </c>
      <c r="I140" s="129">
        <f t="shared" si="15"/>
        <v>-247014.14999999997</v>
      </c>
      <c r="J140" s="129">
        <v>686933.96</v>
      </c>
      <c r="K140" s="129">
        <v>-507302.02</v>
      </c>
      <c r="L140" s="129">
        <f t="shared" si="16"/>
        <v>-67382.210000000021</v>
      </c>
      <c r="M140" s="129"/>
      <c r="N140" s="129"/>
      <c r="O140" s="649">
        <f t="shared" si="17"/>
        <v>-67382.210000000021</v>
      </c>
    </row>
    <row r="141" spans="1:19" ht="17.25" hidden="1" customHeight="1">
      <c r="B141" s="127">
        <v>640</v>
      </c>
      <c r="C141" s="127">
        <v>641</v>
      </c>
      <c r="D141" s="127">
        <v>6456</v>
      </c>
      <c r="E141" s="128" t="s">
        <v>2447</v>
      </c>
      <c r="F141" s="129">
        <v>-57303.34</v>
      </c>
      <c r="G141" s="129">
        <v>220875.99</v>
      </c>
      <c r="H141" s="129">
        <v>-163572.65</v>
      </c>
      <c r="I141" s="129">
        <f t="shared" si="15"/>
        <v>0</v>
      </c>
      <c r="J141" s="129">
        <v>143503.74</v>
      </c>
      <c r="K141" s="129">
        <v>-143503.74</v>
      </c>
      <c r="L141" s="129">
        <f t="shared" si="16"/>
        <v>0</v>
      </c>
      <c r="M141" s="129"/>
      <c r="N141" s="129"/>
      <c r="O141" s="649">
        <f t="shared" si="17"/>
        <v>0</v>
      </c>
    </row>
    <row r="142" spans="1:19" ht="17.25" hidden="1" customHeight="1">
      <c r="B142" s="127">
        <v>640</v>
      </c>
      <c r="C142" s="127">
        <v>641</v>
      </c>
      <c r="D142" s="127">
        <v>6457</v>
      </c>
      <c r="E142" s="128" t="s">
        <v>651</v>
      </c>
      <c r="F142" s="129">
        <v>-15043.11</v>
      </c>
      <c r="G142" s="129">
        <v>0</v>
      </c>
      <c r="H142" s="129">
        <v>0</v>
      </c>
      <c r="I142" s="129">
        <f t="shared" si="15"/>
        <v>-15043.11</v>
      </c>
      <c r="J142" s="129">
        <v>21189.11</v>
      </c>
      <c r="K142" s="129">
        <v>-21146</v>
      </c>
      <c r="L142" s="129">
        <f t="shared" si="16"/>
        <v>-15000</v>
      </c>
      <c r="M142" s="129">
        <v>15000</v>
      </c>
      <c r="N142" s="129"/>
      <c r="O142" s="649">
        <f t="shared" si="17"/>
        <v>0</v>
      </c>
    </row>
    <row r="143" spans="1:19" ht="17.25" hidden="1" customHeight="1">
      <c r="B143" s="127">
        <v>640</v>
      </c>
      <c r="C143" s="127">
        <v>641</v>
      </c>
      <c r="D143" s="127">
        <v>6458</v>
      </c>
      <c r="E143" s="128" t="s">
        <v>652</v>
      </c>
      <c r="F143" s="129">
        <v>-19325.45</v>
      </c>
      <c r="G143" s="129">
        <v>0</v>
      </c>
      <c r="H143" s="129">
        <v>0</v>
      </c>
      <c r="I143" s="129">
        <f t="shared" si="15"/>
        <v>-19325.45</v>
      </c>
      <c r="J143" s="129">
        <v>19325.45</v>
      </c>
      <c r="K143" s="129">
        <v>0</v>
      </c>
      <c r="L143" s="129">
        <f t="shared" si="16"/>
        <v>0</v>
      </c>
      <c r="M143" s="129"/>
      <c r="N143" s="129"/>
      <c r="O143" s="649">
        <f t="shared" si="17"/>
        <v>0</v>
      </c>
    </row>
    <row r="144" spans="1:19" ht="17.25" customHeight="1">
      <c r="B144" s="127">
        <v>640</v>
      </c>
      <c r="C144" s="127">
        <v>641</v>
      </c>
      <c r="D144" s="127">
        <v>6459</v>
      </c>
      <c r="E144" s="128" t="s">
        <v>653</v>
      </c>
      <c r="F144" s="129">
        <v>-54586.69</v>
      </c>
      <c r="G144" s="129">
        <v>0</v>
      </c>
      <c r="H144" s="129">
        <v>0</v>
      </c>
      <c r="I144" s="129">
        <f t="shared" si="15"/>
        <v>-54586.69</v>
      </c>
      <c r="J144" s="129">
        <v>0</v>
      </c>
      <c r="K144" s="129">
        <v>0</v>
      </c>
      <c r="L144" s="129">
        <f t="shared" si="16"/>
        <v>-54586.69</v>
      </c>
      <c r="M144" s="129"/>
      <c r="N144" s="129"/>
      <c r="O144" s="649">
        <f t="shared" si="17"/>
        <v>-54586.69</v>
      </c>
    </row>
    <row r="145" spans="2:15" ht="17.25" hidden="1" customHeight="1">
      <c r="B145" s="127">
        <v>640</v>
      </c>
      <c r="C145" s="127">
        <v>641</v>
      </c>
      <c r="D145" s="127">
        <v>6460</v>
      </c>
      <c r="E145" s="128" t="s">
        <v>2311</v>
      </c>
      <c r="F145" s="129">
        <v>-27466.02</v>
      </c>
      <c r="G145" s="129">
        <v>0</v>
      </c>
      <c r="H145" s="129">
        <v>0</v>
      </c>
      <c r="I145" s="129">
        <f t="shared" si="15"/>
        <v>-27466.02</v>
      </c>
      <c r="J145" s="129">
        <v>27466.02</v>
      </c>
      <c r="K145" s="129">
        <v>0</v>
      </c>
      <c r="L145" s="129">
        <f t="shared" si="16"/>
        <v>0</v>
      </c>
      <c r="M145" s="129"/>
      <c r="N145" s="129"/>
      <c r="O145" s="649">
        <f t="shared" si="17"/>
        <v>0</v>
      </c>
    </row>
    <row r="146" spans="2:15" ht="17.25" customHeight="1">
      <c r="B146" s="127">
        <v>640</v>
      </c>
      <c r="C146" s="127">
        <v>641</v>
      </c>
      <c r="D146" s="127">
        <v>6461</v>
      </c>
      <c r="E146" s="128" t="s">
        <v>654</v>
      </c>
      <c r="F146" s="129">
        <v>0</v>
      </c>
      <c r="G146" s="129">
        <v>0</v>
      </c>
      <c r="H146" s="129">
        <v>-993208.67</v>
      </c>
      <c r="I146" s="129">
        <f t="shared" si="15"/>
        <v>-993208.67</v>
      </c>
      <c r="J146" s="129">
        <v>2691189.96</v>
      </c>
      <c r="K146" s="129">
        <v>-3160995.35</v>
      </c>
      <c r="L146" s="129">
        <f t="shared" si="16"/>
        <v>-1463014.06</v>
      </c>
      <c r="M146" s="129">
        <v>1441055.52</v>
      </c>
      <c r="N146" s="129"/>
      <c r="O146" s="649">
        <f t="shared" si="17"/>
        <v>-21958.540000000037</v>
      </c>
    </row>
    <row r="147" spans="2:15" ht="17.25" hidden="1" customHeight="1">
      <c r="B147" s="127">
        <v>640</v>
      </c>
      <c r="C147" s="127">
        <v>641</v>
      </c>
      <c r="D147" s="127">
        <v>6462</v>
      </c>
      <c r="E147" s="128" t="s">
        <v>655</v>
      </c>
      <c r="F147" s="129">
        <v>0</v>
      </c>
      <c r="G147" s="129">
        <v>286368</v>
      </c>
      <c r="H147" s="129">
        <v>-286368</v>
      </c>
      <c r="I147" s="129">
        <f t="shared" si="15"/>
        <v>0</v>
      </c>
      <c r="J147" s="129">
        <v>648567.57999999996</v>
      </c>
      <c r="K147" s="129">
        <v>-648567.57999999996</v>
      </c>
      <c r="L147" s="129">
        <f t="shared" si="16"/>
        <v>0</v>
      </c>
      <c r="M147" s="129"/>
      <c r="N147" s="129"/>
      <c r="O147" s="649">
        <f t="shared" si="17"/>
        <v>0</v>
      </c>
    </row>
    <row r="148" spans="2:15" ht="17.25" customHeight="1">
      <c r="B148" s="127">
        <v>640</v>
      </c>
      <c r="C148" s="127">
        <v>641</v>
      </c>
      <c r="D148" s="127">
        <v>6463</v>
      </c>
      <c r="E148" s="128" t="s">
        <v>660</v>
      </c>
      <c r="F148" s="129">
        <v>-1562266.36</v>
      </c>
      <c r="G148" s="129">
        <v>596157.11</v>
      </c>
      <c r="H148" s="129">
        <v>-1236697.06</v>
      </c>
      <c r="I148" s="129">
        <f t="shared" si="15"/>
        <v>-2202806.31</v>
      </c>
      <c r="J148" s="129">
        <v>361601.75</v>
      </c>
      <c r="K148" s="129">
        <v>-959385.82</v>
      </c>
      <c r="L148" s="129">
        <f t="shared" si="16"/>
        <v>-2800590.38</v>
      </c>
      <c r="M148" s="129">
        <v>1066199.94</v>
      </c>
      <c r="N148" s="129">
        <v>-2520970.5099999998</v>
      </c>
      <c r="O148" s="649">
        <f t="shared" si="17"/>
        <v>-4255360.9499999993</v>
      </c>
    </row>
    <row r="149" spans="2:15" ht="17.25" customHeight="1">
      <c r="B149" s="127">
        <v>640</v>
      </c>
      <c r="C149" s="127">
        <v>640</v>
      </c>
      <c r="D149" s="127">
        <v>6464</v>
      </c>
      <c r="E149" s="128" t="s">
        <v>2010</v>
      </c>
      <c r="F149" s="129">
        <v>0</v>
      </c>
      <c r="G149" s="129">
        <v>0</v>
      </c>
      <c r="H149" s="129">
        <v>-295466.28999999998</v>
      </c>
      <c r="I149" s="129">
        <f t="shared" si="15"/>
        <v>-295466.28999999998</v>
      </c>
      <c r="J149" s="129">
        <v>125784.43</v>
      </c>
      <c r="K149" s="129">
        <v>0</v>
      </c>
      <c r="L149" s="129">
        <f t="shared" si="16"/>
        <v>-169681.86</v>
      </c>
      <c r="M149" s="129"/>
      <c r="N149" s="129">
        <v>-164075.14000000001</v>
      </c>
      <c r="O149" s="649">
        <f t="shared" si="17"/>
        <v>-333757</v>
      </c>
    </row>
    <row r="150" spans="2:15" ht="17.25" hidden="1" customHeight="1">
      <c r="B150" s="127">
        <v>640</v>
      </c>
      <c r="C150" s="127">
        <v>640</v>
      </c>
      <c r="D150" s="127">
        <v>6465</v>
      </c>
      <c r="E150" s="128" t="s">
        <v>1298</v>
      </c>
      <c r="F150" s="129">
        <v>0</v>
      </c>
      <c r="G150" s="129">
        <v>0</v>
      </c>
      <c r="H150" s="129">
        <v>-450000</v>
      </c>
      <c r="I150" s="129">
        <f t="shared" si="15"/>
        <v>-450000</v>
      </c>
      <c r="J150" s="129">
        <v>450000</v>
      </c>
      <c r="K150" s="129">
        <v>0</v>
      </c>
      <c r="L150" s="129">
        <f t="shared" si="16"/>
        <v>0</v>
      </c>
      <c r="M150" s="129"/>
      <c r="N150" s="129"/>
      <c r="O150" s="649">
        <f t="shared" si="17"/>
        <v>0</v>
      </c>
    </row>
    <row r="151" spans="2:15" ht="17.25" customHeight="1">
      <c r="B151" s="519">
        <v>640</v>
      </c>
      <c r="C151" s="519">
        <v>640</v>
      </c>
      <c r="D151" s="519">
        <v>6466</v>
      </c>
      <c r="E151" s="520" t="s">
        <v>1299</v>
      </c>
      <c r="F151" s="521">
        <v>0</v>
      </c>
      <c r="G151" s="521">
        <v>0</v>
      </c>
      <c r="H151" s="521">
        <v>-211414.04</v>
      </c>
      <c r="I151" s="521">
        <f t="shared" si="15"/>
        <v>-211414.04</v>
      </c>
      <c r="J151" s="521">
        <v>0</v>
      </c>
      <c r="K151" s="521">
        <v>0</v>
      </c>
      <c r="L151" s="521">
        <f t="shared" si="16"/>
        <v>-211414.04</v>
      </c>
      <c r="M151" s="129"/>
      <c r="N151" s="129"/>
      <c r="O151" s="649">
        <f t="shared" si="17"/>
        <v>-211414.04</v>
      </c>
    </row>
    <row r="152" spans="2:15" ht="17.25" customHeight="1">
      <c r="B152" s="127">
        <v>640</v>
      </c>
      <c r="C152" s="127">
        <v>641</v>
      </c>
      <c r="D152" s="127">
        <v>6467</v>
      </c>
      <c r="E152" s="128" t="s">
        <v>2728</v>
      </c>
      <c r="F152" s="129"/>
      <c r="G152" s="129"/>
      <c r="H152" s="129"/>
      <c r="I152" s="129"/>
      <c r="J152" s="129">
        <v>2315197.25</v>
      </c>
      <c r="K152" s="129">
        <v>-2666807.96</v>
      </c>
      <c r="L152" s="129">
        <f t="shared" si="16"/>
        <v>-351610.70999999996</v>
      </c>
      <c r="M152" s="129"/>
      <c r="N152" s="129"/>
      <c r="O152" s="649">
        <f t="shared" si="17"/>
        <v>-351610.70999999996</v>
      </c>
    </row>
    <row r="153" spans="2:15" ht="17.25" customHeight="1">
      <c r="B153" s="127"/>
      <c r="C153" s="127"/>
      <c r="D153" s="127"/>
      <c r="E153" s="128" t="s">
        <v>3967</v>
      </c>
      <c r="F153" s="129"/>
      <c r="G153" s="129"/>
      <c r="H153" s="129"/>
      <c r="I153" s="129"/>
      <c r="J153" s="129"/>
      <c r="K153" s="129"/>
      <c r="L153" s="129"/>
      <c r="M153" s="129"/>
      <c r="N153" s="129">
        <v>-215723</v>
      </c>
      <c r="O153" s="649">
        <f t="shared" si="17"/>
        <v>-215723</v>
      </c>
    </row>
    <row r="154" spans="2:15" ht="17.25" customHeight="1">
      <c r="B154" s="127">
        <v>640</v>
      </c>
      <c r="C154" s="127">
        <v>641</v>
      </c>
      <c r="D154" s="127">
        <v>6468</v>
      </c>
      <c r="E154" s="128" t="s">
        <v>2729</v>
      </c>
      <c r="F154" s="129"/>
      <c r="G154" s="131"/>
      <c r="H154" s="131"/>
      <c r="I154" s="129"/>
      <c r="J154" s="129"/>
      <c r="K154" s="129">
        <v>-655764.94999999995</v>
      </c>
      <c r="L154" s="129">
        <f t="shared" si="16"/>
        <v>-655764.94999999995</v>
      </c>
      <c r="M154" s="129">
        <v>523562.44</v>
      </c>
      <c r="N154" s="129"/>
      <c r="O154" s="649">
        <f t="shared" si="17"/>
        <v>-132202.50999999995</v>
      </c>
    </row>
    <row r="155" spans="2:15" ht="17.25" customHeight="1">
      <c r="B155" s="130" t="s">
        <v>968</v>
      </c>
      <c r="C155" s="130" t="s">
        <v>977</v>
      </c>
      <c r="D155" s="130" t="s">
        <v>3553</v>
      </c>
      <c r="E155" s="128" t="s">
        <v>3554</v>
      </c>
      <c r="F155" s="129"/>
      <c r="G155" s="131"/>
      <c r="H155" s="131"/>
      <c r="I155" s="129"/>
      <c r="J155" s="129"/>
      <c r="K155" s="129">
        <v>0</v>
      </c>
      <c r="L155" s="129">
        <f t="shared" si="16"/>
        <v>0</v>
      </c>
      <c r="M155" s="129">
        <v>0</v>
      </c>
      <c r="N155" s="129">
        <v>-2616262.73</v>
      </c>
      <c r="O155" s="649">
        <f t="shared" si="17"/>
        <v>-2616262.73</v>
      </c>
    </row>
    <row r="156" spans="2:15" ht="17.25" customHeight="1">
      <c r="B156" s="127">
        <v>640</v>
      </c>
      <c r="C156" s="127">
        <v>641</v>
      </c>
      <c r="D156" s="127">
        <v>6481</v>
      </c>
      <c r="E156" s="128" t="s">
        <v>3502</v>
      </c>
      <c r="F156" s="129"/>
      <c r="G156" s="131"/>
      <c r="H156" s="131"/>
      <c r="I156" s="129"/>
      <c r="J156" s="129"/>
      <c r="K156" s="129"/>
      <c r="L156" s="129"/>
      <c r="M156" s="129"/>
      <c r="N156" s="129">
        <v>-964441.63</v>
      </c>
      <c r="O156" s="649">
        <f t="shared" si="17"/>
        <v>-964441.63</v>
      </c>
    </row>
    <row r="157" spans="2:15" ht="17.25" customHeight="1">
      <c r="B157" s="127">
        <v>640</v>
      </c>
      <c r="C157" s="127">
        <v>641</v>
      </c>
      <c r="D157" s="127">
        <v>6482</v>
      </c>
      <c r="E157" s="128" t="s">
        <v>3503</v>
      </c>
      <c r="F157" s="129"/>
      <c r="G157" s="131"/>
      <c r="H157" s="131"/>
      <c r="I157" s="129"/>
      <c r="J157" s="129"/>
      <c r="K157" s="129"/>
      <c r="L157" s="129"/>
      <c r="M157" s="129"/>
      <c r="N157" s="129">
        <v>-940000</v>
      </c>
      <c r="O157" s="649">
        <f t="shared" si="17"/>
        <v>-940000</v>
      </c>
    </row>
    <row r="158" spans="2:15" ht="17.25" customHeight="1">
      <c r="B158" s="127">
        <v>640</v>
      </c>
      <c r="C158" s="127">
        <v>641</v>
      </c>
      <c r="D158" s="127">
        <v>6484</v>
      </c>
      <c r="E158" s="128" t="s">
        <v>3933</v>
      </c>
      <c r="F158" s="129"/>
      <c r="G158" s="131"/>
      <c r="H158" s="131"/>
      <c r="I158" s="129"/>
      <c r="J158" s="129"/>
      <c r="K158" s="129"/>
      <c r="L158" s="129"/>
      <c r="M158" s="129"/>
      <c r="N158" s="129">
        <v>-5234591.3099999996</v>
      </c>
      <c r="O158" s="649">
        <f t="shared" si="17"/>
        <v>-5234591.3099999996</v>
      </c>
    </row>
    <row r="159" spans="2:15" ht="17.25" customHeight="1">
      <c r="B159" s="127">
        <v>640</v>
      </c>
      <c r="C159" s="127">
        <v>641</v>
      </c>
      <c r="D159" s="127">
        <v>6483</v>
      </c>
      <c r="E159" s="128" t="s">
        <v>3504</v>
      </c>
      <c r="F159" s="129"/>
      <c r="G159" s="131"/>
      <c r="H159" s="131"/>
      <c r="I159" s="129"/>
      <c r="J159" s="129"/>
      <c r="K159" s="129"/>
      <c r="L159" s="129"/>
      <c r="M159" s="129"/>
      <c r="N159" s="129">
        <v>-419555.2</v>
      </c>
      <c r="O159" s="649">
        <f t="shared" si="17"/>
        <v>-419555.2</v>
      </c>
    </row>
    <row r="160" spans="2:15" ht="17.25" customHeight="1" thickBot="1">
      <c r="B160" s="540"/>
      <c r="C160" s="540"/>
      <c r="D160" s="540"/>
      <c r="L160" s="156"/>
      <c r="M160" s="542"/>
      <c r="N160" s="542"/>
      <c r="O160" s="652"/>
    </row>
    <row r="161" spans="1:44" ht="17.25" customHeight="1" thickTop="1" thickBot="1">
      <c r="B161" s="135" t="s">
        <v>861</v>
      </c>
      <c r="C161" s="135"/>
      <c r="D161" s="135"/>
      <c r="E161" s="135" t="s">
        <v>2522</v>
      </c>
      <c r="F161" s="134">
        <f>SUM(F115:F154)</f>
        <v>-8331372.4399999995</v>
      </c>
      <c r="G161" s="134">
        <f>SUM(G115:G154)</f>
        <v>20487526.839999996</v>
      </c>
      <c r="H161" s="134">
        <f>SUM(H115:H154)</f>
        <v>-25946246.829999998</v>
      </c>
      <c r="I161" s="134">
        <f>SUM(I115:I154)</f>
        <v>-13790092.429999996</v>
      </c>
      <c r="J161" s="134">
        <f>SUM(J115:J154)</f>
        <v>12602443.770000001</v>
      </c>
      <c r="K161" s="134">
        <f>SUM(K115:K155)</f>
        <v>-21909645.940000001</v>
      </c>
      <c r="L161" s="134">
        <f>SUM(L115:L155)</f>
        <v>-23097294.599999998</v>
      </c>
      <c r="M161" s="134">
        <f>SUM(M115:M160)</f>
        <v>14638615.449999999</v>
      </c>
      <c r="N161" s="134">
        <f>SUM(N115:N160)</f>
        <v>-30469255.449999996</v>
      </c>
      <c r="O161" s="653">
        <f>SUM(O115:O160)</f>
        <v>-38927934.600000009</v>
      </c>
    </row>
    <row r="162" spans="1:44" ht="17.25" customHeight="1" thickTop="1" thickBot="1">
      <c r="B162" s="540"/>
      <c r="C162" s="540"/>
      <c r="D162" s="540"/>
      <c r="M162" s="542"/>
      <c r="N162" s="542"/>
      <c r="O162" s="648">
        <f t="shared" si="17"/>
        <v>0</v>
      </c>
    </row>
    <row r="163" spans="1:44" ht="17.25" customHeight="1" thickTop="1" thickBot="1">
      <c r="B163" s="137" t="s">
        <v>2660</v>
      </c>
      <c r="C163" s="138"/>
      <c r="D163" s="136"/>
      <c r="E163" s="135" t="s">
        <v>2523</v>
      </c>
      <c r="F163" s="134">
        <f>F161+F113</f>
        <v>-15245499.949999999</v>
      </c>
      <c r="G163" s="134">
        <f>G161+G113</f>
        <v>35910413.029999994</v>
      </c>
      <c r="H163" s="134">
        <f>H161+H113</f>
        <v>-40588321.140000001</v>
      </c>
      <c r="I163" s="134">
        <f>I161+I113</f>
        <v>-19923408.059999995</v>
      </c>
      <c r="J163" s="134">
        <f t="shared" ref="J163:O163" si="18">J161+J113</f>
        <v>30881098.399999999</v>
      </c>
      <c r="K163" s="134">
        <f t="shared" si="18"/>
        <v>-51544681.459999993</v>
      </c>
      <c r="L163" s="134">
        <f t="shared" si="18"/>
        <v>-40586991.11999999</v>
      </c>
      <c r="M163" s="134">
        <f t="shared" si="18"/>
        <v>48065181.939999998</v>
      </c>
      <c r="N163" s="134">
        <f t="shared" si="18"/>
        <v>-75262304.680000007</v>
      </c>
      <c r="O163" s="653">
        <f t="shared" si="18"/>
        <v>-67784113.860000014</v>
      </c>
    </row>
    <row r="164" spans="1:44" ht="17.25" customHeight="1" thickTop="1">
      <c r="B164" s="540"/>
      <c r="C164" s="540"/>
      <c r="D164" s="540"/>
      <c r="L164" s="542">
        <f t="shared" ref="L164:L172" si="19">+I164+J164+K164</f>
        <v>0</v>
      </c>
      <c r="M164" s="542"/>
      <c r="N164" s="542"/>
      <c r="O164" s="542">
        <f t="shared" si="17"/>
        <v>0</v>
      </c>
    </row>
    <row r="165" spans="1:44" s="546" customFormat="1" ht="17.25" hidden="1" customHeight="1">
      <c r="A165" s="546">
        <v>5</v>
      </c>
      <c r="B165" s="127" t="s">
        <v>2334</v>
      </c>
      <c r="C165" s="127">
        <v>800</v>
      </c>
      <c r="D165" s="127" t="s">
        <v>2446</v>
      </c>
      <c r="E165" s="128" t="s">
        <v>2524</v>
      </c>
      <c r="F165" s="129">
        <f>51927705.84-51927705.84</f>
        <v>0</v>
      </c>
      <c r="G165" s="129"/>
      <c r="H165" s="129"/>
      <c r="I165" s="129">
        <f>SUM(F165:H165)</f>
        <v>0</v>
      </c>
      <c r="J165" s="129">
        <v>0</v>
      </c>
      <c r="K165" s="129">
        <v>0</v>
      </c>
      <c r="L165" s="129">
        <f t="shared" si="19"/>
        <v>0</v>
      </c>
      <c r="M165" s="131"/>
      <c r="N165" s="131"/>
      <c r="O165" s="129">
        <f t="shared" si="17"/>
        <v>0</v>
      </c>
      <c r="P165" s="542"/>
      <c r="Q165" s="542"/>
      <c r="R165" s="542"/>
      <c r="S165" s="542"/>
      <c r="T165" s="542"/>
      <c r="U165" s="542"/>
      <c r="V165" s="542"/>
      <c r="W165" s="542"/>
      <c r="X165" s="543"/>
      <c r="Y165" s="543"/>
      <c r="Z165" s="543"/>
      <c r="AA165" s="543"/>
      <c r="AB165" s="543"/>
      <c r="AC165" s="543"/>
      <c r="AD165" s="543"/>
      <c r="AE165" s="543"/>
      <c r="AF165" s="543"/>
      <c r="AG165" s="543"/>
      <c r="AH165" s="543"/>
      <c r="AI165" s="543"/>
      <c r="AJ165" s="543"/>
      <c r="AK165" s="543"/>
      <c r="AL165" s="543"/>
      <c r="AM165" s="543"/>
      <c r="AN165" s="543"/>
      <c r="AO165" s="543"/>
      <c r="AP165" s="543"/>
      <c r="AQ165" s="543"/>
      <c r="AR165" s="543"/>
    </row>
    <row r="166" spans="1:44" s="546" customFormat="1" ht="17.25" hidden="1" customHeight="1">
      <c r="A166" s="546">
        <v>5</v>
      </c>
      <c r="B166" s="127" t="s">
        <v>2334</v>
      </c>
      <c r="C166" s="127">
        <v>800</v>
      </c>
      <c r="D166" s="127" t="s">
        <v>2435</v>
      </c>
      <c r="E166" s="128" t="s">
        <v>2525</v>
      </c>
      <c r="F166" s="129">
        <f>2639648.5-2639648.5</f>
        <v>0</v>
      </c>
      <c r="G166" s="129"/>
      <c r="H166" s="129"/>
      <c r="I166" s="129">
        <f>SUM(F166:H166)</f>
        <v>0</v>
      </c>
      <c r="J166" s="129">
        <v>0</v>
      </c>
      <c r="K166" s="129">
        <v>0</v>
      </c>
      <c r="L166" s="129">
        <f t="shared" si="19"/>
        <v>0</v>
      </c>
      <c r="M166" s="131"/>
      <c r="N166" s="131"/>
      <c r="O166" s="129">
        <f t="shared" si="17"/>
        <v>0</v>
      </c>
      <c r="P166" s="542"/>
      <c r="Q166" s="542"/>
      <c r="R166" s="542"/>
      <c r="S166" s="542"/>
      <c r="T166" s="542"/>
      <c r="U166" s="542"/>
      <c r="V166" s="542"/>
      <c r="W166" s="542"/>
      <c r="X166" s="543"/>
      <c r="Y166" s="543"/>
      <c r="Z166" s="543"/>
      <c r="AA166" s="543"/>
      <c r="AB166" s="543"/>
      <c r="AC166" s="543"/>
      <c r="AD166" s="543"/>
      <c r="AE166" s="543"/>
      <c r="AF166" s="543"/>
      <c r="AG166" s="543"/>
      <c r="AH166" s="543"/>
      <c r="AI166" s="543"/>
      <c r="AJ166" s="543"/>
      <c r="AK166" s="543"/>
      <c r="AL166" s="543"/>
      <c r="AM166" s="543"/>
      <c r="AN166" s="543"/>
      <c r="AO166" s="543"/>
      <c r="AP166" s="543"/>
      <c r="AQ166" s="543"/>
      <c r="AR166" s="543"/>
    </row>
    <row r="167" spans="1:44" s="546" customFormat="1" ht="17.25" customHeight="1">
      <c r="B167" s="127">
        <v>800</v>
      </c>
      <c r="C167" s="127">
        <v>800</v>
      </c>
      <c r="D167" s="127">
        <v>8031</v>
      </c>
      <c r="E167" s="128" t="s">
        <v>2012</v>
      </c>
      <c r="F167" s="129">
        <v>20757593.469999999</v>
      </c>
      <c r="G167" s="129">
        <v>3681771.44</v>
      </c>
      <c r="H167" s="129">
        <v>-2438863.15</v>
      </c>
      <c r="I167" s="129">
        <f>SUM(F167:H167)</f>
        <v>22000501.760000002</v>
      </c>
      <c r="J167" s="129">
        <f>3816536.47+541534.77</f>
        <v>4358071.24</v>
      </c>
      <c r="K167" s="129">
        <v>0</v>
      </c>
      <c r="L167" s="129">
        <f t="shared" si="19"/>
        <v>26358573</v>
      </c>
      <c r="M167" s="129">
        <f>2144982.88+30164.12</f>
        <v>2175147</v>
      </c>
      <c r="N167" s="131"/>
      <c r="O167" s="649">
        <f t="shared" si="17"/>
        <v>28533720</v>
      </c>
      <c r="P167" s="542"/>
      <c r="Q167" s="542">
        <v>-13034360.619999999</v>
      </c>
      <c r="R167" s="542">
        <f>SUM(O167:Q167)</f>
        <v>15499359.380000001</v>
      </c>
      <c r="S167" s="542"/>
      <c r="T167" s="542"/>
      <c r="U167" s="542"/>
      <c r="V167" s="542"/>
      <c r="W167" s="542"/>
      <c r="X167" s="543"/>
      <c r="Y167" s="543"/>
      <c r="Z167" s="543"/>
      <c r="AA167" s="543"/>
      <c r="AB167" s="543"/>
      <c r="AC167" s="543"/>
      <c r="AD167" s="543"/>
      <c r="AE167" s="543"/>
      <c r="AF167" s="543"/>
      <c r="AG167" s="543"/>
      <c r="AH167" s="543"/>
      <c r="AI167" s="543"/>
      <c r="AJ167" s="543"/>
      <c r="AK167" s="543"/>
      <c r="AL167" s="543"/>
      <c r="AM167" s="543"/>
      <c r="AN167" s="543"/>
      <c r="AO167" s="543"/>
      <c r="AP167" s="543"/>
      <c r="AQ167" s="543"/>
      <c r="AR167" s="543"/>
    </row>
    <row r="168" spans="1:44" s="546" customFormat="1" ht="17.25" customHeight="1">
      <c r="B168" s="127">
        <v>800</v>
      </c>
      <c r="C168" s="127">
        <v>800</v>
      </c>
      <c r="D168" s="127">
        <v>8032</v>
      </c>
      <c r="E168" s="128" t="s">
        <v>2495</v>
      </c>
      <c r="F168" s="129">
        <v>24099683.079999998</v>
      </c>
      <c r="G168" s="129">
        <v>85498365.909999996</v>
      </c>
      <c r="H168" s="129">
        <v>-8493.8700000000008</v>
      </c>
      <c r="I168" s="129">
        <f>SUM(F168:H168)</f>
        <v>109589555.11999999</v>
      </c>
      <c r="J168" s="129">
        <v>0</v>
      </c>
      <c r="K168" s="129">
        <v>-32325962.920000002</v>
      </c>
      <c r="L168" s="129">
        <f>+I168+J168+K168+0.05</f>
        <v>77263592.249999985</v>
      </c>
      <c r="M168" s="129">
        <f>4283856.96+275558.37+280444.8+215723</f>
        <v>5055583.13</v>
      </c>
      <c r="N168" s="131">
        <v>-218000</v>
      </c>
      <c r="O168" s="649">
        <f t="shared" si="17"/>
        <v>82101175.37999998</v>
      </c>
      <c r="P168" s="542"/>
      <c r="Q168" s="542">
        <v>-5405935.29</v>
      </c>
      <c r="R168" s="542">
        <f>SUM(O168:Q168)</f>
        <v>76695240.089999974</v>
      </c>
      <c r="S168" s="542"/>
      <c r="T168" s="542"/>
      <c r="U168" s="542"/>
      <c r="V168" s="542"/>
      <c r="W168" s="542"/>
      <c r="X168" s="543"/>
      <c r="Y168" s="543"/>
      <c r="Z168" s="543"/>
      <c r="AA168" s="543"/>
      <c r="AB168" s="543"/>
      <c r="AC168" s="543"/>
      <c r="AD168" s="543"/>
      <c r="AE168" s="543"/>
      <c r="AF168" s="543"/>
      <c r="AG168" s="543"/>
      <c r="AH168" s="543"/>
      <c r="AI168" s="543"/>
      <c r="AJ168" s="543"/>
      <c r="AK168" s="543"/>
      <c r="AL168" s="543"/>
      <c r="AM168" s="543"/>
      <c r="AN168" s="543"/>
      <c r="AO168" s="543"/>
      <c r="AP168" s="543"/>
      <c r="AQ168" s="543"/>
      <c r="AR168" s="543"/>
    </row>
    <row r="169" spans="1:44" s="546" customFormat="1" ht="17.25" customHeight="1">
      <c r="B169" s="127">
        <v>800</v>
      </c>
      <c r="C169" s="127">
        <v>800</v>
      </c>
      <c r="D169" s="127">
        <v>8033</v>
      </c>
      <c r="E169" s="128" t="s">
        <v>2496</v>
      </c>
      <c r="F169" s="129">
        <v>8780077.8000000007</v>
      </c>
      <c r="G169" s="129">
        <v>105858552.62</v>
      </c>
      <c r="H169" s="129">
        <v>-102546343.53</v>
      </c>
      <c r="I169" s="129">
        <f>SUM(F169:H169)</f>
        <v>12092286.890000001</v>
      </c>
      <c r="J169" s="129">
        <v>4257415.1399999997</v>
      </c>
      <c r="K169" s="129">
        <v>0</v>
      </c>
      <c r="L169" s="129">
        <f>+I169+J169+K169+0.03</f>
        <v>16349702.060000001</v>
      </c>
      <c r="M169" s="129">
        <f>1139577.92-423376.42-423376.42</f>
        <v>292825.08</v>
      </c>
      <c r="N169" s="131">
        <v>0</v>
      </c>
      <c r="O169" s="649">
        <f t="shared" si="17"/>
        <v>16642527.140000001</v>
      </c>
      <c r="P169" s="542"/>
      <c r="Q169" s="542">
        <v>-10723812.279999999</v>
      </c>
      <c r="R169" s="542">
        <f>SUM(O169:Q169)</f>
        <v>5918714.8600000013</v>
      </c>
      <c r="S169" s="542"/>
      <c r="T169" s="542"/>
      <c r="U169" s="542"/>
      <c r="V169" s="542"/>
      <c r="W169" s="542"/>
      <c r="X169" s="543"/>
      <c r="Y169" s="543"/>
      <c r="Z169" s="543"/>
      <c r="AA169" s="543"/>
      <c r="AB169" s="543"/>
      <c r="AC169" s="543"/>
      <c r="AD169" s="543"/>
      <c r="AE169" s="543"/>
      <c r="AF169" s="543"/>
      <c r="AG169" s="543"/>
      <c r="AH169" s="543"/>
      <c r="AI169" s="543"/>
      <c r="AJ169" s="543"/>
      <c r="AK169" s="543"/>
      <c r="AL169" s="543"/>
      <c r="AM169" s="543"/>
      <c r="AN169" s="543"/>
      <c r="AO169" s="543"/>
      <c r="AP169" s="543"/>
      <c r="AQ169" s="543"/>
      <c r="AR169" s="543"/>
    </row>
    <row r="170" spans="1:44" s="546" customFormat="1" ht="17.25" customHeight="1">
      <c r="B170" s="127">
        <v>800</v>
      </c>
      <c r="C170" s="127">
        <v>800</v>
      </c>
      <c r="D170" s="127">
        <v>8034</v>
      </c>
      <c r="E170" s="128" t="s">
        <v>3151</v>
      </c>
      <c r="F170" s="129"/>
      <c r="G170" s="129"/>
      <c r="H170" s="129"/>
      <c r="I170" s="129"/>
      <c r="J170" s="129">
        <v>700</v>
      </c>
      <c r="K170" s="129"/>
      <c r="L170" s="129">
        <f t="shared" si="19"/>
        <v>700</v>
      </c>
      <c r="M170" s="131">
        <v>423376.42</v>
      </c>
      <c r="N170" s="131">
        <v>0</v>
      </c>
      <c r="O170" s="649">
        <f t="shared" si="17"/>
        <v>424076.42</v>
      </c>
      <c r="P170" s="542"/>
      <c r="Q170" s="542">
        <v>-251705.14</v>
      </c>
      <c r="R170" s="542">
        <f>SUM(O170:Q170)</f>
        <v>172371.27999999997</v>
      </c>
      <c r="S170" s="542"/>
      <c r="T170" s="542"/>
      <c r="U170" s="542"/>
      <c r="V170" s="542"/>
      <c r="W170" s="542"/>
      <c r="X170" s="543"/>
      <c r="Y170" s="543"/>
      <c r="Z170" s="543"/>
      <c r="AA170" s="543"/>
      <c r="AB170" s="543"/>
      <c r="AC170" s="543"/>
      <c r="AD170" s="543"/>
      <c r="AE170" s="543"/>
      <c r="AF170" s="543"/>
      <c r="AG170" s="543"/>
      <c r="AH170" s="543"/>
      <c r="AI170" s="543"/>
      <c r="AJ170" s="543"/>
      <c r="AK170" s="543"/>
      <c r="AL170" s="543"/>
      <c r="AM170" s="543"/>
      <c r="AN170" s="543"/>
      <c r="AO170" s="543"/>
      <c r="AP170" s="543"/>
      <c r="AQ170" s="543"/>
      <c r="AR170" s="543"/>
    </row>
    <row r="171" spans="1:44" s="546" customFormat="1" ht="17.25" customHeight="1">
      <c r="B171" s="127">
        <v>800</v>
      </c>
      <c r="C171" s="127">
        <v>800</v>
      </c>
      <c r="D171" s="127">
        <v>8035</v>
      </c>
      <c r="E171" s="128" t="s">
        <v>3152</v>
      </c>
      <c r="F171" s="129"/>
      <c r="G171" s="129"/>
      <c r="H171" s="129"/>
      <c r="I171" s="129"/>
      <c r="J171" s="129">
        <v>52296220</v>
      </c>
      <c r="K171" s="129">
        <v>-2765370</v>
      </c>
      <c r="L171" s="129">
        <f t="shared" si="19"/>
        <v>49530850</v>
      </c>
      <c r="M171" s="131">
        <v>218000</v>
      </c>
      <c r="N171" s="131">
        <v>-14042850</v>
      </c>
      <c r="O171" s="649">
        <f t="shared" si="17"/>
        <v>35706000</v>
      </c>
      <c r="P171" s="542"/>
      <c r="Q171" s="542"/>
      <c r="R171" s="542"/>
      <c r="S171" s="542"/>
      <c r="T171" s="542"/>
      <c r="U171" s="542"/>
      <c r="V171" s="542"/>
      <c r="W171" s="542"/>
      <c r="X171" s="543"/>
      <c r="Y171" s="543"/>
      <c r="Z171" s="543"/>
      <c r="AA171" s="543"/>
      <c r="AB171" s="543"/>
      <c r="AC171" s="543"/>
      <c r="AD171" s="543"/>
      <c r="AE171" s="543"/>
      <c r="AF171" s="543"/>
      <c r="AG171" s="543"/>
      <c r="AH171" s="543"/>
      <c r="AI171" s="543"/>
      <c r="AJ171" s="543"/>
      <c r="AK171" s="543"/>
      <c r="AL171" s="543"/>
      <c r="AM171" s="543"/>
      <c r="AN171" s="543"/>
      <c r="AO171" s="543"/>
      <c r="AP171" s="543"/>
      <c r="AQ171" s="543"/>
      <c r="AR171" s="543"/>
    </row>
    <row r="172" spans="1:44" s="546" customFormat="1" ht="17.25" hidden="1" customHeight="1">
      <c r="B172" s="127"/>
      <c r="C172" s="127"/>
      <c r="D172" s="127"/>
      <c r="E172" s="128"/>
      <c r="F172" s="129"/>
      <c r="G172" s="129"/>
      <c r="H172" s="129"/>
      <c r="I172" s="129"/>
      <c r="J172" s="129"/>
      <c r="K172" s="129"/>
      <c r="L172" s="129">
        <f t="shared" si="19"/>
        <v>0</v>
      </c>
      <c r="M172" s="131"/>
      <c r="N172" s="131"/>
      <c r="O172" s="649">
        <f t="shared" si="17"/>
        <v>0</v>
      </c>
      <c r="P172" s="542"/>
      <c r="Q172" s="542"/>
      <c r="R172" s="542"/>
      <c r="S172" s="542"/>
      <c r="T172" s="542"/>
      <c r="U172" s="542"/>
      <c r="V172" s="542"/>
      <c r="W172" s="542"/>
      <c r="X172" s="543"/>
      <c r="Y172" s="543"/>
      <c r="Z172" s="543"/>
      <c r="AA172" s="543"/>
      <c r="AB172" s="543"/>
      <c r="AC172" s="543"/>
      <c r="AD172" s="543"/>
      <c r="AE172" s="543"/>
      <c r="AF172" s="543"/>
      <c r="AG172" s="543"/>
      <c r="AH172" s="543"/>
      <c r="AI172" s="543"/>
      <c r="AJ172" s="543"/>
      <c r="AK172" s="543"/>
      <c r="AL172" s="543"/>
      <c r="AM172" s="543"/>
      <c r="AN172" s="543"/>
      <c r="AO172" s="543"/>
      <c r="AP172" s="543"/>
      <c r="AQ172" s="543"/>
      <c r="AR172" s="543"/>
    </row>
    <row r="173" spans="1:44" s="546" customFormat="1" ht="17.25" customHeight="1" thickBot="1">
      <c r="B173" s="536"/>
      <c r="C173" s="536"/>
      <c r="D173" s="536"/>
      <c r="F173" s="543"/>
      <c r="G173" s="543"/>
      <c r="H173" s="543"/>
      <c r="I173" s="543"/>
      <c r="J173" s="543"/>
      <c r="K173" s="543"/>
      <c r="L173" s="543"/>
      <c r="M173" s="543"/>
      <c r="N173" s="543"/>
      <c r="O173" s="652">
        <f t="shared" si="17"/>
        <v>0</v>
      </c>
      <c r="P173" s="542"/>
      <c r="Q173" s="542"/>
      <c r="R173" s="542"/>
      <c r="S173" s="542"/>
      <c r="T173" s="542"/>
      <c r="U173" s="542"/>
      <c r="V173" s="542"/>
      <c r="W173" s="542"/>
      <c r="X173" s="543"/>
      <c r="Y173" s="543"/>
      <c r="Z173" s="543"/>
      <c r="AA173" s="543"/>
      <c r="AB173" s="543"/>
      <c r="AC173" s="543"/>
      <c r="AD173" s="543"/>
      <c r="AE173" s="543"/>
      <c r="AF173" s="543"/>
      <c r="AG173" s="543"/>
      <c r="AH173" s="543"/>
      <c r="AI173" s="543"/>
      <c r="AJ173" s="543"/>
      <c r="AK173" s="543"/>
      <c r="AL173" s="543"/>
      <c r="AM173" s="543"/>
      <c r="AN173" s="543"/>
      <c r="AO173" s="543"/>
      <c r="AP173" s="543"/>
      <c r="AQ173" s="543"/>
      <c r="AR173" s="543"/>
    </row>
    <row r="174" spans="1:44" s="546" customFormat="1" ht="17.25" customHeight="1" thickTop="1" thickBot="1">
      <c r="B174" s="137" t="s">
        <v>2660</v>
      </c>
      <c r="C174" s="138"/>
      <c r="D174" s="136"/>
      <c r="E174" s="135" t="s">
        <v>2526</v>
      </c>
      <c r="F174" s="134">
        <f>SUM(F165:F173)</f>
        <v>53637354.349999994</v>
      </c>
      <c r="G174" s="134">
        <f t="shared" ref="G174:L174" si="20">SUM(G165:G173)</f>
        <v>195038689.97</v>
      </c>
      <c r="H174" s="134">
        <f t="shared" si="20"/>
        <v>-104993700.55</v>
      </c>
      <c r="I174" s="134">
        <f t="shared" si="20"/>
        <v>143682343.76999998</v>
      </c>
      <c r="J174" s="134">
        <f t="shared" si="20"/>
        <v>60912406.379999995</v>
      </c>
      <c r="K174" s="134">
        <f t="shared" si="20"/>
        <v>-35091332.920000002</v>
      </c>
      <c r="L174" s="134">
        <f t="shared" si="20"/>
        <v>169503417.31</v>
      </c>
      <c r="M174" s="134">
        <f>SUM(M165:M173)</f>
        <v>8164931.6299999999</v>
      </c>
      <c r="N174" s="134">
        <f>SUM(N165:N173)</f>
        <v>-14260850</v>
      </c>
      <c r="O174" s="653">
        <f>SUM(O165:O173)</f>
        <v>163407498.94</v>
      </c>
      <c r="P174" s="542"/>
      <c r="Q174" s="542"/>
      <c r="R174" s="542"/>
      <c r="S174" s="542"/>
      <c r="T174" s="542"/>
      <c r="U174" s="542"/>
      <c r="V174" s="542"/>
      <c r="W174" s="542"/>
      <c r="X174" s="543"/>
      <c r="Y174" s="543"/>
      <c r="Z174" s="543"/>
      <c r="AA174" s="543"/>
      <c r="AB174" s="543"/>
      <c r="AC174" s="543"/>
      <c r="AD174" s="543"/>
      <c r="AE174" s="543"/>
      <c r="AF174" s="543"/>
      <c r="AG174" s="543"/>
      <c r="AH174" s="543"/>
      <c r="AI174" s="543"/>
      <c r="AJ174" s="543"/>
      <c r="AK174" s="543"/>
      <c r="AL174" s="543"/>
      <c r="AM174" s="543"/>
      <c r="AN174" s="543"/>
      <c r="AO174" s="543"/>
      <c r="AP174" s="543"/>
      <c r="AQ174" s="543"/>
      <c r="AR174" s="543"/>
    </row>
    <row r="175" spans="1:44" ht="17.25" customHeight="1" thickTop="1">
      <c r="B175" s="540"/>
      <c r="C175" s="540"/>
      <c r="D175" s="540"/>
      <c r="M175" s="542"/>
      <c r="N175" s="542"/>
      <c r="O175" s="542">
        <f t="shared" si="17"/>
        <v>0</v>
      </c>
    </row>
    <row r="176" spans="1:44" ht="17.25" customHeight="1">
      <c r="A176" s="132">
        <v>5</v>
      </c>
      <c r="B176" s="127" t="s">
        <v>1674</v>
      </c>
      <c r="C176" s="127" t="s">
        <v>1674</v>
      </c>
      <c r="D176" s="127" t="s">
        <v>1675</v>
      </c>
      <c r="E176" s="128" t="s">
        <v>1099</v>
      </c>
      <c r="F176" s="129">
        <v>87947.05</v>
      </c>
      <c r="G176" s="129">
        <v>0</v>
      </c>
      <c r="H176" s="129">
        <v>-87947.05</v>
      </c>
      <c r="I176" s="129">
        <f>SUM(F176:H176)</f>
        <v>0</v>
      </c>
      <c r="J176" s="129">
        <v>0</v>
      </c>
      <c r="K176" s="129">
        <v>0</v>
      </c>
      <c r="L176" s="129">
        <f>+I176+J176+K176</f>
        <v>0</v>
      </c>
      <c r="M176" s="129">
        <v>1524042.19</v>
      </c>
      <c r="N176" s="129">
        <v>-16213.42</v>
      </c>
      <c r="O176" s="649">
        <f t="shared" si="17"/>
        <v>1507828.77</v>
      </c>
    </row>
    <row r="177" spans="1:44" ht="17.25" customHeight="1">
      <c r="A177" s="132">
        <v>5</v>
      </c>
      <c r="B177" s="127" t="s">
        <v>1674</v>
      </c>
      <c r="C177" s="127" t="s">
        <v>1674</v>
      </c>
      <c r="D177" s="127" t="s">
        <v>2438</v>
      </c>
      <c r="E177" s="128" t="s">
        <v>2445</v>
      </c>
      <c r="F177" s="129">
        <v>0</v>
      </c>
      <c r="G177" s="129">
        <v>0</v>
      </c>
      <c r="H177" s="129">
        <v>0</v>
      </c>
      <c r="I177" s="129">
        <f>SUM(F177:H177)</f>
        <v>0</v>
      </c>
      <c r="J177" s="129">
        <v>0</v>
      </c>
      <c r="K177" s="129"/>
      <c r="L177" s="129">
        <f>+I177+J177+K177</f>
        <v>0</v>
      </c>
      <c r="M177" s="129"/>
      <c r="N177" s="129"/>
      <c r="O177" s="649">
        <f t="shared" si="17"/>
        <v>0</v>
      </c>
    </row>
    <row r="178" spans="1:44" ht="17.25" customHeight="1">
      <c r="A178" s="132">
        <v>5</v>
      </c>
      <c r="B178" s="127" t="s">
        <v>1674</v>
      </c>
      <c r="C178" s="127" t="s">
        <v>1674</v>
      </c>
      <c r="D178" s="127" t="s">
        <v>2440</v>
      </c>
      <c r="E178" s="128" t="s">
        <v>1676</v>
      </c>
      <c r="F178" s="129">
        <f>100+2101697</f>
        <v>2101797</v>
      </c>
      <c r="G178" s="129">
        <v>2032013</v>
      </c>
      <c r="H178" s="129">
        <v>0</v>
      </c>
      <c r="I178" s="129">
        <f>SUM(F178:H178)</f>
        <v>4133810</v>
      </c>
      <c r="J178" s="129">
        <v>2593404.2200000002</v>
      </c>
      <c r="K178" s="129">
        <v>-6223398.2199999997</v>
      </c>
      <c r="L178" s="129">
        <v>503815.92</v>
      </c>
      <c r="M178" s="129">
        <v>2856803.93</v>
      </c>
      <c r="N178" s="129">
        <v>-2856803.93</v>
      </c>
      <c r="O178" s="649">
        <f t="shared" si="17"/>
        <v>503815.91999999993</v>
      </c>
    </row>
    <row r="179" spans="1:44" ht="17.25" customHeight="1" thickBot="1">
      <c r="B179" s="540"/>
      <c r="C179" s="540"/>
      <c r="D179" s="540"/>
      <c r="M179" s="542"/>
      <c r="N179" s="542"/>
      <c r="O179" s="652">
        <f t="shared" si="17"/>
        <v>0</v>
      </c>
    </row>
    <row r="180" spans="1:44" ht="17.25" customHeight="1" thickTop="1" thickBot="1">
      <c r="B180" s="137" t="s">
        <v>2660</v>
      </c>
      <c r="C180" s="138"/>
      <c r="D180" s="136"/>
      <c r="E180" s="135" t="s">
        <v>2457</v>
      </c>
      <c r="F180" s="134">
        <f>SUM(F176:F179)</f>
        <v>2189744.0499999998</v>
      </c>
      <c r="G180" s="134">
        <f t="shared" ref="G180:L180" si="21">SUM(G176:G179)</f>
        <v>2032013</v>
      </c>
      <c r="H180" s="134">
        <f t="shared" si="21"/>
        <v>-87947.05</v>
      </c>
      <c r="I180" s="134">
        <f t="shared" si="21"/>
        <v>4133810</v>
      </c>
      <c r="J180" s="134">
        <f t="shared" si="21"/>
        <v>2593404.2200000002</v>
      </c>
      <c r="K180" s="134">
        <f t="shared" si="21"/>
        <v>-6223398.2199999997</v>
      </c>
      <c r="L180" s="134">
        <f t="shared" si="21"/>
        <v>503815.92</v>
      </c>
      <c r="M180" s="134">
        <f>SUM(M176:M179)</f>
        <v>4380846.12</v>
      </c>
      <c r="N180" s="134">
        <f>SUM(N176:N179)</f>
        <v>-2873017.35</v>
      </c>
      <c r="O180" s="653">
        <f>SUM(O176:O179)</f>
        <v>2011644.69</v>
      </c>
    </row>
    <row r="181" spans="1:44" ht="17.25" customHeight="1" thickTop="1">
      <c r="B181" s="540"/>
      <c r="C181" s="540"/>
      <c r="D181" s="540"/>
      <c r="M181" s="542"/>
      <c r="N181" s="542"/>
      <c r="O181" s="542">
        <f t="shared" si="17"/>
        <v>0</v>
      </c>
    </row>
    <row r="182" spans="1:44" s="546" customFormat="1" ht="17.25" customHeight="1">
      <c r="A182" s="546">
        <v>5</v>
      </c>
      <c r="B182" s="127" t="s">
        <v>826</v>
      </c>
      <c r="C182" s="127" t="s">
        <v>826</v>
      </c>
      <c r="D182" s="127" t="s">
        <v>1677</v>
      </c>
      <c r="E182" s="128" t="s">
        <v>1678</v>
      </c>
      <c r="F182" s="129">
        <v>387498.98</v>
      </c>
      <c r="G182" s="129">
        <v>122689389.23</v>
      </c>
      <c r="H182" s="129">
        <v>-120852997.36</v>
      </c>
      <c r="I182" s="129">
        <f>SUM(F182:H182)</f>
        <v>2223890.8500000089</v>
      </c>
      <c r="J182" s="129">
        <v>2812620.19</v>
      </c>
      <c r="K182" s="129">
        <v>-3738593.24</v>
      </c>
      <c r="L182" s="129">
        <f>+I182+J182+K182</f>
        <v>1297917.8000000082</v>
      </c>
      <c r="M182" s="129">
        <v>2566616.09</v>
      </c>
      <c r="N182" s="129">
        <v>-2562612.5499999998</v>
      </c>
      <c r="O182" s="649">
        <f t="shared" si="17"/>
        <v>1301921.3400000082</v>
      </c>
      <c r="P182" s="542"/>
      <c r="Q182" s="542"/>
      <c r="R182" s="542"/>
      <c r="S182" s="542"/>
      <c r="T182" s="542"/>
      <c r="U182" s="542"/>
      <c r="V182" s="542"/>
      <c r="W182" s="542"/>
      <c r="X182" s="543"/>
      <c r="Y182" s="543"/>
      <c r="Z182" s="543"/>
      <c r="AA182" s="543"/>
      <c r="AB182" s="543"/>
      <c r="AC182" s="543"/>
      <c r="AD182" s="543"/>
      <c r="AE182" s="543"/>
      <c r="AF182" s="543"/>
      <c r="AG182" s="543"/>
      <c r="AH182" s="543"/>
      <c r="AI182" s="543"/>
      <c r="AJ182" s="543"/>
      <c r="AK182" s="543"/>
      <c r="AL182" s="543"/>
      <c r="AM182" s="543"/>
      <c r="AN182" s="543"/>
      <c r="AO182" s="543"/>
      <c r="AP182" s="543"/>
      <c r="AQ182" s="543"/>
      <c r="AR182" s="543"/>
    </row>
    <row r="183" spans="1:44" s="546" customFormat="1" ht="17.25" customHeight="1">
      <c r="B183" s="127">
        <v>920</v>
      </c>
      <c r="C183" s="127">
        <v>920</v>
      </c>
      <c r="D183" s="127">
        <v>9201</v>
      </c>
      <c r="E183" s="128" t="s">
        <v>3153</v>
      </c>
      <c r="F183" s="129"/>
      <c r="G183" s="129"/>
      <c r="H183" s="129"/>
      <c r="I183" s="129"/>
      <c r="J183" s="129">
        <v>90276582.099999994</v>
      </c>
      <c r="K183" s="129"/>
      <c r="L183" s="129">
        <f>+I183+J183+K183</f>
        <v>90276582.099999994</v>
      </c>
      <c r="M183" s="131"/>
      <c r="N183" s="131">
        <v>-10163462</v>
      </c>
      <c r="O183" s="649">
        <f t="shared" si="17"/>
        <v>80113120.099999994</v>
      </c>
      <c r="P183" s="542"/>
      <c r="Q183" s="542"/>
      <c r="R183" s="542"/>
      <c r="S183" s="542"/>
      <c r="T183" s="542"/>
      <c r="U183" s="542"/>
      <c r="V183" s="542"/>
      <c r="W183" s="542"/>
      <c r="X183" s="543"/>
      <c r="Y183" s="543"/>
      <c r="Z183" s="543"/>
      <c r="AA183" s="543"/>
      <c r="AB183" s="543"/>
      <c r="AC183" s="543"/>
      <c r="AD183" s="543"/>
      <c r="AE183" s="543"/>
      <c r="AF183" s="543"/>
      <c r="AG183" s="543"/>
      <c r="AH183" s="543"/>
      <c r="AI183" s="543"/>
      <c r="AJ183" s="543"/>
      <c r="AK183" s="543"/>
      <c r="AL183" s="543"/>
      <c r="AM183" s="543"/>
      <c r="AN183" s="543"/>
      <c r="AO183" s="543"/>
      <c r="AP183" s="543"/>
      <c r="AQ183" s="543"/>
      <c r="AR183" s="543"/>
    </row>
    <row r="184" spans="1:44" s="546" customFormat="1" ht="17.25" customHeight="1" thickBot="1">
      <c r="B184" s="536"/>
      <c r="C184" s="536"/>
      <c r="D184" s="536"/>
      <c r="F184" s="543"/>
      <c r="G184" s="543"/>
      <c r="H184" s="543"/>
      <c r="I184" s="543"/>
      <c r="J184" s="543"/>
      <c r="K184" s="543"/>
      <c r="L184" s="543"/>
      <c r="M184" s="543"/>
      <c r="N184" s="543"/>
      <c r="O184" s="652">
        <f t="shared" si="17"/>
        <v>0</v>
      </c>
      <c r="P184" s="542"/>
      <c r="Q184" s="542"/>
      <c r="R184" s="542"/>
      <c r="S184" s="542"/>
      <c r="T184" s="542"/>
      <c r="U184" s="542"/>
      <c r="V184" s="542"/>
      <c r="W184" s="542"/>
      <c r="X184" s="543"/>
      <c r="Y184" s="543"/>
      <c r="Z184" s="543"/>
      <c r="AA184" s="543"/>
      <c r="AB184" s="543"/>
      <c r="AC184" s="543"/>
      <c r="AD184" s="543"/>
      <c r="AE184" s="543"/>
      <c r="AF184" s="543"/>
      <c r="AG184" s="543"/>
      <c r="AH184" s="543"/>
      <c r="AI184" s="543"/>
      <c r="AJ184" s="543"/>
      <c r="AK184" s="543"/>
      <c r="AL184" s="543"/>
      <c r="AM184" s="543"/>
      <c r="AN184" s="543"/>
      <c r="AO184" s="543"/>
      <c r="AP184" s="543"/>
      <c r="AQ184" s="543"/>
      <c r="AR184" s="543"/>
    </row>
    <row r="185" spans="1:44" s="546" customFormat="1" ht="17.25" customHeight="1" thickTop="1" thickBot="1">
      <c r="B185" s="137" t="s">
        <v>2659</v>
      </c>
      <c r="C185" s="138"/>
      <c r="D185" s="136"/>
      <c r="E185" s="135" t="s">
        <v>1679</v>
      </c>
      <c r="F185" s="134">
        <f t="shared" ref="F185:K185" si="22">F182</f>
        <v>387498.98</v>
      </c>
      <c r="G185" s="134">
        <f t="shared" si="22"/>
        <v>122689389.23</v>
      </c>
      <c r="H185" s="134">
        <f t="shared" si="22"/>
        <v>-120852997.36</v>
      </c>
      <c r="I185" s="134">
        <f t="shared" si="22"/>
        <v>2223890.8500000089</v>
      </c>
      <c r="J185" s="134">
        <f t="shared" si="22"/>
        <v>2812620.19</v>
      </c>
      <c r="K185" s="134">
        <f t="shared" si="22"/>
        <v>-3738593.24</v>
      </c>
      <c r="L185" s="134">
        <f>SUM(L182:L184)</f>
        <v>91574499.900000006</v>
      </c>
      <c r="M185" s="134">
        <f>SUM(M182:M184)</f>
        <v>2566616.09</v>
      </c>
      <c r="N185" s="134">
        <f>SUM(N182:N184)</f>
        <v>-12726074.550000001</v>
      </c>
      <c r="O185" s="653">
        <f>SUM(O182:O184)</f>
        <v>81415041.439999998</v>
      </c>
      <c r="P185" s="542"/>
      <c r="Q185" s="542"/>
      <c r="R185" s="542"/>
      <c r="S185" s="542"/>
      <c r="T185" s="542"/>
      <c r="U185" s="542"/>
      <c r="V185" s="542"/>
      <c r="W185" s="542"/>
      <c r="X185" s="543"/>
      <c r="Y185" s="543"/>
      <c r="Z185" s="543"/>
      <c r="AA185" s="543"/>
      <c r="AB185" s="543"/>
      <c r="AC185" s="543"/>
      <c r="AD185" s="543"/>
      <c r="AE185" s="543"/>
      <c r="AF185" s="543"/>
      <c r="AG185" s="543"/>
      <c r="AH185" s="543"/>
      <c r="AI185" s="543"/>
      <c r="AJ185" s="543"/>
      <c r="AK185" s="543"/>
      <c r="AL185" s="543"/>
      <c r="AM185" s="543"/>
      <c r="AN185" s="543"/>
      <c r="AO185" s="543"/>
      <c r="AP185" s="543"/>
      <c r="AQ185" s="543"/>
      <c r="AR185" s="543"/>
    </row>
    <row r="186" spans="1:44" s="546" customFormat="1" ht="17.25" customHeight="1" thickTop="1">
      <c r="B186" s="536"/>
      <c r="C186" s="536"/>
      <c r="D186" s="536"/>
      <c r="F186" s="544"/>
      <c r="G186" s="544"/>
      <c r="H186" s="544"/>
      <c r="I186" s="544"/>
      <c r="J186" s="544"/>
      <c r="K186" s="543"/>
      <c r="L186" s="543"/>
      <c r="M186" s="543"/>
      <c r="N186" s="543"/>
      <c r="O186" s="542">
        <f t="shared" si="17"/>
        <v>0</v>
      </c>
      <c r="P186" s="542"/>
      <c r="Q186" s="542"/>
      <c r="R186" s="542"/>
      <c r="S186" s="542"/>
      <c r="T186" s="542"/>
      <c r="U186" s="542"/>
      <c r="V186" s="542"/>
      <c r="W186" s="542"/>
      <c r="X186" s="543"/>
      <c r="Y186" s="543"/>
      <c r="Z186" s="543"/>
      <c r="AA186" s="543"/>
      <c r="AB186" s="543"/>
      <c r="AC186" s="543"/>
      <c r="AD186" s="543"/>
      <c r="AE186" s="543"/>
      <c r="AF186" s="543"/>
      <c r="AG186" s="543"/>
      <c r="AH186" s="543"/>
      <c r="AI186" s="543"/>
      <c r="AJ186" s="543"/>
      <c r="AK186" s="543"/>
      <c r="AL186" s="543"/>
      <c r="AM186" s="543"/>
      <c r="AN186" s="543"/>
      <c r="AO186" s="543"/>
      <c r="AP186" s="543"/>
      <c r="AQ186" s="543"/>
      <c r="AR186" s="543"/>
    </row>
    <row r="187" spans="1:44" s="546" customFormat="1" ht="17.25" customHeight="1">
      <c r="A187" s="546">
        <v>5</v>
      </c>
      <c r="B187" s="127" t="s">
        <v>827</v>
      </c>
      <c r="C187" s="127" t="s">
        <v>827</v>
      </c>
      <c r="D187" s="127" t="s">
        <v>1680</v>
      </c>
      <c r="E187" s="128" t="s">
        <v>1681</v>
      </c>
      <c r="F187" s="129">
        <v>9081600.7400000002</v>
      </c>
      <c r="G187" s="129">
        <v>35236988.939999998</v>
      </c>
      <c r="H187" s="129">
        <v>-31655844.440000001</v>
      </c>
      <c r="I187" s="129">
        <f>SUM(F187:H187)</f>
        <v>12662745.239999998</v>
      </c>
      <c r="J187" s="129">
        <v>6652550.2300000004</v>
      </c>
      <c r="K187" s="129">
        <v>-6734737.3700000001</v>
      </c>
      <c r="L187" s="129">
        <f>+I187+J187+K187</f>
        <v>12580558.099999998</v>
      </c>
      <c r="M187" s="129">
        <v>66943364.25</v>
      </c>
      <c r="N187" s="129">
        <v>-66162359.18</v>
      </c>
      <c r="O187" s="649">
        <f t="shared" si="17"/>
        <v>13361563.169999994</v>
      </c>
      <c r="P187" s="542"/>
      <c r="Q187" s="542"/>
      <c r="R187" s="542"/>
      <c r="S187" s="542"/>
      <c r="T187" s="542"/>
      <c r="U187" s="542"/>
      <c r="V187" s="542"/>
      <c r="W187" s="542"/>
      <c r="X187" s="543"/>
      <c r="Y187" s="543"/>
      <c r="Z187" s="543"/>
      <c r="AA187" s="543"/>
      <c r="AB187" s="543"/>
      <c r="AC187" s="543"/>
      <c r="AD187" s="543"/>
      <c r="AE187" s="543"/>
      <c r="AF187" s="543"/>
      <c r="AG187" s="543"/>
      <c r="AH187" s="543"/>
      <c r="AI187" s="543"/>
      <c r="AJ187" s="543"/>
      <c r="AK187" s="543"/>
      <c r="AL187" s="543"/>
      <c r="AM187" s="543"/>
      <c r="AN187" s="543"/>
      <c r="AO187" s="543"/>
      <c r="AP187" s="543"/>
      <c r="AQ187" s="543"/>
      <c r="AR187" s="543"/>
    </row>
    <row r="188" spans="1:44" s="546" customFormat="1" ht="17.25" customHeight="1">
      <c r="A188" s="546">
        <v>5</v>
      </c>
      <c r="B188" s="127" t="s">
        <v>827</v>
      </c>
      <c r="C188" s="127" t="s">
        <v>827</v>
      </c>
      <c r="D188" s="127" t="s">
        <v>1682</v>
      </c>
      <c r="E188" s="128" t="s">
        <v>1683</v>
      </c>
      <c r="F188" s="129">
        <v>613620.87</v>
      </c>
      <c r="G188" s="129">
        <v>394633.67</v>
      </c>
      <c r="H188" s="129">
        <v>-496854.75</v>
      </c>
      <c r="I188" s="129">
        <f>SUM(F188:H188)</f>
        <v>511399.79000000004</v>
      </c>
      <c r="J188" s="129">
        <v>760566</v>
      </c>
      <c r="K188" s="129">
        <v>-720000</v>
      </c>
      <c r="L188" s="129">
        <f>+I188+J188+K188</f>
        <v>551965.79</v>
      </c>
      <c r="M188" s="129">
        <v>0</v>
      </c>
      <c r="N188" s="129">
        <v>-57454.33</v>
      </c>
      <c r="O188" s="649">
        <f t="shared" si="17"/>
        <v>494511.46</v>
      </c>
      <c r="P188" s="542"/>
      <c r="Q188" s="542"/>
      <c r="R188" s="542"/>
      <c r="S188" s="542"/>
      <c r="T188" s="542"/>
      <c r="U188" s="542"/>
      <c r="V188" s="542"/>
      <c r="W188" s="542"/>
      <c r="X188" s="543"/>
      <c r="Y188" s="543"/>
      <c r="Z188" s="543"/>
      <c r="AA188" s="543"/>
      <c r="AB188" s="543"/>
      <c r="AC188" s="543"/>
      <c r="AD188" s="543"/>
      <c r="AE188" s="543"/>
      <c r="AF188" s="543"/>
      <c r="AG188" s="543"/>
      <c r="AH188" s="543"/>
      <c r="AI188" s="543"/>
      <c r="AJ188" s="543"/>
      <c r="AK188" s="543"/>
      <c r="AL188" s="543"/>
      <c r="AM188" s="543"/>
      <c r="AN188" s="543"/>
      <c r="AO188" s="543"/>
      <c r="AP188" s="543"/>
      <c r="AQ188" s="543"/>
      <c r="AR188" s="543"/>
    </row>
    <row r="189" spans="1:44" s="546" customFormat="1" ht="17.25" customHeight="1">
      <c r="A189" s="546">
        <v>5</v>
      </c>
      <c r="B189" s="127" t="s">
        <v>827</v>
      </c>
      <c r="C189" s="127" t="s">
        <v>827</v>
      </c>
      <c r="D189" s="127" t="s">
        <v>1684</v>
      </c>
      <c r="E189" s="128" t="s">
        <v>1685</v>
      </c>
      <c r="F189" s="129">
        <v>1757.51</v>
      </c>
      <c r="G189" s="129"/>
      <c r="H189" s="129"/>
      <c r="I189" s="129">
        <f>SUM(F189:H189)</f>
        <v>1757.51</v>
      </c>
      <c r="J189" s="129">
        <v>0</v>
      </c>
      <c r="K189" s="129">
        <v>0</v>
      </c>
      <c r="L189" s="129">
        <f>+I189+J189+K189</f>
        <v>1757.51</v>
      </c>
      <c r="M189" s="131"/>
      <c r="N189" s="131"/>
      <c r="O189" s="649">
        <f t="shared" si="17"/>
        <v>1757.51</v>
      </c>
      <c r="P189" s="542"/>
      <c r="Q189" s="542"/>
      <c r="R189" s="542"/>
      <c r="S189" s="542"/>
      <c r="T189" s="542"/>
      <c r="U189" s="542"/>
      <c r="V189" s="542"/>
      <c r="W189" s="542"/>
      <c r="X189" s="543"/>
      <c r="Y189" s="543"/>
      <c r="Z189" s="543"/>
      <c r="AA189" s="543"/>
      <c r="AB189" s="543"/>
      <c r="AC189" s="543"/>
      <c r="AD189" s="543"/>
      <c r="AE189" s="543"/>
      <c r="AF189" s="543"/>
      <c r="AG189" s="543"/>
      <c r="AH189" s="543"/>
      <c r="AI189" s="543"/>
      <c r="AJ189" s="543"/>
      <c r="AK189" s="543"/>
      <c r="AL189" s="543"/>
      <c r="AM189" s="543"/>
      <c r="AN189" s="543"/>
      <c r="AO189" s="543"/>
      <c r="AP189" s="543"/>
      <c r="AQ189" s="543"/>
      <c r="AR189" s="543"/>
    </row>
    <row r="190" spans="1:44" ht="17.25" customHeight="1">
      <c r="A190" s="132">
        <v>5</v>
      </c>
      <c r="B190" s="127" t="s">
        <v>827</v>
      </c>
      <c r="C190" s="127" t="s">
        <v>827</v>
      </c>
      <c r="D190" s="127" t="s">
        <v>1686</v>
      </c>
      <c r="E190" s="128" t="s">
        <v>2318</v>
      </c>
      <c r="F190" s="129">
        <f>2290042.98-2290042.98</f>
        <v>0</v>
      </c>
      <c r="G190" s="129">
        <v>2231749.7000000002</v>
      </c>
      <c r="H190" s="129">
        <v>-2231749.7000000002</v>
      </c>
      <c r="I190" s="129">
        <f>SUM(F190:H190)</f>
        <v>0</v>
      </c>
      <c r="J190" s="129">
        <v>0</v>
      </c>
      <c r="K190" s="129">
        <v>0</v>
      </c>
      <c r="L190" s="129">
        <f>+I190+J190+K190</f>
        <v>0</v>
      </c>
      <c r="M190" s="129"/>
      <c r="N190" s="129"/>
      <c r="O190" s="649">
        <f t="shared" si="17"/>
        <v>0</v>
      </c>
    </row>
    <row r="191" spans="1:44" ht="17.25" customHeight="1" thickBot="1">
      <c r="B191" s="540"/>
      <c r="C191" s="540"/>
      <c r="D191" s="540"/>
      <c r="M191" s="542"/>
      <c r="N191" s="542"/>
      <c r="O191" s="652">
        <f t="shared" si="17"/>
        <v>0</v>
      </c>
    </row>
    <row r="192" spans="1:44" ht="17.25" customHeight="1" thickTop="1" thickBot="1">
      <c r="B192" s="137" t="s">
        <v>2660</v>
      </c>
      <c r="C192" s="549"/>
      <c r="D192" s="550"/>
      <c r="E192" s="135" t="s">
        <v>1687</v>
      </c>
      <c r="F192" s="134">
        <f>SUM(F187:F191)</f>
        <v>9696979.1199999992</v>
      </c>
      <c r="G192" s="134">
        <f t="shared" ref="G192:L192" si="23">SUM(G187:G191)</f>
        <v>37863372.310000002</v>
      </c>
      <c r="H192" s="134">
        <f t="shared" si="23"/>
        <v>-34384448.890000001</v>
      </c>
      <c r="I192" s="134">
        <f t="shared" si="23"/>
        <v>13175902.539999997</v>
      </c>
      <c r="J192" s="134">
        <f t="shared" si="23"/>
        <v>7413116.2300000004</v>
      </c>
      <c r="K192" s="134">
        <f t="shared" si="23"/>
        <v>-7454737.3700000001</v>
      </c>
      <c r="L192" s="134">
        <f t="shared" si="23"/>
        <v>13134281.399999997</v>
      </c>
      <c r="M192" s="134">
        <f>SUM(M187:M191)</f>
        <v>66943364.25</v>
      </c>
      <c r="N192" s="134">
        <f>SUM(N187:N191)</f>
        <v>-66219813.509999998</v>
      </c>
      <c r="O192" s="653">
        <f>SUM(O187:O191)</f>
        <v>13857832.139999995</v>
      </c>
    </row>
    <row r="193" spans="1:44" ht="17.25" customHeight="1" thickTop="1">
      <c r="B193" s="540"/>
      <c r="C193" s="540"/>
      <c r="D193" s="540"/>
      <c r="F193" s="156"/>
      <c r="G193" s="544"/>
      <c r="H193" s="544"/>
      <c r="I193" s="156"/>
      <c r="J193" s="156"/>
      <c r="N193" s="548"/>
    </row>
    <row r="194" spans="1:44" ht="17.25" customHeight="1">
      <c r="A194" s="132">
        <v>5</v>
      </c>
      <c r="B194" s="127" t="s">
        <v>827</v>
      </c>
      <c r="C194" s="127" t="s">
        <v>1688</v>
      </c>
      <c r="D194" s="127" t="s">
        <v>1689</v>
      </c>
      <c r="E194" s="128" t="s">
        <v>2319</v>
      </c>
      <c r="F194" s="129">
        <v>11545.68</v>
      </c>
      <c r="G194" s="129">
        <v>38788.07</v>
      </c>
      <c r="H194" s="129">
        <v>-37720.769999999997</v>
      </c>
      <c r="I194" s="129">
        <f t="shared" ref="I194:I203" si="24">SUM(F194:H194)</f>
        <v>12612.980000000003</v>
      </c>
      <c r="J194" s="129">
        <v>1005220.5</v>
      </c>
      <c r="K194" s="129">
        <v>-940200.6</v>
      </c>
      <c r="L194" s="129">
        <f t="shared" ref="L194:L204" si="25">+I194+J194+K194</f>
        <v>77632.88</v>
      </c>
      <c r="M194" s="129">
        <v>119612.26</v>
      </c>
      <c r="N194" s="129">
        <v>-118192.94</v>
      </c>
      <c r="O194" s="649">
        <f t="shared" ref="O194:O217" si="26">L194+M194+N194</f>
        <v>79052.200000000012</v>
      </c>
      <c r="Q194" s="542">
        <f>O194-L194</f>
        <v>1419.320000000007</v>
      </c>
    </row>
    <row r="195" spans="1:44" ht="17.25" customHeight="1">
      <c r="A195" s="132">
        <v>5</v>
      </c>
      <c r="B195" s="127" t="s">
        <v>827</v>
      </c>
      <c r="C195" s="127" t="s">
        <v>1688</v>
      </c>
      <c r="D195" s="127">
        <v>9422</v>
      </c>
      <c r="E195" s="128" t="s">
        <v>1690</v>
      </c>
      <c r="F195" s="129">
        <v>0</v>
      </c>
      <c r="G195" s="129">
        <v>2170.1</v>
      </c>
      <c r="H195" s="129">
        <v>-2170.1</v>
      </c>
      <c r="I195" s="129">
        <f t="shared" si="24"/>
        <v>0</v>
      </c>
      <c r="J195" s="129">
        <v>763.15</v>
      </c>
      <c r="K195" s="129">
        <v>-763.15</v>
      </c>
      <c r="L195" s="129">
        <f t="shared" si="25"/>
        <v>0</v>
      </c>
      <c r="M195" s="129">
        <v>1142.8499999999999</v>
      </c>
      <c r="N195" s="129"/>
      <c r="O195" s="649">
        <f t="shared" si="26"/>
        <v>1142.8499999999999</v>
      </c>
    </row>
    <row r="196" spans="1:44" ht="17.25" hidden="1" customHeight="1">
      <c r="A196" s="132">
        <v>5</v>
      </c>
      <c r="B196" s="127" t="s">
        <v>827</v>
      </c>
      <c r="C196" s="127" t="s">
        <v>1688</v>
      </c>
      <c r="D196" s="127" t="s">
        <v>1691</v>
      </c>
      <c r="E196" s="128" t="s">
        <v>1692</v>
      </c>
      <c r="F196" s="129">
        <v>0</v>
      </c>
      <c r="G196" s="129">
        <v>440.2</v>
      </c>
      <c r="H196" s="129">
        <v>-440.2</v>
      </c>
      <c r="I196" s="129">
        <f t="shared" si="24"/>
        <v>0</v>
      </c>
      <c r="J196" s="129">
        <v>0</v>
      </c>
      <c r="K196" s="129">
        <v>0</v>
      </c>
      <c r="L196" s="129">
        <f t="shared" si="25"/>
        <v>0</v>
      </c>
      <c r="M196" s="129"/>
      <c r="N196" s="129"/>
      <c r="O196" s="649">
        <f t="shared" si="26"/>
        <v>0</v>
      </c>
      <c r="P196" s="132"/>
      <c r="Q196" s="132"/>
      <c r="R196" s="132"/>
      <c r="S196" s="132"/>
      <c r="T196" s="132"/>
      <c r="U196" s="132"/>
      <c r="V196" s="132"/>
      <c r="W196" s="132"/>
      <c r="X196" s="132"/>
      <c r="Y196" s="132"/>
      <c r="Z196" s="132"/>
      <c r="AA196" s="132"/>
      <c r="AB196" s="132"/>
      <c r="AC196" s="132"/>
      <c r="AD196" s="132"/>
      <c r="AE196" s="132"/>
      <c r="AF196" s="132"/>
      <c r="AG196" s="132"/>
      <c r="AH196" s="132"/>
      <c r="AI196" s="132"/>
      <c r="AJ196" s="132"/>
      <c r="AK196" s="132"/>
      <c r="AL196" s="132"/>
      <c r="AM196" s="132"/>
      <c r="AN196" s="132"/>
      <c r="AO196" s="132"/>
      <c r="AP196" s="132"/>
      <c r="AQ196" s="132"/>
      <c r="AR196" s="132"/>
    </row>
    <row r="197" spans="1:44" ht="17.25" customHeight="1">
      <c r="B197" s="127">
        <v>940</v>
      </c>
      <c r="C197" s="127">
        <v>941</v>
      </c>
      <c r="D197" s="127">
        <v>9454</v>
      </c>
      <c r="E197" s="128" t="s">
        <v>2449</v>
      </c>
      <c r="F197" s="129"/>
      <c r="G197" s="129">
        <v>2313593.52</v>
      </c>
      <c r="H197" s="129"/>
      <c r="I197" s="129">
        <f t="shared" si="24"/>
        <v>2313593.52</v>
      </c>
      <c r="J197" s="129">
        <v>0</v>
      </c>
      <c r="K197" s="129">
        <v>-1604090.98</v>
      </c>
      <c r="L197" s="129">
        <f t="shared" si="25"/>
        <v>709502.54</v>
      </c>
      <c r="M197" s="129">
        <v>1624846.09</v>
      </c>
      <c r="N197" s="129">
        <v>-1249900.73</v>
      </c>
      <c r="O197" s="649">
        <f t="shared" si="26"/>
        <v>1084447.8999999999</v>
      </c>
      <c r="P197" s="132"/>
      <c r="Q197" s="668">
        <v>0</v>
      </c>
      <c r="R197" s="132"/>
      <c r="S197" s="132"/>
      <c r="T197" s="132"/>
      <c r="U197" s="132"/>
      <c r="V197" s="132"/>
      <c r="W197" s="132"/>
      <c r="X197" s="132"/>
      <c r="Y197" s="132"/>
      <c r="Z197" s="132"/>
      <c r="AA197" s="132"/>
      <c r="AB197" s="132"/>
      <c r="AC197" s="132"/>
      <c r="AD197" s="132"/>
      <c r="AE197" s="132"/>
      <c r="AF197" s="132"/>
      <c r="AG197" s="132"/>
      <c r="AH197" s="132"/>
      <c r="AI197" s="132"/>
      <c r="AJ197" s="132"/>
      <c r="AK197" s="132"/>
      <c r="AL197" s="132"/>
      <c r="AM197" s="132"/>
      <c r="AN197" s="132"/>
      <c r="AO197" s="132"/>
      <c r="AP197" s="132"/>
      <c r="AQ197" s="132"/>
      <c r="AR197" s="132"/>
    </row>
    <row r="198" spans="1:44" ht="17.25" customHeight="1">
      <c r="A198" s="132">
        <v>5</v>
      </c>
      <c r="B198" s="127" t="s">
        <v>827</v>
      </c>
      <c r="C198" s="127" t="s">
        <v>1688</v>
      </c>
      <c r="D198" s="127" t="s">
        <v>1693</v>
      </c>
      <c r="E198" s="128" t="s">
        <v>2449</v>
      </c>
      <c r="F198" s="129">
        <v>3122632.29</v>
      </c>
      <c r="G198" s="129">
        <v>19592379.559999999</v>
      </c>
      <c r="H198" s="129">
        <v>-21184624.030000001</v>
      </c>
      <c r="I198" s="129">
        <f t="shared" si="24"/>
        <v>1530387.8199999966</v>
      </c>
      <c r="J198" s="129">
        <v>22683051.870000001</v>
      </c>
      <c r="K198" s="129">
        <v>-18959458.550000001</v>
      </c>
      <c r="L198" s="129">
        <f t="shared" si="25"/>
        <v>5253981.1399999969</v>
      </c>
      <c r="M198" s="129">
        <v>67182235.180000007</v>
      </c>
      <c r="N198" s="129">
        <v>-63230673.619999997</v>
      </c>
      <c r="O198" s="649">
        <f t="shared" si="26"/>
        <v>9205542.7000000104</v>
      </c>
      <c r="P198" s="132"/>
      <c r="Q198" s="132"/>
      <c r="R198" s="132"/>
      <c r="S198" s="132"/>
      <c r="T198" s="132"/>
      <c r="U198" s="132"/>
      <c r="V198" s="132"/>
      <c r="W198" s="132"/>
      <c r="X198" s="132"/>
      <c r="Y198" s="132"/>
      <c r="Z198" s="132"/>
      <c r="AA198" s="132"/>
      <c r="AB198" s="132"/>
      <c r="AC198" s="132"/>
      <c r="AD198" s="132"/>
      <c r="AE198" s="132"/>
      <c r="AF198" s="132"/>
      <c r="AG198" s="132"/>
      <c r="AH198" s="132"/>
      <c r="AI198" s="132"/>
      <c r="AJ198" s="132"/>
      <c r="AK198" s="132"/>
      <c r="AL198" s="132"/>
      <c r="AM198" s="132"/>
      <c r="AN198" s="132"/>
      <c r="AO198" s="132"/>
      <c r="AP198" s="132"/>
      <c r="AQ198" s="132"/>
      <c r="AR198" s="132"/>
    </row>
    <row r="199" spans="1:44" ht="17.25" customHeight="1">
      <c r="A199" s="132">
        <v>5</v>
      </c>
      <c r="B199" s="127" t="s">
        <v>827</v>
      </c>
      <c r="C199" s="127" t="s">
        <v>1688</v>
      </c>
      <c r="D199" s="127" t="s">
        <v>1686</v>
      </c>
      <c r="E199" s="128" t="s">
        <v>1694</v>
      </c>
      <c r="F199" s="129">
        <v>112330.01</v>
      </c>
      <c r="G199" s="129"/>
      <c r="H199" s="129"/>
      <c r="I199" s="129">
        <f t="shared" si="24"/>
        <v>112330.01</v>
      </c>
      <c r="J199" s="129">
        <v>0</v>
      </c>
      <c r="K199" s="129">
        <v>0</v>
      </c>
      <c r="L199" s="129">
        <f t="shared" si="25"/>
        <v>112330.01</v>
      </c>
      <c r="M199" s="129"/>
      <c r="N199" s="129"/>
      <c r="O199" s="649">
        <f t="shared" si="26"/>
        <v>112330.01</v>
      </c>
      <c r="P199" s="132"/>
      <c r="Q199" s="132"/>
      <c r="R199" s="132"/>
      <c r="S199" s="132"/>
      <c r="T199" s="132"/>
      <c r="U199" s="132"/>
      <c r="V199" s="132"/>
      <c r="W199" s="132"/>
      <c r="X199" s="132"/>
      <c r="Y199" s="132"/>
      <c r="Z199" s="132"/>
      <c r="AA199" s="132"/>
      <c r="AB199" s="132"/>
      <c r="AC199" s="132"/>
      <c r="AD199" s="132"/>
      <c r="AE199" s="132"/>
      <c r="AF199" s="132"/>
      <c r="AG199" s="132"/>
      <c r="AH199" s="132"/>
      <c r="AI199" s="132"/>
      <c r="AJ199" s="132"/>
      <c r="AK199" s="132"/>
      <c r="AL199" s="132"/>
      <c r="AM199" s="132"/>
      <c r="AN199" s="132"/>
      <c r="AO199" s="132"/>
      <c r="AP199" s="132"/>
      <c r="AQ199" s="132"/>
      <c r="AR199" s="132"/>
    </row>
    <row r="200" spans="1:44" ht="17.25" hidden="1" customHeight="1">
      <c r="A200" s="132">
        <v>5</v>
      </c>
      <c r="B200" s="127" t="s">
        <v>827</v>
      </c>
      <c r="C200" s="127" t="s">
        <v>1688</v>
      </c>
      <c r="D200" s="127" t="s">
        <v>1695</v>
      </c>
      <c r="E200" s="128" t="s">
        <v>635</v>
      </c>
      <c r="F200" s="129">
        <v>25754.28</v>
      </c>
      <c r="G200" s="129"/>
      <c r="H200" s="129">
        <v>-25754.28</v>
      </c>
      <c r="I200" s="129">
        <f t="shared" si="24"/>
        <v>0</v>
      </c>
      <c r="J200" s="129">
        <v>0</v>
      </c>
      <c r="K200" s="129">
        <v>0</v>
      </c>
      <c r="L200" s="129">
        <f t="shared" si="25"/>
        <v>0</v>
      </c>
      <c r="M200" s="129"/>
      <c r="N200" s="129"/>
      <c r="O200" s="649">
        <f t="shared" si="26"/>
        <v>0</v>
      </c>
      <c r="P200" s="132"/>
      <c r="Q200" s="132"/>
      <c r="R200" s="132"/>
      <c r="S200" s="132"/>
      <c r="T200" s="132"/>
      <c r="U200" s="132"/>
      <c r="V200" s="132"/>
      <c r="W200" s="132"/>
      <c r="X200" s="132"/>
      <c r="Y200" s="132"/>
      <c r="Z200" s="132"/>
      <c r="AA200" s="132"/>
      <c r="AB200" s="132"/>
      <c r="AC200" s="132"/>
      <c r="AD200" s="132"/>
      <c r="AE200" s="132"/>
      <c r="AF200" s="132"/>
      <c r="AG200" s="132"/>
      <c r="AH200" s="132"/>
      <c r="AI200" s="132"/>
      <c r="AJ200" s="132"/>
      <c r="AK200" s="132"/>
      <c r="AL200" s="132"/>
      <c r="AM200" s="132"/>
      <c r="AN200" s="132"/>
      <c r="AO200" s="132"/>
      <c r="AP200" s="132"/>
      <c r="AQ200" s="132"/>
      <c r="AR200" s="132"/>
    </row>
    <row r="201" spans="1:44" ht="17.25" customHeight="1">
      <c r="A201" s="132">
        <v>5</v>
      </c>
      <c r="B201" s="127" t="s">
        <v>827</v>
      </c>
      <c r="C201" s="127" t="s">
        <v>1688</v>
      </c>
      <c r="D201" s="127" t="s">
        <v>636</v>
      </c>
      <c r="E201" s="128" t="s">
        <v>656</v>
      </c>
      <c r="F201" s="129">
        <v>0</v>
      </c>
      <c r="G201" s="129">
        <v>22956.39</v>
      </c>
      <c r="H201" s="129"/>
      <c r="I201" s="129">
        <f t="shared" si="24"/>
        <v>22956.39</v>
      </c>
      <c r="J201" s="129">
        <v>0</v>
      </c>
      <c r="K201" s="129">
        <v>0</v>
      </c>
      <c r="L201" s="129">
        <f t="shared" si="25"/>
        <v>22956.39</v>
      </c>
      <c r="M201" s="129"/>
      <c r="N201" s="129"/>
      <c r="O201" s="649">
        <f t="shared" si="26"/>
        <v>22956.39</v>
      </c>
      <c r="P201" s="132"/>
      <c r="Q201" s="132"/>
      <c r="R201" s="132"/>
      <c r="S201" s="132"/>
      <c r="T201" s="132"/>
      <c r="U201" s="132"/>
      <c r="V201" s="132"/>
      <c r="W201" s="132"/>
      <c r="X201" s="132"/>
      <c r="Y201" s="132"/>
      <c r="Z201" s="132"/>
      <c r="AA201" s="132"/>
      <c r="AB201" s="132"/>
      <c r="AC201" s="132"/>
      <c r="AD201" s="132"/>
      <c r="AE201" s="132"/>
      <c r="AF201" s="132"/>
      <c r="AG201" s="132"/>
      <c r="AH201" s="132"/>
      <c r="AI201" s="132"/>
      <c r="AJ201" s="132"/>
      <c r="AK201" s="132"/>
      <c r="AL201" s="132"/>
      <c r="AM201" s="132"/>
      <c r="AN201" s="132"/>
      <c r="AO201" s="132"/>
      <c r="AP201" s="132"/>
      <c r="AQ201" s="132"/>
      <c r="AR201" s="132"/>
    </row>
    <row r="202" spans="1:44" ht="17.25" customHeight="1">
      <c r="A202" s="132">
        <v>5</v>
      </c>
      <c r="B202" s="127" t="s">
        <v>827</v>
      </c>
      <c r="C202" s="127" t="s">
        <v>1688</v>
      </c>
      <c r="D202" s="127" t="s">
        <v>637</v>
      </c>
      <c r="E202" s="128" t="s">
        <v>2647</v>
      </c>
      <c r="F202" s="129">
        <v>0</v>
      </c>
      <c r="G202" s="129">
        <v>834954.6</v>
      </c>
      <c r="H202" s="129"/>
      <c r="I202" s="129">
        <f t="shared" si="24"/>
        <v>834954.6</v>
      </c>
      <c r="J202" s="129">
        <v>2072541.19</v>
      </c>
      <c r="K202" s="129">
        <v>-1752012.37</v>
      </c>
      <c r="L202" s="129">
        <f t="shared" si="25"/>
        <v>1155483.42</v>
      </c>
      <c r="M202" s="129">
        <f>4086044.04+443082.39</f>
        <v>4529126.43</v>
      </c>
      <c r="N202" s="129">
        <v>-3722953.4</v>
      </c>
      <c r="O202" s="649">
        <f t="shared" si="26"/>
        <v>1961656.4499999997</v>
      </c>
      <c r="P202" s="132"/>
      <c r="Q202" s="668">
        <v>0</v>
      </c>
      <c r="R202" s="132"/>
      <c r="S202" s="132"/>
      <c r="T202" s="132"/>
      <c r="U202" s="132"/>
      <c r="V202" s="132"/>
      <c r="W202" s="132"/>
      <c r="X202" s="132"/>
      <c r="Y202" s="132"/>
      <c r="Z202" s="132"/>
      <c r="AA202" s="132"/>
      <c r="AB202" s="132"/>
      <c r="AC202" s="132"/>
      <c r="AD202" s="132"/>
      <c r="AE202" s="132"/>
      <c r="AF202" s="132"/>
      <c r="AG202" s="132"/>
      <c r="AH202" s="132"/>
      <c r="AI202" s="132"/>
      <c r="AJ202" s="132"/>
      <c r="AK202" s="132"/>
      <c r="AL202" s="132"/>
      <c r="AM202" s="132"/>
      <c r="AN202" s="132"/>
      <c r="AO202" s="132"/>
      <c r="AP202" s="132"/>
      <c r="AQ202" s="132"/>
      <c r="AR202" s="132"/>
    </row>
    <row r="203" spans="1:44" ht="17.25" hidden="1" customHeight="1">
      <c r="B203" s="130" t="s">
        <v>827</v>
      </c>
      <c r="C203" s="130" t="s">
        <v>1688</v>
      </c>
      <c r="D203" s="130" t="s">
        <v>638</v>
      </c>
      <c r="E203" s="128" t="s">
        <v>1859</v>
      </c>
      <c r="F203" s="129">
        <v>0</v>
      </c>
      <c r="G203" s="129"/>
      <c r="H203" s="129"/>
      <c r="I203" s="129">
        <f t="shared" si="24"/>
        <v>0</v>
      </c>
      <c r="J203" s="129">
        <v>0</v>
      </c>
      <c r="K203" s="129">
        <v>0</v>
      </c>
      <c r="L203" s="129">
        <f t="shared" si="25"/>
        <v>0</v>
      </c>
      <c r="M203" s="129"/>
      <c r="N203" s="129"/>
      <c r="O203" s="649">
        <f t="shared" si="26"/>
        <v>0</v>
      </c>
      <c r="P203" s="132"/>
      <c r="Q203" s="132"/>
      <c r="R203" s="132"/>
      <c r="S203" s="132"/>
      <c r="T203" s="132"/>
      <c r="U203" s="132"/>
      <c r="V203" s="132"/>
      <c r="W203" s="132"/>
      <c r="X203" s="132"/>
      <c r="Y203" s="132"/>
      <c r="Z203" s="132"/>
      <c r="AA203" s="132"/>
      <c r="AB203" s="132"/>
      <c r="AC203" s="132"/>
      <c r="AD203" s="132"/>
      <c r="AE203" s="132"/>
      <c r="AF203" s="132"/>
      <c r="AG203" s="132"/>
      <c r="AH203" s="132"/>
      <c r="AI203" s="132"/>
      <c r="AJ203" s="132"/>
      <c r="AK203" s="132"/>
      <c r="AL203" s="132"/>
      <c r="AM203" s="132"/>
      <c r="AN203" s="132"/>
      <c r="AO203" s="132"/>
      <c r="AP203" s="132"/>
      <c r="AQ203" s="132"/>
      <c r="AR203" s="132"/>
    </row>
    <row r="204" spans="1:44" ht="17.25" customHeight="1">
      <c r="B204" s="130">
        <v>940</v>
      </c>
      <c r="C204" s="130">
        <v>941</v>
      </c>
      <c r="D204" s="130">
        <v>9520</v>
      </c>
      <c r="E204" s="128" t="s">
        <v>2730</v>
      </c>
      <c r="F204" s="129"/>
      <c r="G204" s="129"/>
      <c r="H204" s="129"/>
      <c r="I204" s="129"/>
      <c r="J204" s="129">
        <v>6695</v>
      </c>
      <c r="K204" s="129"/>
      <c r="L204" s="129">
        <f t="shared" si="25"/>
        <v>6695</v>
      </c>
      <c r="M204" s="129"/>
      <c r="N204" s="129">
        <v>-2012.21</v>
      </c>
      <c r="O204" s="649">
        <f t="shared" si="26"/>
        <v>4682.79</v>
      </c>
      <c r="P204" s="132"/>
      <c r="Q204" s="132"/>
      <c r="R204" s="132"/>
      <c r="S204" s="132"/>
      <c r="T204" s="132"/>
      <c r="U204" s="132"/>
      <c r="V204" s="132"/>
      <c r="W204" s="132"/>
      <c r="X204" s="132"/>
      <c r="Y204" s="132"/>
      <c r="Z204" s="132"/>
      <c r="AA204" s="132"/>
      <c r="AB204" s="132"/>
      <c r="AC204" s="132"/>
      <c r="AD204" s="132"/>
      <c r="AE204" s="132"/>
      <c r="AF204" s="132"/>
      <c r="AG204" s="132"/>
      <c r="AH204" s="132"/>
      <c r="AI204" s="132"/>
      <c r="AJ204" s="132"/>
      <c r="AK204" s="132"/>
      <c r="AL204" s="132"/>
      <c r="AM204" s="132"/>
      <c r="AN204" s="132"/>
      <c r="AO204" s="132"/>
      <c r="AP204" s="132"/>
      <c r="AQ204" s="132"/>
      <c r="AR204" s="132"/>
    </row>
    <row r="205" spans="1:44" ht="17.25" customHeight="1">
      <c r="B205" s="127">
        <v>940</v>
      </c>
      <c r="C205" s="127">
        <v>941</v>
      </c>
      <c r="D205" s="127">
        <v>9521</v>
      </c>
      <c r="E205" s="128" t="s">
        <v>3356</v>
      </c>
      <c r="F205" s="129"/>
      <c r="G205" s="131"/>
      <c r="H205" s="131"/>
      <c r="I205" s="129"/>
      <c r="J205" s="129">
        <v>231262.92</v>
      </c>
      <c r="K205" s="129"/>
      <c r="L205" s="129">
        <v>231262.92</v>
      </c>
      <c r="M205" s="129">
        <f>658936.51-695616.6+560259.49</f>
        <v>523579.4</v>
      </c>
      <c r="N205" s="129"/>
      <c r="O205" s="649">
        <f t="shared" si="26"/>
        <v>754842.32000000007</v>
      </c>
      <c r="P205" s="132"/>
      <c r="Q205" s="132"/>
      <c r="R205" s="132"/>
      <c r="S205" s="132"/>
      <c r="T205" s="132"/>
      <c r="U205" s="132"/>
      <c r="V205" s="132"/>
      <c r="W205" s="132"/>
      <c r="X205" s="132"/>
      <c r="Y205" s="132"/>
      <c r="Z205" s="132"/>
      <c r="AA205" s="132"/>
      <c r="AB205" s="132"/>
      <c r="AC205" s="132"/>
      <c r="AD205" s="132"/>
      <c r="AE205" s="132"/>
      <c r="AF205" s="132"/>
      <c r="AG205" s="132"/>
      <c r="AH205" s="132"/>
      <c r="AI205" s="132"/>
      <c r="AJ205" s="132"/>
      <c r="AK205" s="132"/>
      <c r="AL205" s="132"/>
      <c r="AM205" s="132"/>
      <c r="AN205" s="132"/>
      <c r="AO205" s="132"/>
      <c r="AP205" s="132"/>
      <c r="AQ205" s="132"/>
      <c r="AR205" s="132"/>
    </row>
    <row r="206" spans="1:44" ht="17.25" customHeight="1">
      <c r="B206" s="127">
        <v>940</v>
      </c>
      <c r="C206" s="127">
        <v>941</v>
      </c>
      <c r="D206" s="127">
        <v>9523</v>
      </c>
      <c r="E206" s="128" t="s">
        <v>3505</v>
      </c>
      <c r="F206" s="129"/>
      <c r="G206" s="131"/>
      <c r="H206" s="131"/>
      <c r="I206" s="129"/>
      <c r="J206" s="129"/>
      <c r="K206" s="129"/>
      <c r="L206" s="129"/>
      <c r="M206" s="129">
        <v>1529.46</v>
      </c>
      <c r="N206" s="129"/>
      <c r="O206" s="649">
        <f t="shared" si="26"/>
        <v>1529.46</v>
      </c>
      <c r="P206" s="132"/>
      <c r="Q206" s="668">
        <f>O206</f>
        <v>1529.46</v>
      </c>
      <c r="R206" s="132"/>
      <c r="S206" s="132"/>
      <c r="T206" s="132"/>
      <c r="U206" s="132"/>
      <c r="V206" s="132"/>
      <c r="W206" s="132"/>
      <c r="X206" s="132"/>
      <c r="Y206" s="132"/>
      <c r="Z206" s="132"/>
      <c r="AA206" s="132"/>
      <c r="AB206" s="132"/>
      <c r="AC206" s="132"/>
      <c r="AD206" s="132"/>
      <c r="AE206" s="132"/>
      <c r="AF206" s="132"/>
      <c r="AG206" s="132"/>
      <c r="AH206" s="132"/>
      <c r="AI206" s="132"/>
      <c r="AJ206" s="132"/>
      <c r="AK206" s="132"/>
      <c r="AL206" s="132"/>
      <c r="AM206" s="132"/>
      <c r="AN206" s="132"/>
      <c r="AO206" s="132"/>
      <c r="AP206" s="132"/>
      <c r="AQ206" s="132"/>
      <c r="AR206" s="132"/>
    </row>
    <row r="207" spans="1:44" ht="17.25" customHeight="1">
      <c r="B207" s="127">
        <v>940</v>
      </c>
      <c r="C207" s="127">
        <v>941</v>
      </c>
      <c r="D207" s="127">
        <v>9524</v>
      </c>
      <c r="E207" s="128" t="s">
        <v>3506</v>
      </c>
      <c r="F207" s="129"/>
      <c r="G207" s="131"/>
      <c r="H207" s="131"/>
      <c r="I207" s="129"/>
      <c r="J207" s="129"/>
      <c r="K207" s="129"/>
      <c r="L207" s="129"/>
      <c r="M207" s="129">
        <v>10635.52</v>
      </c>
      <c r="N207" s="129"/>
      <c r="O207" s="649">
        <f t="shared" si="26"/>
        <v>10635.52</v>
      </c>
      <c r="P207" s="132"/>
      <c r="Q207" s="668">
        <f>O207</f>
        <v>10635.52</v>
      </c>
      <c r="R207" s="132"/>
      <c r="S207" s="132"/>
      <c r="T207" s="132"/>
      <c r="U207" s="132"/>
      <c r="V207" s="132"/>
      <c r="W207" s="132"/>
      <c r="X207" s="132"/>
      <c r="Y207" s="132"/>
      <c r="Z207" s="132"/>
      <c r="AA207" s="132"/>
      <c r="AB207" s="132"/>
      <c r="AC207" s="132"/>
      <c r="AD207" s="132"/>
      <c r="AE207" s="132"/>
      <c r="AF207" s="132"/>
      <c r="AG207" s="132"/>
      <c r="AH207" s="132"/>
      <c r="AI207" s="132"/>
      <c r="AJ207" s="132"/>
      <c r="AK207" s="132"/>
      <c r="AL207" s="132"/>
      <c r="AM207" s="132"/>
      <c r="AN207" s="132"/>
      <c r="AO207" s="132"/>
      <c r="AP207" s="132"/>
      <c r="AQ207" s="132"/>
      <c r="AR207" s="132"/>
    </row>
    <row r="208" spans="1:44" ht="17.25" customHeight="1">
      <c r="B208" s="127">
        <v>940</v>
      </c>
      <c r="C208" s="127">
        <v>941</v>
      </c>
      <c r="D208" s="127">
        <v>9527</v>
      </c>
      <c r="E208" s="128" t="s">
        <v>3933</v>
      </c>
      <c r="F208" s="129"/>
      <c r="G208" s="131"/>
      <c r="H208" s="131"/>
      <c r="I208" s="129"/>
      <c r="J208" s="129"/>
      <c r="K208" s="129"/>
      <c r="L208" s="129"/>
      <c r="M208" s="129">
        <v>0</v>
      </c>
      <c r="N208" s="129"/>
      <c r="O208" s="649">
        <f t="shared" si="26"/>
        <v>0</v>
      </c>
      <c r="P208" s="132"/>
      <c r="Q208" s="132"/>
      <c r="R208" s="132"/>
      <c r="S208" s="132"/>
      <c r="T208" s="132"/>
      <c r="U208" s="132"/>
      <c r="V208" s="132"/>
      <c r="W208" s="132"/>
      <c r="X208" s="132"/>
      <c r="Y208" s="132"/>
      <c r="Z208" s="132"/>
      <c r="AA208" s="132"/>
      <c r="AB208" s="132"/>
      <c r="AC208" s="132"/>
      <c r="AD208" s="132"/>
      <c r="AE208" s="132"/>
      <c r="AF208" s="132"/>
      <c r="AG208" s="132"/>
      <c r="AH208" s="132"/>
      <c r="AI208" s="132"/>
      <c r="AJ208" s="132"/>
      <c r="AK208" s="132"/>
      <c r="AL208" s="132"/>
      <c r="AM208" s="132"/>
      <c r="AN208" s="132"/>
      <c r="AO208" s="132"/>
      <c r="AP208" s="132"/>
      <c r="AQ208" s="132"/>
      <c r="AR208" s="132"/>
    </row>
    <row r="209" spans="1:44" ht="17.25" customHeight="1">
      <c r="B209" s="127">
        <v>940</v>
      </c>
      <c r="C209" s="127">
        <v>941</v>
      </c>
      <c r="D209" s="127">
        <v>9526</v>
      </c>
      <c r="E209" s="128" t="s">
        <v>3934</v>
      </c>
      <c r="F209" s="129"/>
      <c r="G209" s="131"/>
      <c r="H209" s="131"/>
      <c r="I209" s="129"/>
      <c r="J209" s="129"/>
      <c r="K209" s="129"/>
      <c r="L209" s="129"/>
      <c r="M209" s="129">
        <v>33074.370000000003</v>
      </c>
      <c r="N209" s="129"/>
      <c r="O209" s="649">
        <f t="shared" si="26"/>
        <v>33074.370000000003</v>
      </c>
      <c r="P209" s="132"/>
      <c r="Q209" s="668">
        <f>O209</f>
        <v>33074.370000000003</v>
      </c>
      <c r="R209" s="132"/>
      <c r="S209" s="132"/>
      <c r="T209" s="132"/>
      <c r="U209" s="132"/>
      <c r="V209" s="132"/>
      <c r="W209" s="132"/>
      <c r="X209" s="132"/>
      <c r="Y209" s="132"/>
      <c r="Z209" s="132"/>
      <c r="AA209" s="132"/>
      <c r="AB209" s="132"/>
      <c r="AC209" s="132"/>
      <c r="AD209" s="132"/>
      <c r="AE209" s="132"/>
      <c r="AF209" s="132"/>
      <c r="AG209" s="132"/>
      <c r="AH209" s="132"/>
      <c r="AI209" s="132"/>
      <c r="AJ209" s="132"/>
      <c r="AK209" s="132"/>
      <c r="AL209" s="132"/>
      <c r="AM209" s="132"/>
      <c r="AN209" s="132"/>
      <c r="AO209" s="132"/>
      <c r="AP209" s="132"/>
      <c r="AQ209" s="132"/>
      <c r="AR209" s="132"/>
    </row>
    <row r="210" spans="1:44" ht="17.25" customHeight="1">
      <c r="B210" s="127">
        <v>940</v>
      </c>
      <c r="C210" s="127">
        <v>941</v>
      </c>
      <c r="D210" s="127">
        <v>9528</v>
      </c>
      <c r="E210" s="128" t="s">
        <v>3945</v>
      </c>
      <c r="F210" s="129"/>
      <c r="G210" s="131"/>
      <c r="H210" s="131"/>
      <c r="I210" s="129"/>
      <c r="J210" s="129"/>
      <c r="K210" s="129"/>
      <c r="L210" s="129"/>
      <c r="M210" s="129">
        <v>1946801.4</v>
      </c>
      <c r="N210" s="129">
        <v>0</v>
      </c>
      <c r="O210" s="649">
        <f t="shared" si="26"/>
        <v>1946801.4</v>
      </c>
      <c r="P210" s="132"/>
      <c r="Q210" s="668">
        <f>SUM(Q194:Q209)</f>
        <v>46658.670000000013</v>
      </c>
      <c r="R210" s="132"/>
      <c r="S210" s="132"/>
      <c r="T210" s="132"/>
      <c r="U210" s="132"/>
      <c r="V210" s="132"/>
      <c r="W210" s="132"/>
      <c r="X210" s="132"/>
      <c r="Y210" s="132"/>
      <c r="Z210" s="132"/>
      <c r="AA210" s="132"/>
      <c r="AB210" s="132"/>
      <c r="AC210" s="132"/>
      <c r="AD210" s="132"/>
      <c r="AE210" s="132"/>
      <c r="AF210" s="132"/>
      <c r="AG210" s="132"/>
      <c r="AH210" s="132"/>
      <c r="AI210" s="132"/>
      <c r="AJ210" s="132"/>
      <c r="AK210" s="132"/>
      <c r="AL210" s="132"/>
      <c r="AM210" s="132"/>
      <c r="AN210" s="132"/>
      <c r="AO210" s="132"/>
      <c r="AP210" s="132"/>
      <c r="AQ210" s="132"/>
      <c r="AR210" s="132"/>
    </row>
    <row r="211" spans="1:44" ht="17.25" customHeight="1" thickBot="1">
      <c r="B211" s="540"/>
      <c r="C211" s="540"/>
      <c r="D211" s="540"/>
      <c r="M211" s="542"/>
      <c r="N211" s="542"/>
      <c r="O211" s="652"/>
      <c r="P211" s="132"/>
      <c r="Q211" s="132"/>
      <c r="R211" s="132"/>
      <c r="S211" s="132"/>
      <c r="T211" s="132"/>
      <c r="U211" s="132"/>
      <c r="V211" s="132"/>
      <c r="W211" s="132"/>
      <c r="X211" s="132"/>
      <c r="Y211" s="132"/>
      <c r="Z211" s="132"/>
      <c r="AA211" s="132"/>
      <c r="AB211" s="132"/>
      <c r="AC211" s="132"/>
      <c r="AD211" s="132"/>
      <c r="AE211" s="132"/>
      <c r="AF211" s="132"/>
      <c r="AG211" s="132"/>
      <c r="AH211" s="132"/>
      <c r="AI211" s="132"/>
      <c r="AJ211" s="132"/>
      <c r="AK211" s="132"/>
      <c r="AL211" s="132"/>
      <c r="AM211" s="132"/>
      <c r="AN211" s="132"/>
      <c r="AO211" s="132"/>
      <c r="AP211" s="132"/>
      <c r="AQ211" s="132"/>
      <c r="AR211" s="132"/>
    </row>
    <row r="212" spans="1:44" ht="17.25" customHeight="1" thickTop="1" thickBot="1">
      <c r="B212" s="137" t="s">
        <v>861</v>
      </c>
      <c r="C212" s="138"/>
      <c r="D212" s="136"/>
      <c r="E212" s="135" t="s">
        <v>2663</v>
      </c>
      <c r="F212" s="134">
        <f>SUM(F194:F205)</f>
        <v>3272262.26</v>
      </c>
      <c r="G212" s="134">
        <f t="shared" ref="G212:L212" si="27">SUM(G194:G205)</f>
        <v>22805282.440000001</v>
      </c>
      <c r="H212" s="134">
        <f t="shared" si="27"/>
        <v>-21250709.380000003</v>
      </c>
      <c r="I212" s="134">
        <f t="shared" si="27"/>
        <v>4826835.3199999966</v>
      </c>
      <c r="J212" s="134">
        <f t="shared" si="27"/>
        <v>25999534.630000003</v>
      </c>
      <c r="K212" s="134">
        <f t="shared" si="27"/>
        <v>-23256525.650000002</v>
      </c>
      <c r="L212" s="134">
        <f t="shared" si="27"/>
        <v>7569844.2999999961</v>
      </c>
      <c r="M212" s="134">
        <f>SUM(M194:M211)</f>
        <v>75972582.960000008</v>
      </c>
      <c r="N212" s="134">
        <f>SUM(N194:N211)</f>
        <v>-68323732.899999991</v>
      </c>
      <c r="O212" s="653">
        <f>SUM(O194:O211)</f>
        <v>15218694.360000009</v>
      </c>
      <c r="P212" s="132"/>
      <c r="Q212" s="132"/>
      <c r="R212" s="132"/>
      <c r="S212" s="132"/>
      <c r="T212" s="132"/>
      <c r="U212" s="132"/>
      <c r="V212" s="132"/>
      <c r="W212" s="132"/>
      <c r="X212" s="132"/>
      <c r="Y212" s="132"/>
      <c r="Z212" s="132"/>
      <c r="AA212" s="132"/>
      <c r="AB212" s="132"/>
      <c r="AC212" s="132"/>
      <c r="AD212" s="132"/>
      <c r="AE212" s="132"/>
      <c r="AF212" s="132"/>
      <c r="AG212" s="132"/>
      <c r="AH212" s="132"/>
      <c r="AI212" s="132"/>
      <c r="AJ212" s="132"/>
      <c r="AK212" s="132"/>
      <c r="AL212" s="132"/>
      <c r="AM212" s="132"/>
      <c r="AN212" s="132"/>
      <c r="AO212" s="132"/>
      <c r="AP212" s="132"/>
      <c r="AQ212" s="132"/>
      <c r="AR212" s="132"/>
    </row>
    <row r="213" spans="1:44" ht="17.25" customHeight="1" thickTop="1">
      <c r="B213" s="540"/>
      <c r="C213" s="540"/>
      <c r="D213" s="540"/>
      <c r="M213" s="542"/>
      <c r="N213" s="542"/>
      <c r="O213" s="542">
        <f t="shared" si="26"/>
        <v>0</v>
      </c>
      <c r="P213" s="132"/>
      <c r="Q213" s="132"/>
      <c r="R213" s="132"/>
      <c r="S213" s="132"/>
      <c r="T213" s="132"/>
      <c r="U213" s="132"/>
      <c r="V213" s="132"/>
      <c r="W213" s="132"/>
      <c r="X213" s="132"/>
      <c r="Y213" s="132"/>
      <c r="Z213" s="132"/>
      <c r="AA213" s="132"/>
      <c r="AB213" s="132"/>
      <c r="AC213" s="132"/>
      <c r="AD213" s="132"/>
      <c r="AE213" s="132"/>
      <c r="AF213" s="132"/>
      <c r="AG213" s="132"/>
      <c r="AH213" s="132"/>
      <c r="AI213" s="132"/>
      <c r="AJ213" s="132"/>
      <c r="AK213" s="132"/>
      <c r="AL213" s="132"/>
      <c r="AM213" s="132"/>
      <c r="AN213" s="132"/>
      <c r="AO213" s="132"/>
      <c r="AP213" s="132"/>
      <c r="AQ213" s="132"/>
      <c r="AR213" s="132"/>
    </row>
    <row r="214" spans="1:44" ht="17.25" customHeight="1">
      <c r="A214" s="132">
        <v>5</v>
      </c>
      <c r="B214" s="127" t="s">
        <v>828</v>
      </c>
      <c r="C214" s="127" t="s">
        <v>828</v>
      </c>
      <c r="D214" s="127" t="s">
        <v>639</v>
      </c>
      <c r="E214" s="128" t="s">
        <v>2450</v>
      </c>
      <c r="F214" s="129">
        <v>2243645.73</v>
      </c>
      <c r="G214" s="129">
        <v>66484583.990000002</v>
      </c>
      <c r="H214" s="129">
        <v>-64632382.719999999</v>
      </c>
      <c r="I214" s="129">
        <f>SUM(F214:H214)</f>
        <v>4095847</v>
      </c>
      <c r="J214" s="129">
        <v>17849144.100000001</v>
      </c>
      <c r="K214" s="129">
        <v>-20931715.780000001</v>
      </c>
      <c r="L214" s="129">
        <f>+I214+J214+K214</f>
        <v>1013275.3200000003</v>
      </c>
      <c r="M214" s="129">
        <v>10106957.65</v>
      </c>
      <c r="N214" s="129">
        <v>-10014258.800000001</v>
      </c>
      <c r="O214" s="649">
        <f t="shared" si="26"/>
        <v>1105974.17</v>
      </c>
      <c r="P214" s="132"/>
      <c r="Q214" s="132"/>
      <c r="R214" s="132"/>
      <c r="S214" s="132"/>
      <c r="T214" s="132"/>
      <c r="U214" s="132"/>
      <c r="V214" s="132"/>
      <c r="W214" s="132"/>
      <c r="X214" s="132"/>
      <c r="Y214" s="132"/>
      <c r="Z214" s="132"/>
      <c r="AA214" s="132"/>
      <c r="AB214" s="132"/>
      <c r="AC214" s="132"/>
      <c r="AD214" s="132"/>
      <c r="AE214" s="132"/>
      <c r="AF214" s="132"/>
      <c r="AG214" s="132"/>
      <c r="AH214" s="132"/>
      <c r="AI214" s="132"/>
      <c r="AJ214" s="132"/>
      <c r="AK214" s="132"/>
      <c r="AL214" s="132"/>
      <c r="AM214" s="132"/>
      <c r="AN214" s="132"/>
      <c r="AO214" s="132"/>
      <c r="AP214" s="132"/>
      <c r="AQ214" s="132"/>
      <c r="AR214" s="132"/>
    </row>
    <row r="215" spans="1:44" ht="17.25" customHeight="1" thickBot="1">
      <c r="B215" s="540"/>
      <c r="C215" s="540"/>
      <c r="D215" s="540"/>
      <c r="M215" s="542"/>
      <c r="N215" s="542"/>
      <c r="O215" s="542">
        <f t="shared" si="26"/>
        <v>0</v>
      </c>
      <c r="P215" s="132"/>
      <c r="Q215" s="132"/>
      <c r="R215" s="132"/>
      <c r="S215" s="132"/>
      <c r="T215" s="132"/>
      <c r="U215" s="132"/>
      <c r="V215" s="132"/>
      <c r="W215" s="132"/>
      <c r="X215" s="132"/>
      <c r="Y215" s="132"/>
      <c r="Z215" s="132"/>
      <c r="AA215" s="132"/>
      <c r="AB215" s="132"/>
      <c r="AC215" s="132"/>
      <c r="AD215" s="132"/>
      <c r="AE215" s="132"/>
      <c r="AF215" s="132"/>
      <c r="AG215" s="132"/>
      <c r="AH215" s="132"/>
      <c r="AI215" s="132"/>
      <c r="AJ215" s="132"/>
      <c r="AK215" s="132"/>
      <c r="AL215" s="132"/>
      <c r="AM215" s="132"/>
      <c r="AN215" s="132"/>
      <c r="AO215" s="132"/>
      <c r="AP215" s="132"/>
      <c r="AQ215" s="132"/>
      <c r="AR215" s="132"/>
    </row>
    <row r="216" spans="1:44" ht="17.25" customHeight="1" thickTop="1" thickBot="1">
      <c r="B216" s="137" t="s">
        <v>2660</v>
      </c>
      <c r="C216" s="138"/>
      <c r="D216" s="136"/>
      <c r="E216" s="135" t="s">
        <v>640</v>
      </c>
      <c r="F216" s="134">
        <f>SUM(F214)</f>
        <v>2243645.73</v>
      </c>
      <c r="G216" s="134">
        <f t="shared" ref="G216:O216" si="28">SUM(G214)</f>
        <v>66484583.990000002</v>
      </c>
      <c r="H216" s="134">
        <f t="shared" si="28"/>
        <v>-64632382.719999999</v>
      </c>
      <c r="I216" s="134">
        <f t="shared" si="28"/>
        <v>4095847</v>
      </c>
      <c r="J216" s="134">
        <f t="shared" si="28"/>
        <v>17849144.100000001</v>
      </c>
      <c r="K216" s="134">
        <f t="shared" si="28"/>
        <v>-20931715.780000001</v>
      </c>
      <c r="L216" s="134">
        <f t="shared" si="28"/>
        <v>1013275.3200000003</v>
      </c>
      <c r="M216" s="134">
        <f t="shared" si="28"/>
        <v>10106957.65</v>
      </c>
      <c r="N216" s="134">
        <f t="shared" si="28"/>
        <v>-10014258.800000001</v>
      </c>
      <c r="O216" s="134">
        <f t="shared" si="28"/>
        <v>1105974.17</v>
      </c>
      <c r="P216" s="132"/>
      <c r="Q216" s="132"/>
      <c r="R216" s="132"/>
      <c r="S216" s="132"/>
      <c r="T216" s="132"/>
      <c r="U216" s="132"/>
      <c r="V216" s="132"/>
      <c r="W216" s="132"/>
      <c r="X216" s="132"/>
      <c r="Y216" s="132"/>
      <c r="Z216" s="132"/>
      <c r="AA216" s="132"/>
      <c r="AB216" s="132"/>
      <c r="AC216" s="132"/>
      <c r="AD216" s="132"/>
      <c r="AE216" s="132"/>
      <c r="AF216" s="132"/>
      <c r="AG216" s="132"/>
      <c r="AH216" s="132"/>
      <c r="AI216" s="132"/>
      <c r="AJ216" s="132"/>
      <c r="AK216" s="132"/>
      <c r="AL216" s="132"/>
      <c r="AM216" s="132"/>
      <c r="AN216" s="132"/>
      <c r="AO216" s="132"/>
      <c r="AP216" s="132"/>
      <c r="AQ216" s="132"/>
      <c r="AR216" s="132"/>
    </row>
    <row r="217" spans="1:44" ht="17.25" customHeight="1" thickTop="1" thickBot="1">
      <c r="B217" s="540"/>
      <c r="C217" s="540"/>
      <c r="D217" s="540"/>
      <c r="M217" s="542"/>
      <c r="N217" s="542"/>
      <c r="O217" s="542">
        <f t="shared" si="26"/>
        <v>0</v>
      </c>
      <c r="P217" s="132"/>
      <c r="Q217" s="132"/>
      <c r="R217" s="132"/>
      <c r="S217" s="132"/>
      <c r="T217" s="132"/>
      <c r="U217" s="132"/>
      <c r="V217" s="132"/>
      <c r="W217" s="132"/>
      <c r="X217" s="132"/>
      <c r="Y217" s="132"/>
      <c r="Z217" s="132"/>
      <c r="AA217" s="132"/>
      <c r="AB217" s="132"/>
      <c r="AC217" s="132"/>
      <c r="AD217" s="132"/>
      <c r="AE217" s="132"/>
      <c r="AF217" s="132"/>
      <c r="AG217" s="132"/>
      <c r="AH217" s="132"/>
      <c r="AI217" s="132"/>
      <c r="AJ217" s="132"/>
      <c r="AK217" s="132"/>
      <c r="AL217" s="132"/>
      <c r="AM217" s="132"/>
      <c r="AN217" s="132"/>
      <c r="AO217" s="132"/>
      <c r="AP217" s="132"/>
      <c r="AQ217" s="132"/>
      <c r="AR217" s="132"/>
    </row>
    <row r="218" spans="1:44" ht="17.25" customHeight="1" thickTop="1" thickBot="1">
      <c r="A218" s="132">
        <v>5</v>
      </c>
      <c r="B218" s="127" t="s">
        <v>641</v>
      </c>
      <c r="C218" s="127" t="s">
        <v>641</v>
      </c>
      <c r="D218" s="127" t="s">
        <v>642</v>
      </c>
      <c r="E218" s="128" t="s">
        <v>643</v>
      </c>
      <c r="F218" s="134">
        <v>0</v>
      </c>
      <c r="G218" s="131">
        <v>0</v>
      </c>
      <c r="H218" s="131">
        <v>0</v>
      </c>
      <c r="I218" s="129">
        <v>0</v>
      </c>
      <c r="J218" s="129">
        <v>0</v>
      </c>
      <c r="K218" s="129">
        <v>0</v>
      </c>
      <c r="L218" s="129">
        <v>0</v>
      </c>
      <c r="M218" s="129"/>
      <c r="N218" s="129"/>
      <c r="O218" s="129"/>
      <c r="P218" s="132"/>
      <c r="Q218" s="132"/>
      <c r="R218" s="132"/>
      <c r="S218" s="132"/>
      <c r="T218" s="132"/>
      <c r="U218" s="132"/>
      <c r="V218" s="132"/>
      <c r="W218" s="132"/>
      <c r="X218" s="132"/>
      <c r="Y218" s="132"/>
      <c r="Z218" s="132"/>
      <c r="AA218" s="132"/>
      <c r="AB218" s="132"/>
      <c r="AC218" s="132"/>
      <c r="AD218" s="132"/>
      <c r="AE218" s="132"/>
      <c r="AF218" s="132"/>
      <c r="AG218" s="132"/>
      <c r="AH218" s="132"/>
      <c r="AI218" s="132"/>
      <c r="AJ218" s="132"/>
      <c r="AK218" s="132"/>
      <c r="AL218" s="132"/>
      <c r="AM218" s="132"/>
      <c r="AN218" s="132"/>
      <c r="AO218" s="132"/>
      <c r="AP218" s="132"/>
      <c r="AQ218" s="132"/>
      <c r="AR218" s="132"/>
    </row>
    <row r="219" spans="1:44" ht="17.25" customHeight="1" thickTop="1" thickBot="1">
      <c r="B219" s="540"/>
      <c r="C219" s="540"/>
      <c r="D219" s="540"/>
      <c r="M219" s="542"/>
      <c r="N219" s="542"/>
      <c r="P219" s="132"/>
      <c r="Q219" s="132"/>
      <c r="R219" s="132"/>
      <c r="S219" s="132"/>
      <c r="T219" s="132"/>
      <c r="U219" s="132"/>
      <c r="V219" s="132"/>
      <c r="W219" s="132"/>
      <c r="X219" s="132"/>
      <c r="Y219" s="132"/>
      <c r="Z219" s="132"/>
      <c r="AA219" s="132"/>
      <c r="AB219" s="132"/>
      <c r="AC219" s="132"/>
      <c r="AD219" s="132"/>
      <c r="AE219" s="132"/>
      <c r="AF219" s="132"/>
      <c r="AG219" s="132"/>
      <c r="AH219" s="132"/>
      <c r="AI219" s="132"/>
      <c r="AJ219" s="132"/>
      <c r="AK219" s="132"/>
      <c r="AL219" s="132"/>
      <c r="AM219" s="132"/>
      <c r="AN219" s="132"/>
      <c r="AO219" s="132"/>
      <c r="AP219" s="132"/>
      <c r="AQ219" s="132"/>
      <c r="AR219" s="132"/>
    </row>
    <row r="220" spans="1:44" ht="17.25" customHeight="1" thickTop="1" thickBot="1">
      <c r="B220" s="137" t="s">
        <v>2660</v>
      </c>
      <c r="C220" s="138"/>
      <c r="D220" s="136"/>
      <c r="E220" s="135" t="s">
        <v>644</v>
      </c>
      <c r="F220" s="134">
        <f t="shared" ref="F220:L220" si="29">SUM(F216+F212+F192+F185+F180+F174+F163+F105+F100+F71+F37+F31+F7)</f>
        <v>0.43999999389052391</v>
      </c>
      <c r="G220" s="134">
        <f t="shared" si="29"/>
        <v>587505078.88999999</v>
      </c>
      <c r="H220" s="134">
        <f t="shared" si="29"/>
        <v>-587505079.55000007</v>
      </c>
      <c r="I220" s="134">
        <f t="shared" si="29"/>
        <v>-0.22000002816639608</v>
      </c>
      <c r="J220" s="134">
        <f t="shared" si="29"/>
        <v>280172331.82999998</v>
      </c>
      <c r="K220" s="134">
        <f t="shared" si="29"/>
        <v>-370448913.92999995</v>
      </c>
      <c r="L220" s="134">
        <f t="shared" si="29"/>
        <v>-1.4457327779382467E-8</v>
      </c>
      <c r="M220" s="134">
        <f>SUM(M216+M212+M192+M185+M180+M174+M163+M105+M100+M71+M37+M31+M7)</f>
        <v>380471817.04000008</v>
      </c>
      <c r="N220" s="134">
        <f>SUM(N216+N212+N192+N185+N180+N174+N163+N105+N100+N71+N37+N31+N7)</f>
        <v>-380471817.08000004</v>
      </c>
      <c r="O220" s="134">
        <f>SUM(O216+O212+O192+O185+O180+O174+O163+O105+O100+O71+O37+O31+O7)</f>
        <v>-4.0000021013838705E-2</v>
      </c>
      <c r="P220" s="132"/>
      <c r="Q220" s="132"/>
      <c r="R220" s="132"/>
      <c r="S220" s="132"/>
      <c r="T220" s="132"/>
      <c r="U220" s="132"/>
      <c r="V220" s="132"/>
      <c r="W220" s="132"/>
      <c r="X220" s="132"/>
      <c r="Y220" s="132"/>
      <c r="Z220" s="132"/>
      <c r="AA220" s="132"/>
      <c r="AB220" s="132"/>
      <c r="AC220" s="132"/>
      <c r="AD220" s="132"/>
      <c r="AE220" s="132"/>
      <c r="AF220" s="132"/>
      <c r="AG220" s="132"/>
      <c r="AH220" s="132"/>
      <c r="AI220" s="132"/>
      <c r="AJ220" s="132"/>
      <c r="AK220" s="132"/>
      <c r="AL220" s="132"/>
      <c r="AM220" s="132"/>
      <c r="AN220" s="132"/>
      <c r="AO220" s="132"/>
      <c r="AP220" s="132"/>
      <c r="AQ220" s="132"/>
      <c r="AR220" s="132"/>
    </row>
    <row r="221" spans="1:44" ht="16.5" thickTop="1">
      <c r="F221" s="156"/>
      <c r="G221" s="544"/>
      <c r="H221" s="544">
        <f>SUM(G220:H220)</f>
        <v>-0.66000008583068848</v>
      </c>
      <c r="J221" s="156"/>
      <c r="O221" s="132"/>
      <c r="P221" s="132"/>
      <c r="Q221" s="132"/>
      <c r="R221" s="132"/>
      <c r="S221" s="132"/>
      <c r="T221" s="132"/>
      <c r="U221" s="132"/>
      <c r="V221" s="132"/>
      <c r="W221" s="132"/>
      <c r="X221" s="132"/>
      <c r="Y221" s="132"/>
      <c r="Z221" s="132"/>
      <c r="AA221" s="132"/>
      <c r="AB221" s="132"/>
      <c r="AC221" s="132"/>
      <c r="AD221" s="132"/>
      <c r="AE221" s="132"/>
      <c r="AF221" s="132"/>
      <c r="AG221" s="132"/>
      <c r="AH221" s="132"/>
      <c r="AI221" s="132"/>
      <c r="AJ221" s="132"/>
      <c r="AK221" s="132"/>
      <c r="AL221" s="132"/>
      <c r="AM221" s="132"/>
      <c r="AN221" s="132"/>
      <c r="AO221" s="132"/>
      <c r="AP221" s="132"/>
      <c r="AQ221" s="132"/>
      <c r="AR221" s="132"/>
    </row>
    <row r="222" spans="1:44">
      <c r="K222" s="542" t="s">
        <v>45</v>
      </c>
      <c r="O222" s="132"/>
      <c r="P222" s="132"/>
      <c r="Q222" s="132"/>
      <c r="R222" s="132"/>
      <c r="S222" s="132"/>
      <c r="T222" s="132"/>
      <c r="U222" s="132"/>
      <c r="V222" s="132"/>
      <c r="W222" s="132"/>
      <c r="X222" s="132"/>
      <c r="Y222" s="132"/>
      <c r="Z222" s="132"/>
      <c r="AA222" s="132"/>
      <c r="AB222" s="132"/>
      <c r="AC222" s="132"/>
      <c r="AD222" s="132"/>
      <c r="AE222" s="132"/>
      <c r="AF222" s="132"/>
      <c r="AG222" s="132"/>
      <c r="AH222" s="132"/>
      <c r="AI222" s="132"/>
      <c r="AJ222" s="132"/>
      <c r="AK222" s="132"/>
      <c r="AL222" s="132"/>
      <c r="AM222" s="132"/>
      <c r="AN222" s="132"/>
      <c r="AO222" s="132"/>
      <c r="AP222" s="132"/>
      <c r="AQ222" s="132"/>
      <c r="AR222" s="132"/>
    </row>
  </sheetData>
  <mergeCells count="1">
    <mergeCell ref="B3:D3"/>
  </mergeCells>
  <phoneticPr fontId="15" type="noConversion"/>
  <pageMargins left="0.70866141732283472" right="0.70866141732283472" top="0.74803149606299213" bottom="0.74803149606299213" header="0.31496062992125984" footer="0.31496062992125984"/>
  <pageSetup paperSize="9" scale="55" fitToHeight="10" orientation="landscape" r:id="rId1"/>
</worksheet>
</file>

<file path=xl/worksheets/sheet36.xml><?xml version="1.0" encoding="utf-8"?>
<worksheet xmlns="http://schemas.openxmlformats.org/spreadsheetml/2006/main" xmlns:r="http://schemas.openxmlformats.org/officeDocument/2006/relationships">
  <sheetPr>
    <pageSetUpPr fitToPage="1"/>
  </sheetPr>
  <dimension ref="A1:X1104"/>
  <sheetViews>
    <sheetView view="pageBreakPreview" zoomScaleSheetLayoutView="100" workbookViewId="0">
      <pane xSplit="5" ySplit="1" topLeftCell="R307" activePane="bottomRight" state="frozen"/>
      <selection activeCell="D137" sqref="D137"/>
      <selection pane="topRight" activeCell="D137" sqref="D137"/>
      <selection pane="bottomLeft" activeCell="D137" sqref="D137"/>
      <selection pane="bottomRight" activeCell="D137" sqref="D137"/>
    </sheetView>
  </sheetViews>
  <sheetFormatPr defaultColWidth="19" defaultRowHeight="15"/>
  <cols>
    <col min="1" max="1" width="15.7109375" style="168" customWidth="1"/>
    <col min="2" max="2" width="15.7109375" style="168" hidden="1" customWidth="1"/>
    <col min="3" max="3" width="16.5703125" style="455" hidden="1" customWidth="1"/>
    <col min="4" max="4" width="19" style="168" hidden="1" customWidth="1"/>
    <col min="5" max="5" width="15.85546875" style="456" hidden="1" customWidth="1"/>
    <col min="6" max="6" width="19" style="456" hidden="1" customWidth="1"/>
    <col min="7" max="13" width="19" style="168" hidden="1" customWidth="1"/>
    <col min="14" max="16" width="0" style="168" hidden="1" customWidth="1"/>
    <col min="17" max="16384" width="19" style="168"/>
  </cols>
  <sheetData>
    <row r="1" spans="1:23">
      <c r="A1" s="168" t="s">
        <v>33</v>
      </c>
      <c r="B1" s="455" t="s">
        <v>1556</v>
      </c>
      <c r="C1" s="455" t="s">
        <v>1710</v>
      </c>
      <c r="D1" s="168" t="s">
        <v>1557</v>
      </c>
      <c r="E1" s="456" t="s">
        <v>2664</v>
      </c>
      <c r="F1" s="456" t="s">
        <v>2665</v>
      </c>
      <c r="G1" s="456" t="s">
        <v>2666</v>
      </c>
      <c r="H1" s="456" t="s">
        <v>2667</v>
      </c>
      <c r="Q1" s="168" t="s">
        <v>3744</v>
      </c>
      <c r="R1" s="168" t="s">
        <v>3745</v>
      </c>
      <c r="S1" s="456" t="s">
        <v>3485</v>
      </c>
      <c r="T1" s="456" t="s">
        <v>3486</v>
      </c>
    </row>
    <row r="2" spans="1:23">
      <c r="A2" s="168" t="s">
        <v>547</v>
      </c>
      <c r="B2" s="455" t="s">
        <v>21</v>
      </c>
      <c r="C2" s="455" t="s">
        <v>548</v>
      </c>
      <c r="D2" s="168" t="s">
        <v>1558</v>
      </c>
      <c r="E2" s="150">
        <v>-3895935.53</v>
      </c>
      <c r="F2" s="456">
        <v>-4769223</v>
      </c>
      <c r="G2" s="168">
        <v>-4413961.93</v>
      </c>
      <c r="H2" s="168">
        <v>-4777179</v>
      </c>
      <c r="N2" s="168" t="s">
        <v>547</v>
      </c>
      <c r="O2" s="455" t="s">
        <v>21</v>
      </c>
      <c r="P2" s="455" t="s">
        <v>548</v>
      </c>
      <c r="Q2" s="455">
        <v>-5332997</v>
      </c>
      <c r="R2" s="455">
        <v>-5332997</v>
      </c>
      <c r="S2" s="168">
        <v>-4533786.2</v>
      </c>
      <c r="T2" s="523">
        <v>-4685019</v>
      </c>
      <c r="W2" s="168">
        <f>S2-T2</f>
        <v>151232.79999999981</v>
      </c>
    </row>
    <row r="3" spans="1:23">
      <c r="A3" s="168" t="s">
        <v>549</v>
      </c>
      <c r="B3" s="455" t="s">
        <v>21</v>
      </c>
      <c r="C3" s="455" t="s">
        <v>550</v>
      </c>
      <c r="D3" s="168" t="s">
        <v>1558</v>
      </c>
      <c r="E3" s="150">
        <v>-316494.03000000003</v>
      </c>
      <c r="F3" s="456">
        <v>-316495</v>
      </c>
      <c r="G3" s="168">
        <v>-367080.3</v>
      </c>
      <c r="H3" s="168">
        <v>-367080</v>
      </c>
      <c r="N3" s="168" t="s">
        <v>549</v>
      </c>
      <c r="O3" s="455" t="s">
        <v>21</v>
      </c>
      <c r="P3" s="455" t="s">
        <v>550</v>
      </c>
      <c r="Q3" s="455">
        <v>-396611</v>
      </c>
      <c r="R3" s="455">
        <v>-396611</v>
      </c>
      <c r="S3" s="168">
        <v>-388601.39</v>
      </c>
      <c r="T3" s="523">
        <v>-396611</v>
      </c>
      <c r="W3" s="168">
        <f t="shared" ref="W3:W66" si="0">S3-T3</f>
        <v>8009.609999999986</v>
      </c>
    </row>
    <row r="4" spans="1:23">
      <c r="A4" s="168" t="s">
        <v>551</v>
      </c>
      <c r="B4" s="455" t="s">
        <v>21</v>
      </c>
      <c r="C4" s="455" t="s">
        <v>552</v>
      </c>
      <c r="D4" s="168" t="s">
        <v>1558</v>
      </c>
      <c r="E4" s="150">
        <v>-1432991.23</v>
      </c>
      <c r="F4" s="456">
        <v>-1432992</v>
      </c>
      <c r="G4" s="168">
        <v>-1368166.81</v>
      </c>
      <c r="H4" s="168">
        <v>-1368166</v>
      </c>
      <c r="N4" s="168" t="s">
        <v>551</v>
      </c>
      <c r="O4" s="455" t="s">
        <v>21</v>
      </c>
      <c r="P4" s="455" t="s">
        <v>552</v>
      </c>
      <c r="Q4" s="455">
        <v>-1518839</v>
      </c>
      <c r="R4" s="455">
        <v>-1518839</v>
      </c>
      <c r="S4" s="168">
        <v>-1783100.34</v>
      </c>
      <c r="T4" s="523">
        <v>-1783100</v>
      </c>
      <c r="W4" s="168">
        <f t="shared" si="0"/>
        <v>-0.34000000008381903</v>
      </c>
    </row>
    <row r="5" spans="1:23">
      <c r="A5" s="168" t="s">
        <v>553</v>
      </c>
      <c r="B5" s="455" t="s">
        <v>21</v>
      </c>
      <c r="C5" s="455" t="s">
        <v>554</v>
      </c>
      <c r="D5" s="168" t="s">
        <v>1558</v>
      </c>
      <c r="E5" s="150">
        <v>-1192909.3799999999</v>
      </c>
      <c r="F5" s="456">
        <v>-1192910</v>
      </c>
      <c r="G5" s="168">
        <v>-2564443.09</v>
      </c>
      <c r="H5" s="168">
        <v>-2564443</v>
      </c>
      <c r="N5" s="168" t="s">
        <v>553</v>
      </c>
      <c r="O5" s="455" t="s">
        <v>21</v>
      </c>
      <c r="P5" s="455" t="s">
        <v>554</v>
      </c>
      <c r="Q5" s="455">
        <v>-3032704</v>
      </c>
      <c r="R5" s="455">
        <v>-3032704</v>
      </c>
      <c r="S5" s="168">
        <v>-2752108.07</v>
      </c>
      <c r="T5" s="523">
        <v>-3032704</v>
      </c>
      <c r="W5" s="168">
        <f t="shared" si="0"/>
        <v>280595.93000000017</v>
      </c>
    </row>
    <row r="6" spans="1:23">
      <c r="A6" s="168" t="s">
        <v>555</v>
      </c>
      <c r="B6" s="455"/>
      <c r="C6" s="455" t="s">
        <v>556</v>
      </c>
      <c r="D6" s="168" t="s">
        <v>1558</v>
      </c>
      <c r="E6" s="150">
        <v>0</v>
      </c>
      <c r="F6" s="456">
        <v>0</v>
      </c>
      <c r="G6" s="168">
        <v>0</v>
      </c>
      <c r="H6" s="168">
        <v>0</v>
      </c>
      <c r="N6" s="168" t="s">
        <v>3446</v>
      </c>
      <c r="O6" s="455" t="s">
        <v>21</v>
      </c>
      <c r="P6" s="455" t="s">
        <v>3447</v>
      </c>
      <c r="Q6" s="455">
        <v>-473324</v>
      </c>
      <c r="R6" s="455">
        <v>-473324</v>
      </c>
      <c r="T6" s="523">
        <v>-473324</v>
      </c>
      <c r="W6" s="168">
        <f t="shared" si="0"/>
        <v>473324</v>
      </c>
    </row>
    <row r="7" spans="1:23">
      <c r="A7" s="168" t="s">
        <v>557</v>
      </c>
      <c r="B7" s="455"/>
      <c r="C7" s="455" t="s">
        <v>556</v>
      </c>
      <c r="D7" s="168" t="s">
        <v>1558</v>
      </c>
      <c r="E7" s="150">
        <v>0</v>
      </c>
      <c r="F7" s="456">
        <v>0</v>
      </c>
      <c r="G7" s="168">
        <v>0</v>
      </c>
      <c r="H7" s="168">
        <v>0</v>
      </c>
      <c r="N7" s="168" t="s">
        <v>3448</v>
      </c>
      <c r="O7" s="455" t="s">
        <v>21</v>
      </c>
      <c r="P7" s="455" t="s">
        <v>3449</v>
      </c>
      <c r="Q7" s="455">
        <v>-306944</v>
      </c>
      <c r="R7" s="455">
        <v>-306944</v>
      </c>
      <c r="T7" s="523">
        <v>-306944</v>
      </c>
      <c r="W7" s="168">
        <f t="shared" si="0"/>
        <v>306944</v>
      </c>
    </row>
    <row r="8" spans="1:23">
      <c r="A8" s="168" t="s">
        <v>558</v>
      </c>
      <c r="B8" s="455"/>
      <c r="C8" s="455" t="s">
        <v>556</v>
      </c>
      <c r="D8" s="168" t="s">
        <v>1558</v>
      </c>
      <c r="E8" s="150">
        <v>0</v>
      </c>
      <c r="F8" s="456">
        <v>0</v>
      </c>
      <c r="G8" s="168">
        <v>0</v>
      </c>
      <c r="H8" s="168">
        <v>0</v>
      </c>
      <c r="N8" s="168" t="s">
        <v>555</v>
      </c>
      <c r="O8" s="455"/>
      <c r="P8" s="455" t="s">
        <v>556</v>
      </c>
      <c r="Q8" s="455"/>
      <c r="R8" s="455"/>
      <c r="S8" s="168">
        <v>0</v>
      </c>
      <c r="T8" s="523">
        <v>0</v>
      </c>
      <c r="W8" s="168">
        <f t="shared" si="0"/>
        <v>0</v>
      </c>
    </row>
    <row r="9" spans="1:23">
      <c r="A9" s="168" t="s">
        <v>559</v>
      </c>
      <c r="B9" s="455"/>
      <c r="C9" s="455" t="s">
        <v>560</v>
      </c>
      <c r="D9" s="168" t="s">
        <v>1558</v>
      </c>
      <c r="E9" s="150">
        <v>0</v>
      </c>
      <c r="F9" s="456">
        <v>0</v>
      </c>
      <c r="G9" s="168">
        <v>-210885.9</v>
      </c>
      <c r="H9" s="168">
        <v>0</v>
      </c>
      <c r="N9" s="168" t="s">
        <v>557</v>
      </c>
      <c r="O9" s="455"/>
      <c r="P9" s="455" t="s">
        <v>556</v>
      </c>
      <c r="Q9" s="455"/>
      <c r="R9" s="455"/>
      <c r="S9" s="168">
        <v>0</v>
      </c>
      <c r="T9" s="523">
        <v>0</v>
      </c>
      <c r="W9" s="168">
        <f t="shared" si="0"/>
        <v>0</v>
      </c>
    </row>
    <row r="10" spans="1:23">
      <c r="A10" s="168" t="s">
        <v>561</v>
      </c>
      <c r="B10" s="455" t="s">
        <v>431</v>
      </c>
      <c r="C10" s="455" t="s">
        <v>2317</v>
      </c>
      <c r="D10" s="168" t="s">
        <v>1558</v>
      </c>
      <c r="E10" s="150">
        <v>-56950.080000000002</v>
      </c>
      <c r="F10" s="456">
        <v>0</v>
      </c>
      <c r="G10" s="168">
        <v>0</v>
      </c>
      <c r="H10" s="168">
        <v>0</v>
      </c>
      <c r="N10" s="168" t="s">
        <v>558</v>
      </c>
      <c r="O10" s="455"/>
      <c r="P10" s="455" t="s">
        <v>3450</v>
      </c>
      <c r="Q10" s="455">
        <v>-1129232</v>
      </c>
      <c r="R10" s="455">
        <v>-1129232</v>
      </c>
      <c r="S10" s="168">
        <v>0</v>
      </c>
      <c r="T10" s="523">
        <v>-1129232</v>
      </c>
      <c r="W10" s="168">
        <f t="shared" si="0"/>
        <v>1129232</v>
      </c>
    </row>
    <row r="11" spans="1:23">
      <c r="A11" s="168" t="s">
        <v>562</v>
      </c>
      <c r="B11" s="455"/>
      <c r="C11" s="455" t="s">
        <v>563</v>
      </c>
      <c r="D11" s="168" t="s">
        <v>1558</v>
      </c>
      <c r="E11" s="150">
        <v>0</v>
      </c>
      <c r="F11" s="456">
        <v>0</v>
      </c>
      <c r="G11" s="168">
        <v>0</v>
      </c>
      <c r="H11" s="168">
        <v>0</v>
      </c>
      <c r="N11" s="168" t="s">
        <v>3451</v>
      </c>
      <c r="O11" s="455"/>
      <c r="P11" s="455" t="s">
        <v>560</v>
      </c>
      <c r="Q11" s="455"/>
      <c r="R11" s="455"/>
      <c r="S11" s="168">
        <v>-13191.93</v>
      </c>
      <c r="T11" s="523">
        <v>-13191</v>
      </c>
      <c r="W11" s="168">
        <f t="shared" si="0"/>
        <v>-0.93000000000029104</v>
      </c>
    </row>
    <row r="12" spans="1:23">
      <c r="A12" s="168" t="s">
        <v>564</v>
      </c>
      <c r="B12" s="455" t="s">
        <v>22</v>
      </c>
      <c r="C12" s="455" t="s">
        <v>565</v>
      </c>
      <c r="D12" s="168" t="s">
        <v>1558</v>
      </c>
      <c r="E12" s="150">
        <v>-985502.46</v>
      </c>
      <c r="F12" s="456">
        <v>0</v>
      </c>
      <c r="G12" s="168">
        <f>-1149775.8+1149775.8</f>
        <v>0</v>
      </c>
      <c r="H12" s="168">
        <v>-3766689</v>
      </c>
      <c r="N12" s="168" t="s">
        <v>3452</v>
      </c>
      <c r="O12" s="455"/>
      <c r="P12" s="455" t="s">
        <v>3453</v>
      </c>
      <c r="Q12" s="455"/>
      <c r="R12" s="455"/>
      <c r="S12" s="168">
        <v>-18127.2</v>
      </c>
      <c r="T12" s="523">
        <v>-18127</v>
      </c>
      <c r="W12" s="168">
        <f t="shared" si="0"/>
        <v>-0.2000000000007276</v>
      </c>
    </row>
    <row r="13" spans="1:23">
      <c r="B13" s="455"/>
      <c r="E13" s="150"/>
      <c r="G13" s="168">
        <f>-92821316-241950+64776</f>
        <v>-92998490</v>
      </c>
      <c r="N13" s="168" t="s">
        <v>559</v>
      </c>
      <c r="O13" s="455"/>
      <c r="P13" s="455" t="s">
        <v>560</v>
      </c>
      <c r="Q13" s="455"/>
      <c r="R13" s="455"/>
      <c r="S13" s="168">
        <v>0</v>
      </c>
      <c r="T13" s="523">
        <v>0</v>
      </c>
      <c r="W13" s="168">
        <f t="shared" si="0"/>
        <v>0</v>
      </c>
    </row>
    <row r="14" spans="1:23">
      <c r="A14" s="168" t="s">
        <v>567</v>
      </c>
      <c r="B14" s="455" t="s">
        <v>1730</v>
      </c>
      <c r="C14" s="455" t="s">
        <v>568</v>
      </c>
      <c r="D14" s="168" t="s">
        <v>1558</v>
      </c>
      <c r="E14" s="150">
        <v>-477000</v>
      </c>
      <c r="F14" s="456">
        <v>-477000</v>
      </c>
      <c r="G14" s="168">
        <v>-757352.56</v>
      </c>
      <c r="H14" s="168">
        <v>-543000</v>
      </c>
      <c r="N14" s="168" t="s">
        <v>561</v>
      </c>
      <c r="O14" s="455" t="s">
        <v>431</v>
      </c>
      <c r="P14" s="455" t="s">
        <v>2317</v>
      </c>
      <c r="Q14" s="455"/>
      <c r="R14" s="455"/>
      <c r="S14" s="168">
        <v>0</v>
      </c>
      <c r="T14" s="523">
        <v>0</v>
      </c>
      <c r="W14" s="168">
        <f t="shared" si="0"/>
        <v>0</v>
      </c>
    </row>
    <row r="15" spans="1:23">
      <c r="A15" s="168" t="s">
        <v>2680</v>
      </c>
      <c r="B15" s="455"/>
      <c r="C15" s="455" t="s">
        <v>570</v>
      </c>
      <c r="D15" s="168" t="s">
        <v>1558</v>
      </c>
      <c r="E15" s="150">
        <v>0</v>
      </c>
      <c r="F15" s="456">
        <v>0</v>
      </c>
      <c r="G15" s="168">
        <v>0</v>
      </c>
      <c r="H15" s="168">
        <v>-1500000</v>
      </c>
      <c r="N15" s="168" t="s">
        <v>3454</v>
      </c>
      <c r="O15" s="455"/>
      <c r="P15" s="455" t="s">
        <v>3455</v>
      </c>
      <c r="Q15" s="455"/>
      <c r="R15" s="455"/>
      <c r="S15" s="168">
        <v>-2399.2199999999998</v>
      </c>
      <c r="T15" s="523">
        <v>-2399</v>
      </c>
      <c r="W15" s="168">
        <f t="shared" si="0"/>
        <v>-0.21999999999979991</v>
      </c>
    </row>
    <row r="16" spans="1:23">
      <c r="B16" s="455"/>
      <c r="E16" s="150"/>
      <c r="N16" s="168" t="s">
        <v>562</v>
      </c>
      <c r="O16" s="455"/>
      <c r="P16" s="455" t="s">
        <v>563</v>
      </c>
      <c r="Q16" s="455"/>
      <c r="R16" s="455"/>
      <c r="S16" s="168">
        <v>0</v>
      </c>
      <c r="T16" s="523">
        <v>0</v>
      </c>
      <c r="W16" s="168">
        <f t="shared" si="0"/>
        <v>0</v>
      </c>
    </row>
    <row r="17" spans="1:23">
      <c r="B17" s="455"/>
      <c r="E17" s="150"/>
      <c r="N17" s="168" t="s">
        <v>564</v>
      </c>
      <c r="O17" s="455" t="s">
        <v>22</v>
      </c>
      <c r="P17" s="455" t="s">
        <v>565</v>
      </c>
      <c r="Q17" s="455">
        <v>-1500000</v>
      </c>
      <c r="R17" s="455">
        <v>-1500000</v>
      </c>
      <c r="S17" s="168">
        <f>-1149775.8+1149775.8</f>
        <v>0</v>
      </c>
      <c r="T17" s="523">
        <v>-1500000</v>
      </c>
      <c r="W17" s="168">
        <f t="shared" si="0"/>
        <v>1500000</v>
      </c>
    </row>
    <row r="18" spans="1:23">
      <c r="B18" s="455"/>
      <c r="E18" s="150"/>
      <c r="O18" s="455"/>
      <c r="P18" s="455"/>
      <c r="Q18" s="455"/>
      <c r="R18" s="455"/>
      <c r="S18" s="168">
        <v>0</v>
      </c>
      <c r="T18" s="523"/>
      <c r="W18" s="168">
        <f t="shared" si="0"/>
        <v>0</v>
      </c>
    </row>
    <row r="19" spans="1:23">
      <c r="B19" s="455"/>
      <c r="E19" s="150"/>
      <c r="N19" s="168" t="s">
        <v>3456</v>
      </c>
      <c r="O19" s="455" t="s">
        <v>3457</v>
      </c>
      <c r="P19" s="455" t="s">
        <v>568</v>
      </c>
      <c r="Q19" s="455"/>
      <c r="R19" s="455"/>
      <c r="S19" s="168">
        <v>-350000</v>
      </c>
      <c r="T19" s="523">
        <v>-350000</v>
      </c>
      <c r="W19" s="168">
        <f t="shared" si="0"/>
        <v>0</v>
      </c>
    </row>
    <row r="20" spans="1:23">
      <c r="B20" s="455"/>
      <c r="E20" s="150"/>
      <c r="N20" s="168" t="s">
        <v>567</v>
      </c>
      <c r="O20" s="455" t="s">
        <v>1730</v>
      </c>
      <c r="P20" s="455" t="s">
        <v>568</v>
      </c>
      <c r="Q20" s="455"/>
      <c r="R20" s="455"/>
      <c r="S20" s="598">
        <v>0</v>
      </c>
      <c r="T20" s="456">
        <v>0</v>
      </c>
      <c r="W20" s="168">
        <f t="shared" si="0"/>
        <v>0</v>
      </c>
    </row>
    <row r="21" spans="1:23">
      <c r="B21" s="455"/>
      <c r="E21" s="150"/>
      <c r="N21" s="168" t="s">
        <v>2680</v>
      </c>
      <c r="O21" s="455"/>
      <c r="P21" s="455" t="s">
        <v>570</v>
      </c>
      <c r="Q21" s="455"/>
      <c r="R21" s="455"/>
      <c r="S21" s="168">
        <v>0</v>
      </c>
      <c r="T21" s="523">
        <v>0</v>
      </c>
      <c r="W21" s="168">
        <f t="shared" si="0"/>
        <v>0</v>
      </c>
    </row>
    <row r="22" spans="1:23" ht="15.75" thickBot="1">
      <c r="B22" s="455"/>
      <c r="E22" s="150"/>
      <c r="U22" s="168">
        <f>SUM(S2:S22)</f>
        <v>-9841314.3499999996</v>
      </c>
      <c r="V22" s="168">
        <f>SUM(T2:T22)</f>
        <v>-13690651</v>
      </c>
      <c r="W22" s="168">
        <f t="shared" si="0"/>
        <v>0</v>
      </c>
    </row>
    <row r="23" spans="1:23" ht="16.5" thickTop="1" thickBot="1">
      <c r="A23" s="554" t="s">
        <v>2668</v>
      </c>
      <c r="B23" s="555"/>
      <c r="C23" s="555"/>
      <c r="D23" s="556"/>
      <c r="E23" s="557">
        <f>SUM(E2:E15)</f>
        <v>-8357782.709999999</v>
      </c>
      <c r="F23" s="558"/>
      <c r="G23" s="557">
        <f>SUM(G2:G15)</f>
        <v>-102680380.59</v>
      </c>
      <c r="H23" s="557">
        <f>SUM(H2:H15)</f>
        <v>-14886557</v>
      </c>
      <c r="I23" s="168">
        <v>14886557</v>
      </c>
      <c r="N23" s="554" t="s">
        <v>2668</v>
      </c>
      <c r="O23" s="555"/>
      <c r="P23" s="555"/>
      <c r="Q23" s="555">
        <f>SUM(Q2:Q22)</f>
        <v>-13690651</v>
      </c>
      <c r="R23" s="555">
        <f>SUM(R2:R22)</f>
        <v>-13690651</v>
      </c>
      <c r="S23" s="557">
        <f>SUM(S2:S21)</f>
        <v>-9841314.3499999996</v>
      </c>
      <c r="T23" s="559">
        <f>SUM(T2:T21)</f>
        <v>-13690651</v>
      </c>
      <c r="W23" s="168">
        <f t="shared" si="0"/>
        <v>3849336.6500000004</v>
      </c>
    </row>
    <row r="24" spans="1:23" ht="15.75" thickTop="1">
      <c r="B24" s="455"/>
      <c r="E24" s="151"/>
      <c r="G24" s="151"/>
      <c r="H24" s="151"/>
      <c r="O24" s="455"/>
      <c r="P24" s="455"/>
      <c r="Q24" s="455"/>
      <c r="R24" s="455"/>
      <c r="S24" s="151"/>
      <c r="T24" s="149"/>
      <c r="W24" s="168">
        <f t="shared" si="0"/>
        <v>0</v>
      </c>
    </row>
    <row r="25" spans="1:23">
      <c r="A25" s="561" t="s">
        <v>3458</v>
      </c>
      <c r="B25" s="455"/>
      <c r="E25" s="150"/>
      <c r="N25" s="168" t="s">
        <v>3458</v>
      </c>
      <c r="O25" s="455"/>
      <c r="P25" s="455"/>
      <c r="Q25" s="455"/>
      <c r="R25" s="455"/>
      <c r="S25" s="168">
        <v>1981.6</v>
      </c>
      <c r="T25" s="523">
        <v>1981</v>
      </c>
      <c r="W25" s="168">
        <f t="shared" si="0"/>
        <v>0.59999999999990905</v>
      </c>
    </row>
    <row r="26" spans="1:23">
      <c r="A26" s="168" t="s">
        <v>3714</v>
      </c>
      <c r="B26" s="455"/>
      <c r="E26" s="150"/>
      <c r="N26" s="561" t="s">
        <v>3714</v>
      </c>
      <c r="O26" s="455"/>
      <c r="P26" s="455"/>
      <c r="Q26" s="455">
        <v>23545</v>
      </c>
      <c r="R26" s="455"/>
      <c r="T26" s="523"/>
      <c r="W26" s="168">
        <f t="shared" si="0"/>
        <v>0</v>
      </c>
    </row>
    <row r="27" spans="1:23">
      <c r="A27" s="168" t="s">
        <v>571</v>
      </c>
      <c r="B27" s="455" t="s">
        <v>1549</v>
      </c>
      <c r="C27" s="455" t="s">
        <v>572</v>
      </c>
      <c r="D27" s="168" t="s">
        <v>1558</v>
      </c>
      <c r="E27" s="150">
        <v>715.28</v>
      </c>
      <c r="F27" s="456">
        <v>4500</v>
      </c>
      <c r="G27" s="168">
        <v>0</v>
      </c>
      <c r="H27" s="168">
        <v>0</v>
      </c>
      <c r="N27" s="168" t="s">
        <v>571</v>
      </c>
      <c r="O27" s="455" t="s">
        <v>1549</v>
      </c>
      <c r="P27" s="455" t="s">
        <v>572</v>
      </c>
      <c r="Q27" s="455"/>
      <c r="R27" s="455"/>
      <c r="S27" s="168">
        <v>0</v>
      </c>
      <c r="T27" s="523">
        <v>0</v>
      </c>
      <c r="W27" s="168">
        <f t="shared" si="0"/>
        <v>0</v>
      </c>
    </row>
    <row r="28" spans="1:23">
      <c r="A28" s="168" t="s">
        <v>573</v>
      </c>
      <c r="B28" s="455" t="s">
        <v>1549</v>
      </c>
      <c r="C28" s="455" t="s">
        <v>2321</v>
      </c>
      <c r="D28" s="168" t="s">
        <v>1558</v>
      </c>
      <c r="E28" s="150">
        <v>13852</v>
      </c>
      <c r="F28" s="456">
        <v>13908</v>
      </c>
      <c r="G28" s="168">
        <v>33350</v>
      </c>
      <c r="H28" s="168">
        <v>33350</v>
      </c>
      <c r="N28" s="168" t="s">
        <v>573</v>
      </c>
      <c r="O28" s="455" t="s">
        <v>1549</v>
      </c>
      <c r="P28" s="455" t="s">
        <v>2321</v>
      </c>
      <c r="Q28" s="455">
        <v>2880</v>
      </c>
      <c r="R28" s="455">
        <v>2160</v>
      </c>
      <c r="S28" s="168">
        <v>3480</v>
      </c>
      <c r="T28" s="523">
        <v>3480</v>
      </c>
      <c r="W28" s="168">
        <f t="shared" si="0"/>
        <v>0</v>
      </c>
    </row>
    <row r="29" spans="1:23">
      <c r="B29" s="455"/>
      <c r="E29" s="150"/>
      <c r="N29" s="168" t="s">
        <v>3459</v>
      </c>
      <c r="O29" s="455"/>
      <c r="P29" s="455" t="s">
        <v>575</v>
      </c>
      <c r="Q29" s="455"/>
      <c r="R29" s="455"/>
      <c r="S29" s="168">
        <v>79415.22</v>
      </c>
      <c r="T29" s="523">
        <v>79415</v>
      </c>
      <c r="W29" s="168">
        <f t="shared" si="0"/>
        <v>0.22000000000116415</v>
      </c>
    </row>
    <row r="30" spans="1:23">
      <c r="A30" s="168" t="s">
        <v>574</v>
      </c>
      <c r="B30" s="455" t="s">
        <v>1550</v>
      </c>
      <c r="C30" s="455" t="s">
        <v>575</v>
      </c>
      <c r="D30" s="168" t="s">
        <v>1558</v>
      </c>
      <c r="E30" s="150">
        <v>13827.15</v>
      </c>
      <c r="F30" s="456">
        <v>13836</v>
      </c>
      <c r="G30" s="168">
        <v>11173.77</v>
      </c>
      <c r="H30" s="168">
        <v>11174</v>
      </c>
      <c r="N30" s="168" t="s">
        <v>574</v>
      </c>
      <c r="O30" s="455" t="s">
        <v>1550</v>
      </c>
      <c r="P30" s="455" t="s">
        <v>575</v>
      </c>
      <c r="Q30" s="455"/>
      <c r="R30" s="455"/>
      <c r="S30" s="168">
        <v>3180.92</v>
      </c>
      <c r="T30" s="523">
        <v>3180</v>
      </c>
      <c r="W30" s="168">
        <f t="shared" si="0"/>
        <v>0.92000000000007276</v>
      </c>
    </row>
    <row r="31" spans="1:23">
      <c r="A31" s="168" t="s">
        <v>576</v>
      </c>
      <c r="B31" s="455" t="s">
        <v>1549</v>
      </c>
      <c r="C31" s="455" t="s">
        <v>577</v>
      </c>
      <c r="D31" s="168" t="s">
        <v>1558</v>
      </c>
      <c r="E31" s="150">
        <v>0</v>
      </c>
      <c r="F31" s="456">
        <v>0</v>
      </c>
      <c r="G31" s="168">
        <v>0</v>
      </c>
      <c r="H31" s="168">
        <v>0</v>
      </c>
      <c r="N31" s="168" t="s">
        <v>576</v>
      </c>
      <c r="O31" s="455" t="s">
        <v>1549</v>
      </c>
      <c r="P31" s="455" t="s">
        <v>577</v>
      </c>
      <c r="Q31" s="455"/>
      <c r="R31" s="455"/>
      <c r="S31" s="168">
        <v>0</v>
      </c>
      <c r="T31" s="523">
        <v>0</v>
      </c>
      <c r="W31" s="168">
        <f t="shared" si="0"/>
        <v>0</v>
      </c>
    </row>
    <row r="32" spans="1:23">
      <c r="A32" s="168" t="s">
        <v>579</v>
      </c>
      <c r="B32" s="455" t="s">
        <v>1549</v>
      </c>
      <c r="C32" s="455" t="s">
        <v>577</v>
      </c>
      <c r="D32" s="168" t="s">
        <v>1558</v>
      </c>
      <c r="E32" s="150">
        <v>0</v>
      </c>
      <c r="F32" s="456">
        <v>0</v>
      </c>
      <c r="G32" s="168">
        <v>0</v>
      </c>
      <c r="H32" s="168">
        <v>0</v>
      </c>
      <c r="N32" s="168" t="s">
        <v>579</v>
      </c>
      <c r="O32" s="455" t="s">
        <v>1549</v>
      </c>
      <c r="P32" s="455" t="s">
        <v>577</v>
      </c>
      <c r="Q32" s="455"/>
      <c r="R32" s="455"/>
      <c r="S32" s="168">
        <v>0</v>
      </c>
      <c r="T32" s="523">
        <v>0</v>
      </c>
      <c r="W32" s="168">
        <f t="shared" si="0"/>
        <v>0</v>
      </c>
    </row>
    <row r="33" spans="1:23">
      <c r="A33" s="168" t="s">
        <v>580</v>
      </c>
      <c r="B33" s="455" t="s">
        <v>1549</v>
      </c>
      <c r="C33" s="455" t="s">
        <v>1807</v>
      </c>
      <c r="D33" s="168" t="s">
        <v>1558</v>
      </c>
      <c r="E33" s="150">
        <v>0</v>
      </c>
      <c r="F33" s="456">
        <v>0</v>
      </c>
      <c r="G33" s="168">
        <v>0</v>
      </c>
      <c r="H33" s="168">
        <v>0</v>
      </c>
      <c r="N33" s="168" t="s">
        <v>580</v>
      </c>
      <c r="O33" s="455" t="s">
        <v>1549</v>
      </c>
      <c r="P33" s="455" t="s">
        <v>1807</v>
      </c>
      <c r="Q33" s="455"/>
      <c r="R33" s="455"/>
      <c r="S33" s="168">
        <v>0</v>
      </c>
      <c r="T33" s="523">
        <v>0</v>
      </c>
      <c r="W33" s="168">
        <f t="shared" si="0"/>
        <v>0</v>
      </c>
    </row>
    <row r="34" spans="1:23">
      <c r="A34" s="168" t="s">
        <v>581</v>
      </c>
      <c r="B34" s="455" t="s">
        <v>1549</v>
      </c>
      <c r="C34" s="455" t="s">
        <v>2321</v>
      </c>
      <c r="D34" s="168" t="s">
        <v>1558</v>
      </c>
      <c r="E34" s="150">
        <v>7027.2</v>
      </c>
      <c r="F34" s="456">
        <v>7100</v>
      </c>
      <c r="G34" s="168">
        <v>0</v>
      </c>
      <c r="H34" s="168">
        <v>0</v>
      </c>
      <c r="N34" s="168" t="s">
        <v>581</v>
      </c>
      <c r="O34" s="455" t="s">
        <v>1549</v>
      </c>
      <c r="P34" s="455" t="s">
        <v>2321</v>
      </c>
      <c r="Q34" s="455"/>
      <c r="R34" s="455"/>
      <c r="S34" s="168">
        <v>0</v>
      </c>
      <c r="T34" s="523">
        <v>0</v>
      </c>
      <c r="W34" s="168">
        <f t="shared" si="0"/>
        <v>0</v>
      </c>
    </row>
    <row r="35" spans="1:23">
      <c r="A35" s="168" t="s">
        <v>582</v>
      </c>
      <c r="B35" s="455" t="s">
        <v>1550</v>
      </c>
      <c r="C35" s="455" t="s">
        <v>583</v>
      </c>
      <c r="D35" s="168" t="s">
        <v>1558</v>
      </c>
      <c r="E35" s="150">
        <v>451952.04</v>
      </c>
      <c r="F35" s="456">
        <v>452052</v>
      </c>
      <c r="G35" s="168">
        <v>534681</v>
      </c>
      <c r="H35" s="168">
        <v>534681</v>
      </c>
      <c r="N35" s="168" t="s">
        <v>582</v>
      </c>
      <c r="O35" s="455" t="s">
        <v>1550</v>
      </c>
      <c r="P35" s="455" t="s">
        <v>583</v>
      </c>
      <c r="Q35" s="455">
        <v>359718</v>
      </c>
      <c r="R35" s="455">
        <v>359718</v>
      </c>
      <c r="S35" s="168">
        <v>572108.04</v>
      </c>
      <c r="T35" s="523">
        <v>572108</v>
      </c>
      <c r="W35" s="168">
        <f t="shared" si="0"/>
        <v>4.0000000037252903E-2</v>
      </c>
    </row>
    <row r="36" spans="1:23">
      <c r="A36" s="168" t="s">
        <v>2681</v>
      </c>
      <c r="B36" s="455"/>
      <c r="E36" s="150"/>
      <c r="G36" s="168">
        <v>166689.47</v>
      </c>
      <c r="H36" s="168">
        <v>166689</v>
      </c>
      <c r="N36" s="168" t="s">
        <v>2681</v>
      </c>
      <c r="O36" s="455"/>
      <c r="P36" s="455"/>
      <c r="Q36" s="455">
        <v>294258</v>
      </c>
      <c r="R36" s="455">
        <v>294258</v>
      </c>
      <c r="S36" s="168">
        <v>433355.02</v>
      </c>
      <c r="T36" s="523">
        <v>433355</v>
      </c>
      <c r="W36" s="168">
        <f t="shared" si="0"/>
        <v>2.0000000018626451E-2</v>
      </c>
    </row>
    <row r="37" spans="1:23">
      <c r="A37" s="168" t="s">
        <v>585</v>
      </c>
      <c r="B37" s="455" t="s">
        <v>1550</v>
      </c>
      <c r="C37" s="455" t="s">
        <v>583</v>
      </c>
      <c r="D37" s="168" t="s">
        <v>1558</v>
      </c>
      <c r="E37" s="150">
        <v>1132163.3999999999</v>
      </c>
      <c r="F37" s="456">
        <v>1132164</v>
      </c>
      <c r="G37" s="168">
        <v>1201138.73</v>
      </c>
      <c r="H37" s="168">
        <v>1201139</v>
      </c>
      <c r="N37" s="168" t="s">
        <v>585</v>
      </c>
      <c r="O37" s="455" t="s">
        <v>1550</v>
      </c>
      <c r="P37" s="455" t="s">
        <v>583</v>
      </c>
      <c r="Q37" s="455">
        <v>971228</v>
      </c>
      <c r="R37" s="455">
        <v>971228</v>
      </c>
      <c r="S37" s="168">
        <v>1123880.32</v>
      </c>
      <c r="T37" s="523">
        <v>1123880</v>
      </c>
      <c r="W37" s="168">
        <f t="shared" si="0"/>
        <v>0.32000000006519258</v>
      </c>
    </row>
    <row r="38" spans="1:23">
      <c r="A38" s="168" t="s">
        <v>586</v>
      </c>
      <c r="B38" s="455" t="s">
        <v>1550</v>
      </c>
      <c r="C38" s="455" t="s">
        <v>545</v>
      </c>
      <c r="D38" s="168" t="s">
        <v>1558</v>
      </c>
      <c r="E38" s="150">
        <v>376845.36</v>
      </c>
      <c r="F38" s="456">
        <v>376865</v>
      </c>
      <c r="G38" s="168">
        <v>398800.9</v>
      </c>
      <c r="H38" s="168">
        <v>398801</v>
      </c>
      <c r="N38" s="168" t="s">
        <v>586</v>
      </c>
      <c r="O38" s="455" t="s">
        <v>1550</v>
      </c>
      <c r="P38" s="455" t="s">
        <v>545</v>
      </c>
      <c r="Q38" s="455">
        <v>577047</v>
      </c>
      <c r="R38" s="455">
        <v>577047</v>
      </c>
      <c r="S38" s="168">
        <v>374625</v>
      </c>
      <c r="T38" s="523">
        <v>374626</v>
      </c>
      <c r="W38" s="168">
        <f t="shared" si="0"/>
        <v>-1</v>
      </c>
    </row>
    <row r="39" spans="1:23">
      <c r="A39" s="168" t="s">
        <v>587</v>
      </c>
      <c r="B39" s="455" t="s">
        <v>1550</v>
      </c>
      <c r="C39" s="455" t="s">
        <v>545</v>
      </c>
      <c r="D39" s="168" t="s">
        <v>1558</v>
      </c>
      <c r="E39" s="150">
        <v>0</v>
      </c>
      <c r="F39" s="456">
        <v>0</v>
      </c>
      <c r="G39" s="168">
        <v>0</v>
      </c>
      <c r="H39" s="168">
        <v>0</v>
      </c>
      <c r="N39" s="168" t="s">
        <v>587</v>
      </c>
      <c r="O39" s="455" t="s">
        <v>1550</v>
      </c>
      <c r="P39" s="455" t="s">
        <v>545</v>
      </c>
      <c r="Q39" s="455"/>
      <c r="R39" s="455"/>
      <c r="S39" s="168">
        <v>0</v>
      </c>
      <c r="T39" s="523">
        <v>0</v>
      </c>
      <c r="W39" s="168">
        <f t="shared" si="0"/>
        <v>0</v>
      </c>
    </row>
    <row r="40" spans="1:23">
      <c r="A40" s="168" t="s">
        <v>588</v>
      </c>
      <c r="B40" s="455" t="s">
        <v>1550</v>
      </c>
      <c r="C40" s="455" t="s">
        <v>545</v>
      </c>
      <c r="D40" s="168" t="s">
        <v>1558</v>
      </c>
      <c r="E40" s="150">
        <v>95292</v>
      </c>
      <c r="F40" s="456">
        <v>95292</v>
      </c>
      <c r="G40" s="168">
        <v>98779.93</v>
      </c>
      <c r="H40" s="168">
        <v>98780</v>
      </c>
      <c r="N40" s="168" t="s">
        <v>588</v>
      </c>
      <c r="O40" s="455" t="s">
        <v>1550</v>
      </c>
      <c r="P40" s="455" t="s">
        <v>545</v>
      </c>
      <c r="Q40" s="455">
        <v>121716</v>
      </c>
      <c r="R40" s="455">
        <v>121716</v>
      </c>
      <c r="S40" s="168">
        <v>96012</v>
      </c>
      <c r="T40" s="523">
        <v>96013</v>
      </c>
      <c r="W40" s="168">
        <f t="shared" si="0"/>
        <v>-1</v>
      </c>
    </row>
    <row r="41" spans="1:23">
      <c r="A41" s="168" t="s">
        <v>589</v>
      </c>
      <c r="B41" s="455" t="s">
        <v>1550</v>
      </c>
      <c r="C41" s="455" t="s">
        <v>590</v>
      </c>
      <c r="D41" s="168" t="s">
        <v>1558</v>
      </c>
      <c r="E41" s="150">
        <v>219048.88</v>
      </c>
      <c r="F41" s="456">
        <v>219050</v>
      </c>
      <c r="G41" s="168">
        <v>167596.84</v>
      </c>
      <c r="H41" s="168">
        <v>167597</v>
      </c>
      <c r="N41" s="168" t="s">
        <v>589</v>
      </c>
      <c r="O41" s="455" t="s">
        <v>1550</v>
      </c>
      <c r="P41" s="455" t="s">
        <v>590</v>
      </c>
      <c r="Q41" s="455">
        <v>388632</v>
      </c>
      <c r="R41" s="455">
        <v>388632</v>
      </c>
      <c r="S41" s="168">
        <v>335464.15000000002</v>
      </c>
      <c r="T41" s="523">
        <v>335465</v>
      </c>
      <c r="W41" s="168">
        <f t="shared" si="0"/>
        <v>-0.84999999997671694</v>
      </c>
    </row>
    <row r="42" spans="1:23">
      <c r="A42" s="168" t="s">
        <v>3156</v>
      </c>
      <c r="B42" s="455"/>
      <c r="E42" s="150"/>
      <c r="G42" s="168">
        <f>241950-64776</f>
        <v>177174</v>
      </c>
      <c r="N42" s="168" t="s">
        <v>3156</v>
      </c>
      <c r="O42" s="455"/>
      <c r="P42" s="455"/>
      <c r="Q42" s="455"/>
      <c r="R42" s="455"/>
      <c r="S42" s="168">
        <v>0</v>
      </c>
      <c r="T42" s="523"/>
      <c r="W42" s="168">
        <f t="shared" si="0"/>
        <v>0</v>
      </c>
    </row>
    <row r="43" spans="1:23">
      <c r="A43" s="168" t="s">
        <v>591</v>
      </c>
      <c r="B43" s="455" t="s">
        <v>1551</v>
      </c>
      <c r="C43" s="455" t="s">
        <v>592</v>
      </c>
      <c r="D43" s="168" t="s">
        <v>1558</v>
      </c>
      <c r="E43" s="150">
        <v>0</v>
      </c>
      <c r="F43" s="456">
        <v>23391</v>
      </c>
      <c r="G43" s="168">
        <f>2539509.71+817359.29+64776-241950</f>
        <v>3179695</v>
      </c>
      <c r="H43" s="168">
        <v>1075750</v>
      </c>
      <c r="N43" s="168" t="s">
        <v>591</v>
      </c>
      <c r="O43" s="455" t="s">
        <v>1551</v>
      </c>
      <c r="P43" s="455" t="s">
        <v>592</v>
      </c>
      <c r="Q43" s="455">
        <v>637397</v>
      </c>
      <c r="R43" s="455">
        <v>637397</v>
      </c>
      <c r="S43" s="168">
        <v>1396797.48</v>
      </c>
      <c r="T43" s="523">
        <v>637397</v>
      </c>
      <c r="W43" s="462">
        <f t="shared" si="0"/>
        <v>759400.48</v>
      </c>
    </row>
    <row r="44" spans="1:23">
      <c r="A44" s="168" t="s">
        <v>593</v>
      </c>
      <c r="B44" s="455" t="s">
        <v>1552</v>
      </c>
      <c r="C44" s="455" t="s">
        <v>2406</v>
      </c>
      <c r="D44" s="168" t="s">
        <v>1558</v>
      </c>
      <c r="E44" s="150">
        <v>53271.63</v>
      </c>
      <c r="F44" s="456">
        <v>53300</v>
      </c>
      <c r="G44" s="168">
        <v>43821.26</v>
      </c>
      <c r="H44" s="168">
        <v>43821</v>
      </c>
      <c r="N44" s="168" t="s">
        <v>593</v>
      </c>
      <c r="O44" s="455" t="s">
        <v>1552</v>
      </c>
      <c r="P44" s="455" t="s">
        <v>2406</v>
      </c>
      <c r="Q44" s="455">
        <v>85000</v>
      </c>
      <c r="R44" s="455">
        <v>85000</v>
      </c>
      <c r="S44" s="168">
        <v>47316.92</v>
      </c>
      <c r="T44" s="523">
        <v>47623</v>
      </c>
      <c r="W44" s="168">
        <f t="shared" si="0"/>
        <v>-306.08000000000175</v>
      </c>
    </row>
    <row r="45" spans="1:23">
      <c r="A45" s="168" t="s">
        <v>594</v>
      </c>
      <c r="B45" s="455" t="s">
        <v>1552</v>
      </c>
      <c r="C45" s="455" t="s">
        <v>595</v>
      </c>
      <c r="D45" s="168" t="s">
        <v>1558</v>
      </c>
      <c r="E45" s="150">
        <v>929.21</v>
      </c>
      <c r="F45" s="456">
        <v>2080</v>
      </c>
      <c r="G45" s="168">
        <v>1897.55</v>
      </c>
      <c r="H45" s="168">
        <v>1897</v>
      </c>
      <c r="N45" s="168" t="s">
        <v>594</v>
      </c>
      <c r="O45" s="455" t="s">
        <v>1552</v>
      </c>
      <c r="P45" s="455" t="s">
        <v>595</v>
      </c>
      <c r="Q45" s="455">
        <v>23499</v>
      </c>
      <c r="R45" s="455">
        <v>23499</v>
      </c>
      <c r="S45" s="168">
        <v>4844.84</v>
      </c>
      <c r="T45" s="523">
        <v>4845</v>
      </c>
      <c r="W45" s="168">
        <f t="shared" si="0"/>
        <v>-0.15999999999985448</v>
      </c>
    </row>
    <row r="46" spans="1:23">
      <c r="A46" s="168" t="s">
        <v>2682</v>
      </c>
      <c r="B46" s="455" t="s">
        <v>1552</v>
      </c>
      <c r="C46" s="455" t="s">
        <v>68</v>
      </c>
      <c r="D46" s="168" t="s">
        <v>1558</v>
      </c>
      <c r="E46" s="150"/>
      <c r="G46" s="168">
        <v>279200.71999999997</v>
      </c>
      <c r="H46" s="168">
        <v>279201</v>
      </c>
      <c r="N46" s="168" t="s">
        <v>2682</v>
      </c>
      <c r="O46" s="455" t="s">
        <v>1552</v>
      </c>
      <c r="P46" s="455" t="s">
        <v>68</v>
      </c>
      <c r="Q46" s="455">
        <v>1000000</v>
      </c>
      <c r="R46" s="455">
        <v>1000000</v>
      </c>
      <c r="S46" s="168">
        <v>406129.45</v>
      </c>
      <c r="T46" s="523">
        <v>406130</v>
      </c>
      <c r="W46" s="168">
        <f t="shared" si="0"/>
        <v>-0.54999999998835847</v>
      </c>
    </row>
    <row r="47" spans="1:23">
      <c r="A47" s="168" t="s">
        <v>596</v>
      </c>
      <c r="B47" s="455" t="s">
        <v>2469</v>
      </c>
      <c r="C47" s="455" t="s">
        <v>2315</v>
      </c>
      <c r="D47" s="168" t="s">
        <v>1558</v>
      </c>
      <c r="E47" s="150">
        <v>636354.44999999995</v>
      </c>
      <c r="F47" s="456">
        <v>724562</v>
      </c>
      <c r="G47" s="168">
        <v>530348.54</v>
      </c>
      <c r="H47" s="168">
        <v>530349</v>
      </c>
      <c r="N47" s="168" t="s">
        <v>596</v>
      </c>
      <c r="O47" s="455" t="s">
        <v>2469</v>
      </c>
      <c r="P47" s="455" t="s">
        <v>2315</v>
      </c>
      <c r="Q47" s="455">
        <v>1028681</v>
      </c>
      <c r="R47" s="455">
        <v>1028681</v>
      </c>
      <c r="S47" s="168">
        <v>353708.75</v>
      </c>
      <c r="T47" s="523">
        <v>115971</v>
      </c>
      <c r="W47" s="462">
        <f t="shared" si="0"/>
        <v>237737.75</v>
      </c>
    </row>
    <row r="48" spans="1:23">
      <c r="A48" s="168" t="s">
        <v>598</v>
      </c>
      <c r="B48" s="455" t="s">
        <v>2469</v>
      </c>
      <c r="C48" s="455" t="s">
        <v>2333</v>
      </c>
      <c r="D48" s="168" t="s">
        <v>1558</v>
      </c>
      <c r="E48" s="150">
        <v>0</v>
      </c>
      <c r="F48" s="456">
        <v>859966</v>
      </c>
      <c r="G48" s="168">
        <v>0</v>
      </c>
      <c r="H48" s="168">
        <v>0</v>
      </c>
      <c r="N48" s="168" t="s">
        <v>598</v>
      </c>
      <c r="O48" s="455" t="s">
        <v>2469</v>
      </c>
      <c r="P48" s="455" t="s">
        <v>2333</v>
      </c>
      <c r="Q48" s="455"/>
      <c r="R48" s="455"/>
      <c r="S48" s="168">
        <v>0</v>
      </c>
      <c r="T48" s="523">
        <v>0</v>
      </c>
      <c r="W48" s="168">
        <f t="shared" si="0"/>
        <v>0</v>
      </c>
    </row>
    <row r="49" spans="1:23">
      <c r="A49" s="168" t="s">
        <v>599</v>
      </c>
      <c r="B49" s="455" t="s">
        <v>19</v>
      </c>
      <c r="C49" s="455" t="s">
        <v>600</v>
      </c>
      <c r="D49" s="168" t="s">
        <v>1558</v>
      </c>
      <c r="E49" s="150">
        <v>2573241.02</v>
      </c>
      <c r="F49" s="456">
        <v>2561655</v>
      </c>
      <c r="G49" s="168">
        <v>3154161.04</v>
      </c>
      <c r="H49" s="168">
        <v>3154162</v>
      </c>
      <c r="N49" s="168" t="s">
        <v>599</v>
      </c>
      <c r="O49" s="455" t="s">
        <v>19</v>
      </c>
      <c r="P49" s="455" t="s">
        <v>600</v>
      </c>
      <c r="Q49" s="455">
        <v>2500000</v>
      </c>
      <c r="R49" s="455">
        <v>2500000</v>
      </c>
      <c r="S49" s="168">
        <v>2711937.93</v>
      </c>
      <c r="T49" s="523">
        <v>2711937</v>
      </c>
      <c r="W49" s="168">
        <f t="shared" si="0"/>
        <v>0.93000000016763806</v>
      </c>
    </row>
    <row r="50" spans="1:23">
      <c r="A50" s="168" t="s">
        <v>601</v>
      </c>
      <c r="B50" s="455" t="s">
        <v>1553</v>
      </c>
      <c r="C50" s="455" t="s">
        <v>602</v>
      </c>
      <c r="D50" s="168" t="s">
        <v>1558</v>
      </c>
      <c r="E50" s="150">
        <v>48268.95</v>
      </c>
      <c r="F50" s="456">
        <v>48500</v>
      </c>
      <c r="G50" s="168">
        <v>106925</v>
      </c>
      <c r="H50" s="168">
        <v>106925</v>
      </c>
      <c r="N50" s="168" t="s">
        <v>601</v>
      </c>
      <c r="O50" s="455" t="s">
        <v>1553</v>
      </c>
      <c r="P50" s="455" t="s">
        <v>602</v>
      </c>
      <c r="Q50" s="455">
        <v>60000</v>
      </c>
      <c r="R50" s="455">
        <v>45000</v>
      </c>
      <c r="S50" s="168">
        <v>38090.57</v>
      </c>
      <c r="T50" s="523">
        <v>38091</v>
      </c>
      <c r="W50" s="168">
        <f t="shared" si="0"/>
        <v>-0.43000000000029104</v>
      </c>
    </row>
    <row r="51" spans="1:23">
      <c r="A51" s="168" t="s">
        <v>604</v>
      </c>
      <c r="B51" s="455" t="s">
        <v>1553</v>
      </c>
      <c r="C51" s="455" t="s">
        <v>605</v>
      </c>
      <c r="D51" s="168" t="s">
        <v>1558</v>
      </c>
      <c r="E51" s="150">
        <v>253478.28</v>
      </c>
      <c r="F51" s="456">
        <v>295000</v>
      </c>
      <c r="G51" s="168">
        <v>881241.94</v>
      </c>
      <c r="H51" s="168">
        <v>881241</v>
      </c>
      <c r="N51" s="168" t="s">
        <v>604</v>
      </c>
      <c r="O51" s="455" t="s">
        <v>1553</v>
      </c>
      <c r="P51" s="455" t="s">
        <v>605</v>
      </c>
      <c r="Q51" s="455">
        <v>266152</v>
      </c>
      <c r="R51" s="455">
        <v>199614</v>
      </c>
      <c r="S51" s="168">
        <v>412242.65</v>
      </c>
      <c r="T51" s="523">
        <v>410264</v>
      </c>
      <c r="W51" s="462">
        <f t="shared" si="0"/>
        <v>1978.6500000000233</v>
      </c>
    </row>
    <row r="52" spans="1:23">
      <c r="A52" s="168" t="s">
        <v>606</v>
      </c>
      <c r="B52" s="455" t="s">
        <v>1553</v>
      </c>
      <c r="C52" s="455" t="s">
        <v>605</v>
      </c>
      <c r="D52" s="168" t="s">
        <v>1558</v>
      </c>
      <c r="E52" s="150">
        <v>91120</v>
      </c>
      <c r="F52" s="456">
        <v>91500</v>
      </c>
      <c r="G52" s="168">
        <v>0</v>
      </c>
      <c r="H52" s="168">
        <v>0</v>
      </c>
      <c r="N52" s="168" t="s">
        <v>606</v>
      </c>
      <c r="O52" s="455" t="s">
        <v>1553</v>
      </c>
      <c r="P52" s="455" t="s">
        <v>605</v>
      </c>
      <c r="Q52" s="455"/>
      <c r="R52" s="455"/>
      <c r="S52" s="168">
        <v>0</v>
      </c>
      <c r="T52" s="523">
        <v>0</v>
      </c>
      <c r="W52" s="168">
        <f t="shared" si="0"/>
        <v>0</v>
      </c>
    </row>
    <row r="53" spans="1:23">
      <c r="A53" s="168" t="s">
        <v>607</v>
      </c>
      <c r="B53" s="455" t="s">
        <v>1553</v>
      </c>
      <c r="C53" s="455" t="s">
        <v>608</v>
      </c>
      <c r="D53" s="168" t="s">
        <v>1558</v>
      </c>
      <c r="E53" s="150">
        <v>0</v>
      </c>
      <c r="F53" s="456">
        <v>49000</v>
      </c>
      <c r="G53" s="168">
        <v>0</v>
      </c>
      <c r="H53" s="168">
        <v>0</v>
      </c>
      <c r="N53" s="168" t="s">
        <v>607</v>
      </c>
      <c r="O53" s="455" t="s">
        <v>1553</v>
      </c>
      <c r="P53" s="455" t="s">
        <v>608</v>
      </c>
      <c r="Q53" s="455"/>
      <c r="R53" s="455"/>
      <c r="S53" s="168">
        <v>0</v>
      </c>
      <c r="T53" s="523">
        <v>0</v>
      </c>
      <c r="W53" s="168">
        <f t="shared" si="0"/>
        <v>0</v>
      </c>
    </row>
    <row r="54" spans="1:23">
      <c r="A54" s="168" t="s">
        <v>609</v>
      </c>
      <c r="B54" s="455" t="s">
        <v>1553</v>
      </c>
      <c r="C54" s="455" t="s">
        <v>610</v>
      </c>
      <c r="D54" s="168" t="s">
        <v>1558</v>
      </c>
      <c r="E54" s="150">
        <v>102711.28</v>
      </c>
      <c r="F54" s="456">
        <v>103000</v>
      </c>
      <c r="G54" s="168">
        <v>136907.60999999999</v>
      </c>
      <c r="H54" s="168">
        <v>136907</v>
      </c>
      <c r="N54" s="168" t="s">
        <v>609</v>
      </c>
      <c r="O54" s="455" t="s">
        <v>1553</v>
      </c>
      <c r="P54" s="455" t="s">
        <v>610</v>
      </c>
      <c r="Q54" s="455">
        <v>40226</v>
      </c>
      <c r="R54" s="455">
        <v>30170</v>
      </c>
      <c r="S54" s="168">
        <v>94022.3</v>
      </c>
      <c r="T54" s="523">
        <v>94206</v>
      </c>
      <c r="W54" s="168">
        <f t="shared" si="0"/>
        <v>-183.69999999999709</v>
      </c>
    </row>
    <row r="55" spans="1:23">
      <c r="A55" s="168" t="s">
        <v>611</v>
      </c>
      <c r="B55" s="455" t="s">
        <v>1553</v>
      </c>
      <c r="C55" s="455" t="s">
        <v>612</v>
      </c>
      <c r="D55" s="168" t="s">
        <v>1558</v>
      </c>
      <c r="E55" s="150">
        <v>98868.89</v>
      </c>
      <c r="F55" s="456">
        <v>95000</v>
      </c>
      <c r="G55" s="168">
        <v>242112.52</v>
      </c>
      <c r="H55" s="168">
        <v>242112</v>
      </c>
      <c r="N55" s="168" t="s">
        <v>611</v>
      </c>
      <c r="O55" s="455" t="s">
        <v>1553</v>
      </c>
      <c r="P55" s="455" t="s">
        <v>612</v>
      </c>
      <c r="Q55" s="455">
        <v>108135</v>
      </c>
      <c r="R55" s="455">
        <v>81101</v>
      </c>
      <c r="S55" s="168">
        <v>61115.45</v>
      </c>
      <c r="T55" s="523">
        <v>61116</v>
      </c>
      <c r="W55" s="168">
        <f t="shared" si="0"/>
        <v>-0.55000000000291038</v>
      </c>
    </row>
    <row r="56" spans="1:23">
      <c r="A56" s="168" t="s">
        <v>2683</v>
      </c>
      <c r="B56" s="455" t="s">
        <v>1553</v>
      </c>
      <c r="C56" s="455" t="s">
        <v>2691</v>
      </c>
      <c r="D56" s="168" t="s">
        <v>1558</v>
      </c>
      <c r="E56" s="150"/>
      <c r="G56" s="168">
        <v>275508.96000000002</v>
      </c>
      <c r="H56" s="168">
        <v>275508</v>
      </c>
      <c r="N56" s="168" t="s">
        <v>2683</v>
      </c>
      <c r="O56" s="455" t="s">
        <v>1553</v>
      </c>
      <c r="P56" s="455" t="s">
        <v>2691</v>
      </c>
      <c r="Q56" s="455"/>
      <c r="R56" s="455">
        <v>697150</v>
      </c>
      <c r="S56" s="168">
        <v>304405.32</v>
      </c>
      <c r="T56" s="523">
        <v>304406</v>
      </c>
      <c r="W56" s="168">
        <f t="shared" si="0"/>
        <v>-0.67999999999301508</v>
      </c>
    </row>
    <row r="57" spans="1:23">
      <c r="A57" s="168" t="s">
        <v>613</v>
      </c>
      <c r="B57" s="455" t="s">
        <v>1553</v>
      </c>
      <c r="C57" s="455" t="s">
        <v>614</v>
      </c>
      <c r="D57" s="168" t="s">
        <v>1558</v>
      </c>
      <c r="E57" s="150">
        <v>602742.75</v>
      </c>
      <c r="F57" s="456">
        <v>603000</v>
      </c>
      <c r="G57" s="168">
        <v>0</v>
      </c>
      <c r="H57" s="168">
        <v>0</v>
      </c>
      <c r="N57" s="168" t="s">
        <v>613</v>
      </c>
      <c r="O57" s="455" t="s">
        <v>1553</v>
      </c>
      <c r="P57" s="455" t="s">
        <v>614</v>
      </c>
      <c r="Q57" s="455">
        <v>929533</v>
      </c>
      <c r="R57" s="455"/>
      <c r="S57" s="168">
        <v>0</v>
      </c>
      <c r="T57" s="523">
        <v>0</v>
      </c>
      <c r="W57" s="168">
        <f t="shared" si="0"/>
        <v>0</v>
      </c>
    </row>
    <row r="58" spans="1:23">
      <c r="A58" s="168" t="s">
        <v>615</v>
      </c>
      <c r="B58" s="455" t="s">
        <v>1553</v>
      </c>
      <c r="C58" s="455" t="s">
        <v>616</v>
      </c>
      <c r="D58" s="168" t="s">
        <v>1558</v>
      </c>
      <c r="E58" s="150">
        <v>13700.25</v>
      </c>
      <c r="F58" s="456">
        <v>13800</v>
      </c>
      <c r="G58" s="168">
        <v>8078.32</v>
      </c>
      <c r="H58" s="168">
        <v>8078</v>
      </c>
      <c r="N58" s="168" t="s">
        <v>615</v>
      </c>
      <c r="O58" s="455" t="s">
        <v>1553</v>
      </c>
      <c r="P58" s="455" t="s">
        <v>616</v>
      </c>
      <c r="Q58" s="455">
        <v>7209</v>
      </c>
      <c r="R58" s="455">
        <v>7350</v>
      </c>
      <c r="S58" s="168">
        <v>34133.5</v>
      </c>
      <c r="T58" s="523">
        <v>34133</v>
      </c>
      <c r="W58" s="168">
        <f t="shared" si="0"/>
        <v>0.5</v>
      </c>
    </row>
    <row r="59" spans="1:23">
      <c r="A59" s="168" t="s">
        <v>617</v>
      </c>
      <c r="B59" s="455" t="s">
        <v>1553</v>
      </c>
      <c r="C59" s="455" t="s">
        <v>618</v>
      </c>
      <c r="D59" s="168" t="s">
        <v>1558</v>
      </c>
      <c r="E59" s="150">
        <v>98189.23</v>
      </c>
      <c r="F59" s="456">
        <v>123000</v>
      </c>
      <c r="G59" s="168">
        <v>147233.20000000001</v>
      </c>
      <c r="H59" s="168">
        <v>147233</v>
      </c>
      <c r="N59" s="168" t="s">
        <v>617</v>
      </c>
      <c r="O59" s="455" t="s">
        <v>1553</v>
      </c>
      <c r="P59" s="455" t="s">
        <v>618</v>
      </c>
      <c r="Q59" s="455">
        <v>72090</v>
      </c>
      <c r="R59" s="455">
        <v>73500</v>
      </c>
      <c r="S59" s="168">
        <v>214416.86</v>
      </c>
      <c r="T59" s="523">
        <v>214416</v>
      </c>
      <c r="W59" s="168">
        <f t="shared" si="0"/>
        <v>0.85999999998603016</v>
      </c>
    </row>
    <row r="60" spans="1:23">
      <c r="A60" s="168" t="s">
        <v>619</v>
      </c>
      <c r="B60" s="455" t="s">
        <v>1553</v>
      </c>
      <c r="C60" s="455" t="s">
        <v>620</v>
      </c>
      <c r="D60" s="168" t="s">
        <v>1558</v>
      </c>
      <c r="E60" s="150">
        <v>363842.08</v>
      </c>
      <c r="F60" s="456">
        <v>364300</v>
      </c>
      <c r="G60" s="168">
        <v>543020.53</v>
      </c>
      <c r="H60" s="168">
        <v>543020</v>
      </c>
      <c r="N60" s="168" t="s">
        <v>619</v>
      </c>
      <c r="O60" s="455" t="s">
        <v>1553</v>
      </c>
      <c r="P60" s="455" t="s">
        <v>620</v>
      </c>
      <c r="Q60" s="455">
        <v>20113</v>
      </c>
      <c r="R60" s="455">
        <v>60113</v>
      </c>
      <c r="S60" s="168">
        <v>242179.95</v>
      </c>
      <c r="T60" s="523">
        <v>242179</v>
      </c>
      <c r="W60" s="168">
        <f t="shared" si="0"/>
        <v>0.95000000001164153</v>
      </c>
    </row>
    <row r="61" spans="1:23">
      <c r="A61" s="168" t="s">
        <v>621</v>
      </c>
      <c r="B61" s="455" t="s">
        <v>1553</v>
      </c>
      <c r="C61" s="455" t="s">
        <v>622</v>
      </c>
      <c r="D61" s="168" t="s">
        <v>1558</v>
      </c>
      <c r="E61" s="150">
        <v>68853.73</v>
      </c>
      <c r="F61" s="456">
        <v>135000</v>
      </c>
      <c r="G61" s="168">
        <v>139392.34</v>
      </c>
      <c r="H61" s="168">
        <v>139392</v>
      </c>
      <c r="N61" s="168" t="s">
        <v>621</v>
      </c>
      <c r="O61" s="455" t="s">
        <v>1553</v>
      </c>
      <c r="P61" s="455" t="s">
        <v>622</v>
      </c>
      <c r="Q61" s="455">
        <v>167610</v>
      </c>
      <c r="R61" s="455">
        <v>85362</v>
      </c>
      <c r="S61" s="168">
        <v>69385.95</v>
      </c>
      <c r="T61" s="523">
        <v>69386</v>
      </c>
      <c r="W61" s="168">
        <f t="shared" si="0"/>
        <v>-5.0000000002910383E-2</v>
      </c>
    </row>
    <row r="62" spans="1:23">
      <c r="A62" s="168" t="s">
        <v>623</v>
      </c>
      <c r="B62" s="455" t="s">
        <v>1553</v>
      </c>
      <c r="C62" s="455" t="s">
        <v>624</v>
      </c>
      <c r="D62" s="168" t="s">
        <v>1558</v>
      </c>
      <c r="E62" s="150">
        <v>15034</v>
      </c>
      <c r="F62" s="456">
        <v>15100</v>
      </c>
      <c r="G62" s="168">
        <v>540</v>
      </c>
      <c r="H62" s="168">
        <v>540</v>
      </c>
      <c r="N62" s="168" t="s">
        <v>623</v>
      </c>
      <c r="O62" s="455" t="s">
        <v>1553</v>
      </c>
      <c r="P62" s="455" t="s">
        <v>624</v>
      </c>
      <c r="Q62" s="455">
        <v>844</v>
      </c>
      <c r="R62" s="455">
        <v>1200</v>
      </c>
      <c r="S62" s="168">
        <v>1144.5999999999999</v>
      </c>
      <c r="T62" s="523">
        <v>1145</v>
      </c>
      <c r="W62" s="168">
        <f t="shared" si="0"/>
        <v>-0.40000000000009095</v>
      </c>
    </row>
    <row r="63" spans="1:23">
      <c r="A63" s="168" t="s">
        <v>625</v>
      </c>
      <c r="B63" s="455" t="s">
        <v>1553</v>
      </c>
      <c r="C63" s="455" t="s">
        <v>626</v>
      </c>
      <c r="D63" s="168" t="s">
        <v>1558</v>
      </c>
      <c r="E63" s="150">
        <v>4543.62</v>
      </c>
      <c r="F63" s="456">
        <v>4600</v>
      </c>
      <c r="G63" s="168">
        <v>4059.5</v>
      </c>
      <c r="H63" s="168">
        <v>4059</v>
      </c>
      <c r="N63" s="168" t="s">
        <v>625</v>
      </c>
      <c r="O63" s="455" t="s">
        <v>1553</v>
      </c>
      <c r="P63" s="455" t="s">
        <v>626</v>
      </c>
      <c r="Q63" s="455">
        <v>18900</v>
      </c>
      <c r="R63" s="455">
        <v>3940</v>
      </c>
      <c r="S63" s="168">
        <v>16706.169999999998</v>
      </c>
      <c r="T63" s="523">
        <v>16706</v>
      </c>
      <c r="W63" s="168">
        <f t="shared" si="0"/>
        <v>0.16999999999825377</v>
      </c>
    </row>
    <row r="64" spans="1:23">
      <c r="A64" s="168" t="s">
        <v>627</v>
      </c>
      <c r="B64" s="455" t="s">
        <v>1553</v>
      </c>
      <c r="C64" s="455" t="s">
        <v>628</v>
      </c>
      <c r="D64" s="168" t="s">
        <v>1558</v>
      </c>
      <c r="E64" s="150">
        <v>77300.97</v>
      </c>
      <c r="F64" s="456">
        <v>77400</v>
      </c>
      <c r="G64" s="168">
        <v>130345.51</v>
      </c>
      <c r="H64" s="168">
        <v>130345</v>
      </c>
      <c r="N64" s="168" t="s">
        <v>627</v>
      </c>
      <c r="O64" s="455" t="s">
        <v>1553</v>
      </c>
      <c r="P64" s="455" t="s">
        <v>628</v>
      </c>
      <c r="Q64" s="455">
        <v>89765</v>
      </c>
      <c r="R64" s="455">
        <v>89765</v>
      </c>
      <c r="S64" s="168">
        <v>262197.42</v>
      </c>
      <c r="T64" s="523">
        <v>262197</v>
      </c>
      <c r="W64" s="168">
        <f t="shared" si="0"/>
        <v>0.41999999998370185</v>
      </c>
    </row>
    <row r="65" spans="1:24">
      <c r="A65" s="168" t="s">
        <v>629</v>
      </c>
      <c r="B65" s="455" t="s">
        <v>1553</v>
      </c>
      <c r="C65" s="455" t="s">
        <v>2326</v>
      </c>
      <c r="D65" s="168" t="s">
        <v>1558</v>
      </c>
      <c r="E65" s="150">
        <v>14594.92</v>
      </c>
      <c r="F65" s="456">
        <v>15000</v>
      </c>
      <c r="G65" s="168">
        <v>0</v>
      </c>
      <c r="H65" s="168">
        <v>0</v>
      </c>
      <c r="N65" s="168" t="s">
        <v>629</v>
      </c>
      <c r="O65" s="455" t="s">
        <v>1553</v>
      </c>
      <c r="P65" s="455" t="s">
        <v>2326</v>
      </c>
      <c r="Q65" s="455">
        <v>20000</v>
      </c>
      <c r="R65" s="455"/>
      <c r="S65" s="168">
        <v>0</v>
      </c>
      <c r="T65" s="523">
        <v>0</v>
      </c>
      <c r="W65" s="168">
        <f t="shared" si="0"/>
        <v>0</v>
      </c>
    </row>
    <row r="66" spans="1:24">
      <c r="A66" s="168" t="s">
        <v>630</v>
      </c>
      <c r="B66" s="455" t="s">
        <v>1553</v>
      </c>
      <c r="C66" s="455" t="s">
        <v>631</v>
      </c>
      <c r="D66" s="168" t="s">
        <v>1558</v>
      </c>
      <c r="E66" s="150">
        <v>1484.17</v>
      </c>
      <c r="F66" s="456">
        <v>1650</v>
      </c>
      <c r="G66" s="168">
        <v>3495.57</v>
      </c>
      <c r="H66" s="168">
        <v>3495</v>
      </c>
      <c r="N66" s="168" t="s">
        <v>630</v>
      </c>
      <c r="O66" s="455" t="s">
        <v>1553</v>
      </c>
      <c r="P66" s="455" t="s">
        <v>631</v>
      </c>
      <c r="Q66" s="455">
        <v>1499</v>
      </c>
      <c r="R66" s="455">
        <v>1125</v>
      </c>
      <c r="S66" s="168">
        <v>3658.46</v>
      </c>
      <c r="T66" s="523">
        <v>3658</v>
      </c>
      <c r="W66" s="168">
        <f t="shared" si="0"/>
        <v>0.46000000000003638</v>
      </c>
    </row>
    <row r="67" spans="1:24">
      <c r="A67" s="168" t="s">
        <v>632</v>
      </c>
      <c r="B67" s="455" t="s">
        <v>1553</v>
      </c>
      <c r="C67" s="455" t="s">
        <v>633</v>
      </c>
      <c r="D67" s="168" t="s">
        <v>1558</v>
      </c>
      <c r="E67" s="150">
        <v>85157.9</v>
      </c>
      <c r="F67" s="456">
        <v>86000</v>
      </c>
      <c r="G67" s="168">
        <v>106541.93</v>
      </c>
      <c r="H67" s="168">
        <v>106541</v>
      </c>
      <c r="N67" s="168" t="s">
        <v>632</v>
      </c>
      <c r="O67" s="455" t="s">
        <v>1553</v>
      </c>
      <c r="P67" s="455" t="s">
        <v>633</v>
      </c>
      <c r="Q67" s="455">
        <v>82950</v>
      </c>
      <c r="R67" s="455">
        <v>57766</v>
      </c>
      <c r="S67" s="168">
        <v>168279.2</v>
      </c>
      <c r="T67" s="523">
        <v>169441</v>
      </c>
      <c r="W67" s="168">
        <f t="shared" ref="W67:W131" si="1">S67-T67</f>
        <v>-1161.7999999999884</v>
      </c>
    </row>
    <row r="68" spans="1:24">
      <c r="A68" s="168" t="s">
        <v>2684</v>
      </c>
      <c r="B68" s="455" t="s">
        <v>1553</v>
      </c>
      <c r="D68" s="168" t="s">
        <v>1558</v>
      </c>
      <c r="E68" s="150"/>
      <c r="G68" s="168">
        <v>16000</v>
      </c>
      <c r="H68" s="168">
        <v>16000</v>
      </c>
      <c r="N68" s="168" t="s">
        <v>2684</v>
      </c>
      <c r="O68" s="455" t="s">
        <v>1553</v>
      </c>
      <c r="P68" s="455"/>
      <c r="Q68" s="455">
        <v>13860</v>
      </c>
      <c r="R68" s="455">
        <v>36000</v>
      </c>
      <c r="S68" s="168">
        <v>39000</v>
      </c>
      <c r="T68" s="523">
        <v>39000</v>
      </c>
      <c r="W68" s="168">
        <f t="shared" si="1"/>
        <v>0</v>
      </c>
    </row>
    <row r="69" spans="1:24">
      <c r="A69" s="168" t="s">
        <v>634</v>
      </c>
      <c r="B69" s="455" t="s">
        <v>1553</v>
      </c>
      <c r="C69" s="455" t="s">
        <v>50</v>
      </c>
      <c r="D69" s="168" t="s">
        <v>1558</v>
      </c>
      <c r="E69" s="150">
        <v>1280113.3400000001</v>
      </c>
      <c r="F69" s="456">
        <v>1218000</v>
      </c>
      <c r="G69" s="168">
        <v>1342304.12</v>
      </c>
      <c r="H69" s="168">
        <v>1342305</v>
      </c>
      <c r="N69" s="168" t="s">
        <v>634</v>
      </c>
      <c r="O69" s="455" t="s">
        <v>1553</v>
      </c>
      <c r="P69" s="455" t="s">
        <v>50</v>
      </c>
      <c r="Q69" s="455">
        <v>744000</v>
      </c>
      <c r="R69" s="455">
        <v>774000</v>
      </c>
      <c r="S69" s="168">
        <v>1315254.26</v>
      </c>
      <c r="T69" s="523">
        <v>1320556</v>
      </c>
      <c r="W69" s="168">
        <f t="shared" si="1"/>
        <v>-5301.7399999999907</v>
      </c>
    </row>
    <row r="70" spans="1:24">
      <c r="A70" s="168" t="s">
        <v>51</v>
      </c>
      <c r="B70" s="455" t="s">
        <v>1553</v>
      </c>
      <c r="C70" s="455" t="s">
        <v>52</v>
      </c>
      <c r="D70" s="168" t="s">
        <v>1558</v>
      </c>
      <c r="E70" s="150">
        <v>274691.62</v>
      </c>
      <c r="F70" s="456">
        <v>519000</v>
      </c>
      <c r="G70" s="168">
        <v>791716.22</v>
      </c>
      <c r="H70" s="168">
        <v>791716</v>
      </c>
      <c r="N70" s="168" t="s">
        <v>51</v>
      </c>
      <c r="O70" s="455" t="s">
        <v>1553</v>
      </c>
      <c r="P70" s="455" t="s">
        <v>52</v>
      </c>
      <c r="Q70" s="455">
        <v>274692</v>
      </c>
      <c r="R70" s="455">
        <v>274692</v>
      </c>
      <c r="S70" s="168">
        <v>567182.42000000004</v>
      </c>
      <c r="T70" s="523">
        <v>617355</v>
      </c>
      <c r="W70" s="462">
        <f t="shared" si="1"/>
        <v>-50172.579999999958</v>
      </c>
    </row>
    <row r="71" spans="1:24">
      <c r="A71" s="168" t="s">
        <v>53</v>
      </c>
      <c r="B71" s="455" t="s">
        <v>1553</v>
      </c>
      <c r="C71" s="455" t="s">
        <v>52</v>
      </c>
      <c r="D71" s="168" t="s">
        <v>1558</v>
      </c>
      <c r="E71" s="150">
        <v>788612.97</v>
      </c>
      <c r="F71" s="456">
        <v>789000</v>
      </c>
      <c r="G71" s="168">
        <v>1056770.29</v>
      </c>
      <c r="H71" s="168">
        <v>1056770</v>
      </c>
      <c r="N71" s="168" t="s">
        <v>53</v>
      </c>
      <c r="O71" s="455" t="s">
        <v>1553</v>
      </c>
      <c r="P71" s="455" t="s">
        <v>52</v>
      </c>
      <c r="Q71" s="455">
        <v>99603</v>
      </c>
      <c r="R71" s="455">
        <v>99603</v>
      </c>
      <c r="S71" s="168">
        <v>615256.63</v>
      </c>
      <c r="T71" s="523">
        <v>615257</v>
      </c>
      <c r="W71" s="168">
        <f t="shared" si="1"/>
        <v>-0.36999999999534339</v>
      </c>
    </row>
    <row r="72" spans="1:24">
      <c r="A72" s="168" t="s">
        <v>54</v>
      </c>
      <c r="B72" s="455" t="s">
        <v>1553</v>
      </c>
      <c r="C72" s="455" t="s">
        <v>55</v>
      </c>
      <c r="D72" s="168" t="s">
        <v>1558</v>
      </c>
      <c r="E72" s="150">
        <v>79762.12</v>
      </c>
      <c r="F72" s="456">
        <v>80000</v>
      </c>
      <c r="G72" s="168">
        <v>400712.76</v>
      </c>
      <c r="H72" s="168">
        <v>400712</v>
      </c>
      <c r="N72" s="168" t="s">
        <v>54</v>
      </c>
      <c r="O72" s="455" t="s">
        <v>1553</v>
      </c>
      <c r="P72" s="455" t="s">
        <v>55</v>
      </c>
      <c r="Q72" s="455">
        <v>97650</v>
      </c>
      <c r="R72" s="455">
        <v>51815</v>
      </c>
      <c r="S72" s="168">
        <v>37668.94</v>
      </c>
      <c r="T72" s="523">
        <v>37669</v>
      </c>
      <c r="W72" s="168">
        <f t="shared" si="1"/>
        <v>-5.9999999997671694E-2</v>
      </c>
    </row>
    <row r="73" spans="1:24">
      <c r="A73" s="168" t="s">
        <v>56</v>
      </c>
      <c r="B73" s="455" t="s">
        <v>1553</v>
      </c>
      <c r="C73" s="455" t="s">
        <v>57</v>
      </c>
      <c r="E73" s="150">
        <v>107944.37</v>
      </c>
      <c r="F73" s="456">
        <v>108000</v>
      </c>
      <c r="G73" s="168">
        <v>117039.44</v>
      </c>
      <c r="H73" s="168">
        <v>101996</v>
      </c>
      <c r="N73" s="168" t="s">
        <v>56</v>
      </c>
      <c r="O73" s="455" t="s">
        <v>1553</v>
      </c>
      <c r="P73" s="455" t="s">
        <v>57</v>
      </c>
      <c r="Q73" s="455">
        <v>84000</v>
      </c>
      <c r="R73" s="455">
        <v>100000</v>
      </c>
      <c r="S73" s="168">
        <v>97880.15</v>
      </c>
      <c r="T73" s="523">
        <v>97881</v>
      </c>
      <c r="W73" s="168">
        <f t="shared" si="1"/>
        <v>-0.85000000000582077</v>
      </c>
    </row>
    <row r="74" spans="1:24">
      <c r="A74" s="168" t="s">
        <v>3715</v>
      </c>
      <c r="B74" s="455"/>
      <c r="E74" s="150"/>
      <c r="N74" s="561" t="s">
        <v>3715</v>
      </c>
      <c r="O74" s="455"/>
      <c r="P74" s="455"/>
      <c r="Q74" s="455">
        <v>230689</v>
      </c>
      <c r="R74" s="455">
        <v>173017</v>
      </c>
      <c r="T74" s="523"/>
      <c r="W74" s="168">
        <f t="shared" si="1"/>
        <v>0</v>
      </c>
    </row>
    <row r="75" spans="1:24">
      <c r="A75" s="168" t="s">
        <v>58</v>
      </c>
      <c r="B75" s="455" t="s">
        <v>1553</v>
      </c>
      <c r="C75" s="455" t="s">
        <v>59</v>
      </c>
      <c r="D75" s="168" t="s">
        <v>1558</v>
      </c>
      <c r="E75" s="150">
        <v>0</v>
      </c>
      <c r="F75" s="456">
        <v>0</v>
      </c>
      <c r="G75" s="168">
        <v>225453.42</v>
      </c>
      <c r="H75" s="168">
        <v>225453</v>
      </c>
      <c r="N75" s="168" t="s">
        <v>58</v>
      </c>
      <c r="O75" s="455" t="s">
        <v>1553</v>
      </c>
      <c r="P75" s="455" t="s">
        <v>59</v>
      </c>
      <c r="Q75" s="455">
        <v>150000</v>
      </c>
      <c r="R75" s="455">
        <v>150000</v>
      </c>
      <c r="S75" s="168">
        <v>597133.14</v>
      </c>
      <c r="T75" s="523">
        <v>575410</v>
      </c>
      <c r="W75" s="462">
        <f t="shared" si="1"/>
        <v>21723.140000000014</v>
      </c>
    </row>
    <row r="76" spans="1:24">
      <c r="A76" s="168" t="s">
        <v>2685</v>
      </c>
      <c r="B76" s="455" t="s">
        <v>1553</v>
      </c>
      <c r="D76" s="168" t="s">
        <v>1558</v>
      </c>
      <c r="E76" s="150"/>
      <c r="G76" s="168">
        <v>85930.37</v>
      </c>
      <c r="H76" s="168">
        <v>85930</v>
      </c>
      <c r="N76" s="168" t="s">
        <v>2685</v>
      </c>
      <c r="O76" s="455" t="s">
        <v>1553</v>
      </c>
      <c r="P76" s="455"/>
      <c r="Q76" s="455"/>
      <c r="R76" s="455"/>
      <c r="S76" s="168">
        <v>28317.360000000001</v>
      </c>
      <c r="T76" s="523">
        <v>28317</v>
      </c>
      <c r="W76" s="168">
        <f t="shared" si="1"/>
        <v>0.36000000000058208</v>
      </c>
    </row>
    <row r="77" spans="1:24">
      <c r="A77" s="168" t="s">
        <v>61</v>
      </c>
      <c r="B77" s="455" t="s">
        <v>1553</v>
      </c>
      <c r="C77" s="455" t="s">
        <v>62</v>
      </c>
      <c r="D77" s="168" t="s">
        <v>1558</v>
      </c>
      <c r="E77" s="150">
        <v>63064.67</v>
      </c>
      <c r="F77" s="456">
        <v>69000</v>
      </c>
      <c r="G77" s="168">
        <v>0</v>
      </c>
      <c r="H77" s="168">
        <v>0</v>
      </c>
      <c r="N77" s="168" t="s">
        <v>61</v>
      </c>
      <c r="O77" s="455" t="s">
        <v>1553</v>
      </c>
      <c r="P77" s="455" t="s">
        <v>62</v>
      </c>
      <c r="Q77" s="455">
        <v>31500</v>
      </c>
      <c r="R77" s="455"/>
      <c r="S77" s="168">
        <v>0</v>
      </c>
      <c r="T77" s="523">
        <v>0</v>
      </c>
      <c r="W77" s="168">
        <f t="shared" si="1"/>
        <v>0</v>
      </c>
    </row>
    <row r="78" spans="1:24">
      <c r="A78" s="168" t="s">
        <v>63</v>
      </c>
      <c r="B78" s="455" t="s">
        <v>1553</v>
      </c>
      <c r="C78" s="455" t="s">
        <v>64</v>
      </c>
      <c r="D78" s="168" t="s">
        <v>1558</v>
      </c>
      <c r="E78" s="150">
        <v>0</v>
      </c>
      <c r="F78" s="456">
        <v>0</v>
      </c>
      <c r="G78" s="168">
        <v>0</v>
      </c>
      <c r="H78" s="168">
        <v>0</v>
      </c>
      <c r="N78" s="168" t="s">
        <v>63</v>
      </c>
      <c r="O78" s="455" t="s">
        <v>1553</v>
      </c>
      <c r="P78" s="455" t="s">
        <v>64</v>
      </c>
      <c r="Q78" s="455">
        <v>31500</v>
      </c>
      <c r="R78" s="455"/>
      <c r="S78" s="168">
        <v>0</v>
      </c>
      <c r="T78" s="523">
        <v>0</v>
      </c>
      <c r="W78" s="168">
        <f t="shared" si="1"/>
        <v>0</v>
      </c>
    </row>
    <row r="79" spans="1:24">
      <c r="A79" s="168" t="s">
        <v>65</v>
      </c>
      <c r="B79" s="455" t="s">
        <v>1553</v>
      </c>
      <c r="C79" s="455" t="s">
        <v>2317</v>
      </c>
      <c r="D79" s="168" t="s">
        <v>1558</v>
      </c>
      <c r="E79" s="150">
        <v>199376.15</v>
      </c>
      <c r="F79" s="456">
        <v>220000</v>
      </c>
      <c r="G79" s="168">
        <v>315539.13</v>
      </c>
      <c r="H79" s="168">
        <v>315540</v>
      </c>
      <c r="N79" s="168" t="s">
        <v>65</v>
      </c>
      <c r="O79" s="455" t="s">
        <v>1553</v>
      </c>
      <c r="P79" s="455" t="s">
        <v>2317</v>
      </c>
      <c r="Q79" s="455"/>
      <c r="R79" s="455"/>
      <c r="S79" s="168">
        <v>261424.98</v>
      </c>
      <c r="T79" s="523">
        <v>261424</v>
      </c>
      <c r="W79" s="168">
        <f t="shared" si="1"/>
        <v>0.98000000001047738</v>
      </c>
    </row>
    <row r="80" spans="1:24">
      <c r="A80" s="168" t="s">
        <v>66</v>
      </c>
      <c r="B80" s="455" t="s">
        <v>1553</v>
      </c>
      <c r="C80" s="455" t="s">
        <v>578</v>
      </c>
      <c r="D80" s="168" t="s">
        <v>1558</v>
      </c>
      <c r="E80" s="150">
        <v>55664.89</v>
      </c>
      <c r="F80" s="456">
        <v>60000</v>
      </c>
      <c r="G80" s="168">
        <v>19174.439999999999</v>
      </c>
      <c r="H80" s="168">
        <v>19174</v>
      </c>
      <c r="N80" s="168" t="s">
        <v>66</v>
      </c>
      <c r="O80" s="455" t="s">
        <v>1553</v>
      </c>
      <c r="P80" s="455" t="s">
        <v>578</v>
      </c>
      <c r="Q80" s="455">
        <v>41433</v>
      </c>
      <c r="R80" s="455">
        <v>5000</v>
      </c>
      <c r="S80" s="168">
        <v>43762.52</v>
      </c>
      <c r="T80" s="523">
        <v>43762</v>
      </c>
      <c r="W80" s="168">
        <f t="shared" si="1"/>
        <v>0.51999999999679858</v>
      </c>
      <c r="X80" s="168">
        <f>6723309.31-6713941.71</f>
        <v>9367.5999999996275</v>
      </c>
    </row>
    <row r="81" spans="1:23">
      <c r="A81" s="168" t="s">
        <v>67</v>
      </c>
      <c r="B81" s="455" t="s">
        <v>1553</v>
      </c>
      <c r="C81" s="455" t="s">
        <v>68</v>
      </c>
      <c r="D81" s="168" t="s">
        <v>1558</v>
      </c>
      <c r="E81" s="150">
        <v>871461.23</v>
      </c>
      <c r="F81" s="456">
        <v>885000</v>
      </c>
      <c r="G81" s="168">
        <v>0</v>
      </c>
      <c r="H81" s="168">
        <v>0</v>
      </c>
      <c r="N81" s="168" t="s">
        <v>67</v>
      </c>
      <c r="O81" s="455" t="s">
        <v>1553</v>
      </c>
      <c r="P81" s="455" t="s">
        <v>68</v>
      </c>
      <c r="Q81" s="455"/>
      <c r="R81" s="455"/>
      <c r="S81" s="168">
        <v>3031060.58</v>
      </c>
      <c r="T81" s="523">
        <v>0</v>
      </c>
      <c r="W81" s="462">
        <f t="shared" si="1"/>
        <v>3031060.58</v>
      </c>
    </row>
    <row r="82" spans="1:23">
      <c r="A82" s="168" t="s">
        <v>2686</v>
      </c>
      <c r="B82" s="455" t="s">
        <v>1553</v>
      </c>
      <c r="C82" s="455" t="s">
        <v>2689</v>
      </c>
      <c r="D82" s="168" t="s">
        <v>1558</v>
      </c>
      <c r="E82" s="150"/>
      <c r="G82" s="168">
        <v>308212.7</v>
      </c>
      <c r="H82" s="168">
        <v>308212</v>
      </c>
      <c r="N82" s="168" t="s">
        <v>2686</v>
      </c>
      <c r="O82" s="455" t="s">
        <v>1553</v>
      </c>
      <c r="P82" s="455" t="s">
        <v>2689</v>
      </c>
      <c r="Q82" s="455">
        <v>300000</v>
      </c>
      <c r="R82" s="455">
        <v>225000</v>
      </c>
      <c r="S82" s="168">
        <v>0</v>
      </c>
      <c r="T82" s="523">
        <v>0</v>
      </c>
      <c r="W82" s="168">
        <f t="shared" si="1"/>
        <v>0</v>
      </c>
    </row>
    <row r="83" spans="1:23">
      <c r="A83" s="168" t="s">
        <v>2687</v>
      </c>
      <c r="B83" s="455" t="s">
        <v>1553</v>
      </c>
      <c r="C83" s="455" t="s">
        <v>2690</v>
      </c>
      <c r="D83" s="168" t="s">
        <v>1558</v>
      </c>
      <c r="E83" s="150"/>
      <c r="G83" s="168">
        <v>426838.91</v>
      </c>
      <c r="H83" s="168">
        <v>426838</v>
      </c>
      <c r="N83" s="168" t="s">
        <v>2687</v>
      </c>
      <c r="O83" s="455" t="s">
        <v>1553</v>
      </c>
      <c r="P83" s="455" t="s">
        <v>2690</v>
      </c>
      <c r="Q83" s="455"/>
      <c r="R83" s="455"/>
      <c r="S83" s="168">
        <v>0</v>
      </c>
      <c r="T83" s="523">
        <v>0</v>
      </c>
      <c r="W83" s="168">
        <f t="shared" si="1"/>
        <v>0</v>
      </c>
    </row>
    <row r="84" spans="1:23">
      <c r="A84" s="168" t="s">
        <v>2688</v>
      </c>
      <c r="B84" s="455" t="s">
        <v>1553</v>
      </c>
      <c r="C84" s="455" t="s">
        <v>2318</v>
      </c>
      <c r="D84" s="168" t="s">
        <v>1558</v>
      </c>
      <c r="E84" s="150"/>
      <c r="G84" s="168">
        <v>2662830.52</v>
      </c>
      <c r="H84" s="168">
        <v>2662830</v>
      </c>
      <c r="N84" s="168" t="s">
        <v>2688</v>
      </c>
      <c r="O84" s="455" t="s">
        <v>1553</v>
      </c>
      <c r="P84" s="455" t="s">
        <v>2318</v>
      </c>
      <c r="Q84" s="455"/>
      <c r="R84" s="455">
        <v>2580000</v>
      </c>
      <c r="S84" s="168">
        <v>0</v>
      </c>
      <c r="T84" s="523">
        <v>0</v>
      </c>
      <c r="W84" s="168">
        <f t="shared" si="1"/>
        <v>0</v>
      </c>
    </row>
    <row r="85" spans="1:23">
      <c r="A85" s="168" t="s">
        <v>3943</v>
      </c>
      <c r="B85" s="455"/>
      <c r="E85" s="150"/>
      <c r="O85" s="455"/>
      <c r="P85" s="455"/>
      <c r="Q85" s="455"/>
      <c r="R85" s="455"/>
      <c r="S85" s="168">
        <v>5234591.3099999996</v>
      </c>
      <c r="T85" s="523"/>
    </row>
    <row r="86" spans="1:23">
      <c r="A86" s="168" t="s">
        <v>69</v>
      </c>
      <c r="B86" s="455" t="s">
        <v>1553</v>
      </c>
      <c r="C86" s="455" t="s">
        <v>70</v>
      </c>
      <c r="D86" s="168" t="s">
        <v>1558</v>
      </c>
      <c r="E86" s="150">
        <v>0</v>
      </c>
      <c r="F86" s="456">
        <v>0</v>
      </c>
      <c r="G86" s="168">
        <v>0</v>
      </c>
      <c r="H86" s="168">
        <v>0</v>
      </c>
      <c r="N86" s="168" t="s">
        <v>69</v>
      </c>
      <c r="O86" s="455" t="s">
        <v>1553</v>
      </c>
      <c r="P86" s="455" t="s">
        <v>70</v>
      </c>
      <c r="Q86" s="455"/>
      <c r="R86" s="455"/>
      <c r="S86" s="168">
        <v>0</v>
      </c>
      <c r="T86" s="523">
        <v>0</v>
      </c>
      <c r="W86" s="168">
        <f t="shared" si="1"/>
        <v>0</v>
      </c>
    </row>
    <row r="87" spans="1:23">
      <c r="A87" s="168" t="s">
        <v>72</v>
      </c>
      <c r="B87" s="455" t="s">
        <v>1553</v>
      </c>
      <c r="C87" s="455" t="s">
        <v>2326</v>
      </c>
      <c r="D87" s="168" t="s">
        <v>1558</v>
      </c>
      <c r="E87" s="150">
        <v>0</v>
      </c>
      <c r="F87" s="456">
        <v>0</v>
      </c>
      <c r="G87" s="168">
        <v>0</v>
      </c>
      <c r="H87" s="168">
        <v>0</v>
      </c>
      <c r="N87" s="168" t="s">
        <v>72</v>
      </c>
      <c r="O87" s="455" t="s">
        <v>1553</v>
      </c>
      <c r="P87" s="455" t="s">
        <v>2326</v>
      </c>
      <c r="Q87" s="455"/>
      <c r="R87" s="455"/>
      <c r="S87" s="168">
        <v>0</v>
      </c>
      <c r="T87" s="523">
        <v>0</v>
      </c>
      <c r="W87" s="168">
        <f t="shared" si="1"/>
        <v>0</v>
      </c>
    </row>
    <row r="88" spans="1:23">
      <c r="A88" s="168" t="s">
        <v>73</v>
      </c>
      <c r="B88" s="455" t="s">
        <v>1553</v>
      </c>
      <c r="C88" s="455" t="s">
        <v>70</v>
      </c>
      <c r="D88" s="168" t="s">
        <v>1558</v>
      </c>
      <c r="E88" s="150">
        <v>0</v>
      </c>
      <c r="F88" s="456">
        <v>0</v>
      </c>
      <c r="G88" s="168">
        <v>0</v>
      </c>
      <c r="H88" s="168">
        <v>0</v>
      </c>
      <c r="N88" s="168" t="s">
        <v>73</v>
      </c>
      <c r="O88" s="455" t="s">
        <v>1553</v>
      </c>
      <c r="P88" s="455" t="s">
        <v>70</v>
      </c>
      <c r="Q88" s="455"/>
      <c r="R88" s="455"/>
      <c r="S88" s="168">
        <v>0</v>
      </c>
      <c r="T88" s="523">
        <v>0</v>
      </c>
      <c r="W88" s="168">
        <f t="shared" si="1"/>
        <v>0</v>
      </c>
    </row>
    <row r="89" spans="1:23" ht="15.75" thickBot="1">
      <c r="A89" s="168" t="s">
        <v>3347</v>
      </c>
      <c r="B89" s="455" t="s">
        <v>1553</v>
      </c>
      <c r="C89" s="455" t="s">
        <v>2318</v>
      </c>
      <c r="D89" s="168" t="s">
        <v>1558</v>
      </c>
      <c r="E89" s="150"/>
      <c r="G89" s="168">
        <v>0</v>
      </c>
      <c r="N89" s="168" t="s">
        <v>3347</v>
      </c>
      <c r="O89" s="455" t="s">
        <v>1553</v>
      </c>
      <c r="P89" s="455" t="s">
        <v>2318</v>
      </c>
      <c r="Q89" s="455"/>
      <c r="R89" s="455"/>
      <c r="S89" s="168">
        <v>0</v>
      </c>
      <c r="T89" s="523"/>
      <c r="W89" s="168">
        <f t="shared" si="1"/>
        <v>0</v>
      </c>
    </row>
    <row r="90" spans="1:23" ht="16.5" thickTop="1" thickBot="1">
      <c r="A90" s="554" t="s">
        <v>2668</v>
      </c>
      <c r="B90" s="555"/>
      <c r="C90" s="555"/>
      <c r="D90" s="556"/>
      <c r="E90" s="560">
        <f>SUM(E27:E88)</f>
        <v>11235102</v>
      </c>
      <c r="F90" s="560">
        <f>SUM(F27:F88)</f>
        <v>12608571</v>
      </c>
      <c r="G90" s="560">
        <f>SUM(G27:G89)</f>
        <v>20472433.999999996</v>
      </c>
      <c r="H90" s="560">
        <f>SUM(H27:H88)</f>
        <v>18176263</v>
      </c>
      <c r="N90" s="554" t="s">
        <v>2668</v>
      </c>
      <c r="O90" s="555"/>
      <c r="P90" s="555"/>
      <c r="Q90" s="555">
        <f>SUM(Q25:Q89)</f>
        <v>11997554</v>
      </c>
      <c r="R90" s="555">
        <f>SUM(R26:R89)</f>
        <v>13891619</v>
      </c>
      <c r="S90" s="560">
        <f>SUM(S25:S89)</f>
        <v>21734748.329999998</v>
      </c>
      <c r="T90" s="558">
        <f>SUM(T25:T89)</f>
        <v>12505381</v>
      </c>
      <c r="U90" s="603">
        <f>S90+S23</f>
        <v>11893433.979999999</v>
      </c>
      <c r="V90" s="168">
        <f>SUM(T90)</f>
        <v>12505381</v>
      </c>
      <c r="W90" s="168">
        <f t="shared" si="1"/>
        <v>9229367.3299999982</v>
      </c>
    </row>
    <row r="91" spans="1:23" ht="15.75" thickTop="1">
      <c r="B91" s="455"/>
      <c r="E91" s="150"/>
      <c r="O91" s="455"/>
      <c r="P91" s="455"/>
      <c r="Q91" s="455"/>
      <c r="R91" s="455"/>
      <c r="T91" s="523"/>
      <c r="U91" s="168" t="s">
        <v>45</v>
      </c>
      <c r="V91" s="603">
        <f>SUM(V18:V90)</f>
        <v>-1185270</v>
      </c>
      <c r="W91" s="168">
        <f t="shared" si="1"/>
        <v>0</v>
      </c>
    </row>
    <row r="92" spans="1:23">
      <c r="A92" s="168" t="s">
        <v>74</v>
      </c>
      <c r="B92" s="455" t="s">
        <v>1549</v>
      </c>
      <c r="C92" s="455" t="s">
        <v>75</v>
      </c>
      <c r="D92" s="168" t="s">
        <v>1559</v>
      </c>
      <c r="E92" s="150">
        <v>1204157.06</v>
      </c>
      <c r="F92" s="456">
        <v>1398564</v>
      </c>
      <c r="G92" s="168">
        <v>1260311.5900000001</v>
      </c>
      <c r="H92" s="168">
        <v>1260312</v>
      </c>
      <c r="N92" s="168" t="s">
        <v>74</v>
      </c>
      <c r="O92" s="455" t="s">
        <v>1549</v>
      </c>
      <c r="P92" s="455" t="s">
        <v>75</v>
      </c>
      <c r="Q92" s="455">
        <v>2194325</v>
      </c>
      <c r="R92" s="455">
        <v>2194325</v>
      </c>
      <c r="S92" s="168">
        <v>1518807.62</v>
      </c>
      <c r="T92" s="523">
        <v>1518808</v>
      </c>
      <c r="U92" s="168" t="s">
        <v>45</v>
      </c>
      <c r="W92" s="168">
        <f t="shared" si="1"/>
        <v>-0.37999999988824129</v>
      </c>
    </row>
    <row r="93" spans="1:23">
      <c r="A93" s="168" t="s">
        <v>76</v>
      </c>
      <c r="B93" s="455" t="s">
        <v>1549</v>
      </c>
      <c r="C93" s="455" t="s">
        <v>77</v>
      </c>
      <c r="D93" s="168" t="s">
        <v>1559</v>
      </c>
      <c r="E93" s="150">
        <v>184489.53</v>
      </c>
      <c r="F93" s="456">
        <v>185000</v>
      </c>
      <c r="G93" s="168">
        <v>273364.32</v>
      </c>
      <c r="H93" s="168">
        <v>273364</v>
      </c>
      <c r="N93" s="168" t="s">
        <v>76</v>
      </c>
      <c r="O93" s="455" t="s">
        <v>1549</v>
      </c>
      <c r="P93" s="455" t="s">
        <v>77</v>
      </c>
      <c r="Q93" s="455">
        <v>170000</v>
      </c>
      <c r="R93" s="455">
        <v>170000</v>
      </c>
      <c r="S93" s="168">
        <v>138417.68</v>
      </c>
      <c r="T93" s="523">
        <v>138418</v>
      </c>
      <c r="W93" s="168">
        <f t="shared" si="1"/>
        <v>-0.32000000000698492</v>
      </c>
    </row>
    <row r="94" spans="1:23">
      <c r="A94" s="168" t="s">
        <v>78</v>
      </c>
      <c r="B94" s="455" t="s">
        <v>1549</v>
      </c>
      <c r="C94" s="455" t="s">
        <v>60</v>
      </c>
      <c r="D94" s="168" t="s">
        <v>1559</v>
      </c>
      <c r="E94" s="150">
        <v>111352.29</v>
      </c>
      <c r="F94" s="456">
        <v>147000</v>
      </c>
      <c r="G94" s="168">
        <v>87438.53</v>
      </c>
      <c r="H94" s="168">
        <v>87439</v>
      </c>
      <c r="N94" s="168" t="s">
        <v>78</v>
      </c>
      <c r="O94" s="455" t="s">
        <v>1549</v>
      </c>
      <c r="P94" s="455" t="s">
        <v>60</v>
      </c>
      <c r="Q94" s="455">
        <v>114226</v>
      </c>
      <c r="R94" s="455">
        <v>114226</v>
      </c>
      <c r="S94" s="168">
        <v>141424.28</v>
      </c>
      <c r="T94" s="523">
        <v>141424</v>
      </c>
      <c r="W94" s="168">
        <f t="shared" si="1"/>
        <v>0.27999999999883585</v>
      </c>
    </row>
    <row r="95" spans="1:23">
      <c r="B95" s="455"/>
      <c r="E95" s="150"/>
      <c r="N95" s="168" t="s">
        <v>3716</v>
      </c>
      <c r="O95" s="455"/>
      <c r="P95" s="455"/>
      <c r="Q95" s="455">
        <v>70000</v>
      </c>
      <c r="R95" s="455">
        <v>70000</v>
      </c>
      <c r="T95" s="523"/>
      <c r="W95" s="168">
        <f t="shared" si="1"/>
        <v>0</v>
      </c>
    </row>
    <row r="96" spans="1:23">
      <c r="A96" s="168" t="s">
        <v>79</v>
      </c>
      <c r="B96" s="455" t="s">
        <v>1549</v>
      </c>
      <c r="C96" s="455" t="s">
        <v>515</v>
      </c>
      <c r="D96" s="168" t="s">
        <v>1559</v>
      </c>
      <c r="E96" s="150">
        <v>136926.10999999999</v>
      </c>
      <c r="F96" s="456">
        <v>137000</v>
      </c>
      <c r="G96" s="168">
        <v>86039.2</v>
      </c>
      <c r="H96" s="168">
        <v>86040</v>
      </c>
      <c r="N96" s="168" t="s">
        <v>79</v>
      </c>
      <c r="O96" s="455" t="s">
        <v>1549</v>
      </c>
      <c r="P96" s="455" t="s">
        <v>515</v>
      </c>
      <c r="Q96" s="455"/>
      <c r="R96" s="455"/>
      <c r="S96" s="168">
        <v>79066.19</v>
      </c>
      <c r="T96" s="523">
        <v>79066</v>
      </c>
      <c r="W96" s="168">
        <f t="shared" si="1"/>
        <v>0.19000000000232831</v>
      </c>
    </row>
    <row r="97" spans="1:23">
      <c r="A97" s="168" t="s">
        <v>80</v>
      </c>
      <c r="B97" s="455" t="s">
        <v>1549</v>
      </c>
      <c r="C97" s="455" t="s">
        <v>660</v>
      </c>
      <c r="D97" s="168" t="s">
        <v>1559</v>
      </c>
      <c r="E97" s="150">
        <v>0</v>
      </c>
      <c r="F97" s="456">
        <v>0</v>
      </c>
      <c r="G97" s="168">
        <v>0</v>
      </c>
      <c r="H97" s="168">
        <v>0</v>
      </c>
      <c r="N97" s="168" t="s">
        <v>80</v>
      </c>
      <c r="O97" s="455" t="s">
        <v>1549</v>
      </c>
      <c r="P97" s="455" t="s">
        <v>660</v>
      </c>
      <c r="Q97" s="455"/>
      <c r="R97" s="455"/>
      <c r="S97" s="168">
        <v>0</v>
      </c>
      <c r="T97" s="523">
        <v>0</v>
      </c>
      <c r="W97" s="168">
        <f t="shared" si="1"/>
        <v>0</v>
      </c>
    </row>
    <row r="98" spans="1:23">
      <c r="A98" s="168" t="s">
        <v>82</v>
      </c>
      <c r="B98" s="455" t="s">
        <v>1549</v>
      </c>
      <c r="C98" s="455" t="s">
        <v>767</v>
      </c>
      <c r="D98" s="168" t="s">
        <v>1559</v>
      </c>
      <c r="E98" s="150">
        <v>7051.32</v>
      </c>
      <c r="F98" s="456">
        <v>7087</v>
      </c>
      <c r="G98" s="168">
        <v>4712</v>
      </c>
      <c r="H98" s="168">
        <v>4712</v>
      </c>
      <c r="N98" s="168" t="s">
        <v>82</v>
      </c>
      <c r="O98" s="455" t="s">
        <v>1549</v>
      </c>
      <c r="P98" s="455" t="s">
        <v>767</v>
      </c>
      <c r="Q98" s="455">
        <v>30384</v>
      </c>
      <c r="R98" s="455">
        <v>30384</v>
      </c>
      <c r="S98" s="168">
        <v>4250</v>
      </c>
      <c r="T98" s="523">
        <v>4251</v>
      </c>
      <c r="W98" s="168">
        <f t="shared" si="1"/>
        <v>-1</v>
      </c>
    </row>
    <row r="99" spans="1:23">
      <c r="A99" s="168" t="s">
        <v>83</v>
      </c>
      <c r="B99" s="455" t="s">
        <v>1549</v>
      </c>
      <c r="C99" s="455" t="s">
        <v>84</v>
      </c>
      <c r="D99" s="168" t="s">
        <v>1559</v>
      </c>
      <c r="E99" s="150">
        <v>202494.53</v>
      </c>
      <c r="F99" s="456">
        <v>202500</v>
      </c>
      <c r="G99" s="168">
        <v>220467.89</v>
      </c>
      <c r="H99" s="168">
        <v>220467</v>
      </c>
      <c r="N99" s="168" t="s">
        <v>83</v>
      </c>
      <c r="O99" s="455" t="s">
        <v>1549</v>
      </c>
      <c r="P99" s="455" t="s">
        <v>84</v>
      </c>
      <c r="Q99" s="455">
        <v>125235</v>
      </c>
      <c r="R99" s="455">
        <v>125235</v>
      </c>
      <c r="S99" s="168">
        <v>235366.13</v>
      </c>
      <c r="T99" s="523">
        <v>235366</v>
      </c>
      <c r="W99" s="168">
        <f t="shared" si="1"/>
        <v>0.13000000000465661</v>
      </c>
    </row>
    <row r="100" spans="1:23">
      <c r="A100" s="168" t="s">
        <v>85</v>
      </c>
      <c r="B100" s="455" t="s">
        <v>1549</v>
      </c>
      <c r="C100" s="455" t="s">
        <v>86</v>
      </c>
      <c r="D100" s="168" t="s">
        <v>1559</v>
      </c>
      <c r="E100" s="150">
        <v>0</v>
      </c>
      <c r="F100" s="456">
        <v>0</v>
      </c>
      <c r="G100" s="168">
        <v>594447.66</v>
      </c>
      <c r="H100" s="168">
        <v>594447</v>
      </c>
      <c r="N100" s="168" t="s">
        <v>85</v>
      </c>
      <c r="O100" s="455" t="s">
        <v>1549</v>
      </c>
      <c r="P100" s="455" t="s">
        <v>86</v>
      </c>
      <c r="Q100" s="455">
        <v>109783</v>
      </c>
      <c r="R100" s="455">
        <v>109783</v>
      </c>
      <c r="S100" s="168">
        <v>22440.38</v>
      </c>
      <c r="T100" s="523">
        <v>22441</v>
      </c>
      <c r="W100" s="168">
        <f t="shared" si="1"/>
        <v>-0.61999999999898137</v>
      </c>
    </row>
    <row r="101" spans="1:23">
      <c r="A101" s="168" t="s">
        <v>87</v>
      </c>
      <c r="B101" s="455" t="s">
        <v>1549</v>
      </c>
      <c r="C101" s="455" t="s">
        <v>590</v>
      </c>
      <c r="D101" s="168" t="s">
        <v>1559</v>
      </c>
      <c r="E101" s="150">
        <v>33708</v>
      </c>
      <c r="F101" s="456">
        <v>33800</v>
      </c>
      <c r="G101" s="168">
        <v>33139.199999999997</v>
      </c>
      <c r="H101" s="168">
        <v>33139</v>
      </c>
      <c r="N101" s="168" t="s">
        <v>87</v>
      </c>
      <c r="O101" s="455" t="s">
        <v>1549</v>
      </c>
      <c r="P101" s="455" t="s">
        <v>590</v>
      </c>
      <c r="Q101" s="455">
        <v>223579</v>
      </c>
      <c r="R101" s="455">
        <v>223579</v>
      </c>
      <c r="S101" s="168">
        <v>47588.4</v>
      </c>
      <c r="T101" s="523">
        <v>47589</v>
      </c>
      <c r="W101" s="168">
        <f t="shared" si="1"/>
        <v>-0.59999999999854481</v>
      </c>
    </row>
    <row r="102" spans="1:23">
      <c r="A102" s="168" t="s">
        <v>88</v>
      </c>
      <c r="B102" s="455" t="s">
        <v>1549</v>
      </c>
      <c r="C102" s="455" t="s">
        <v>590</v>
      </c>
      <c r="D102" s="168" t="s">
        <v>1559</v>
      </c>
      <c r="E102" s="150">
        <v>198197.61</v>
      </c>
      <c r="F102" s="456">
        <v>198200</v>
      </c>
      <c r="G102" s="168">
        <v>208135.36</v>
      </c>
      <c r="H102" s="168">
        <v>208136</v>
      </c>
      <c r="N102" s="168" t="s">
        <v>88</v>
      </c>
      <c r="O102" s="455" t="s">
        <v>1549</v>
      </c>
      <c r="P102" s="455" t="s">
        <v>590</v>
      </c>
      <c r="Q102" s="455">
        <v>301558</v>
      </c>
      <c r="R102" s="455">
        <v>301558</v>
      </c>
      <c r="S102" s="168">
        <v>235663.75</v>
      </c>
      <c r="T102" s="523">
        <v>235664</v>
      </c>
      <c r="W102" s="168">
        <f t="shared" si="1"/>
        <v>-0.25</v>
      </c>
    </row>
    <row r="103" spans="1:23">
      <c r="A103" s="168" t="s">
        <v>89</v>
      </c>
      <c r="B103" s="455" t="s">
        <v>1549</v>
      </c>
      <c r="C103" s="455" t="s">
        <v>590</v>
      </c>
      <c r="D103" s="168" t="s">
        <v>1559</v>
      </c>
      <c r="E103" s="150">
        <v>13270.72</v>
      </c>
      <c r="F103" s="456">
        <v>13300</v>
      </c>
      <c r="G103" s="168">
        <v>10509.92</v>
      </c>
      <c r="H103" s="168">
        <v>10510</v>
      </c>
      <c r="N103" s="168" t="s">
        <v>89</v>
      </c>
      <c r="O103" s="455" t="s">
        <v>1549</v>
      </c>
      <c r="P103" s="455" t="s">
        <v>590</v>
      </c>
      <c r="Q103" s="455">
        <v>13707</v>
      </c>
      <c r="R103" s="455">
        <v>13707</v>
      </c>
      <c r="S103" s="168">
        <v>10594.79</v>
      </c>
      <c r="T103" s="523">
        <v>10595</v>
      </c>
      <c r="W103" s="168">
        <f t="shared" si="1"/>
        <v>-0.20999999999912689</v>
      </c>
    </row>
    <row r="104" spans="1:23">
      <c r="A104" s="168" t="s">
        <v>90</v>
      </c>
      <c r="B104" s="455" t="s">
        <v>1549</v>
      </c>
      <c r="C104" s="455" t="s">
        <v>590</v>
      </c>
      <c r="D104" s="168" t="s">
        <v>1559</v>
      </c>
      <c r="E104" s="150">
        <v>10468.07</v>
      </c>
      <c r="F104" s="456">
        <v>10500</v>
      </c>
      <c r="G104" s="168">
        <v>12173.43</v>
      </c>
      <c r="H104" s="168">
        <v>12174</v>
      </c>
      <c r="N104" s="168" t="s">
        <v>90</v>
      </c>
      <c r="O104" s="455" t="s">
        <v>1549</v>
      </c>
      <c r="P104" s="455" t="s">
        <v>590</v>
      </c>
      <c r="Q104" s="455">
        <v>20972</v>
      </c>
      <c r="R104" s="455">
        <v>20972</v>
      </c>
      <c r="S104" s="168">
        <v>13395.85</v>
      </c>
      <c r="T104" s="523">
        <v>13396</v>
      </c>
      <c r="W104" s="168">
        <f t="shared" si="1"/>
        <v>-0.1499999999996362</v>
      </c>
    </row>
    <row r="105" spans="1:23">
      <c r="A105" s="168" t="s">
        <v>91</v>
      </c>
      <c r="B105" s="455" t="s">
        <v>1549</v>
      </c>
      <c r="C105" s="455" t="s">
        <v>1807</v>
      </c>
      <c r="D105" s="168" t="s">
        <v>1559</v>
      </c>
      <c r="E105" s="150">
        <v>547.20000000000005</v>
      </c>
      <c r="F105" s="456">
        <v>640</v>
      </c>
      <c r="G105" s="168">
        <v>525.78</v>
      </c>
      <c r="H105" s="168">
        <v>526</v>
      </c>
      <c r="N105" s="168" t="s">
        <v>91</v>
      </c>
      <c r="O105" s="455" t="s">
        <v>1549</v>
      </c>
      <c r="P105" s="455" t="s">
        <v>1807</v>
      </c>
      <c r="Q105" s="455">
        <v>621</v>
      </c>
      <c r="R105" s="455">
        <v>621</v>
      </c>
      <c r="S105" s="168">
        <v>572.58000000000004</v>
      </c>
      <c r="T105" s="523">
        <v>573</v>
      </c>
      <c r="W105" s="168">
        <f t="shared" si="1"/>
        <v>-0.41999999999995907</v>
      </c>
    </row>
    <row r="106" spans="1:23">
      <c r="A106" s="168" t="s">
        <v>92</v>
      </c>
      <c r="B106" s="455" t="s">
        <v>1551</v>
      </c>
      <c r="C106" s="455" t="s">
        <v>592</v>
      </c>
      <c r="D106" s="168" t="s">
        <v>1559</v>
      </c>
      <c r="E106" s="150">
        <v>0</v>
      </c>
      <c r="F106" s="456">
        <v>4988</v>
      </c>
      <c r="G106" s="168">
        <v>0</v>
      </c>
      <c r="H106" s="168">
        <v>0</v>
      </c>
      <c r="N106" s="168" t="s">
        <v>92</v>
      </c>
      <c r="O106" s="455" t="s">
        <v>1551</v>
      </c>
      <c r="P106" s="455" t="s">
        <v>592</v>
      </c>
      <c r="Q106" s="455">
        <v>3703</v>
      </c>
      <c r="R106" s="455">
        <v>3703</v>
      </c>
      <c r="S106" s="168">
        <v>3054.24</v>
      </c>
      <c r="T106" s="523">
        <v>3703</v>
      </c>
      <c r="W106" s="462">
        <f t="shared" si="1"/>
        <v>-648.76000000000022</v>
      </c>
    </row>
    <row r="107" spans="1:23">
      <c r="A107" s="168" t="s">
        <v>93</v>
      </c>
      <c r="B107" s="455" t="s">
        <v>1552</v>
      </c>
      <c r="C107" s="455" t="s">
        <v>595</v>
      </c>
      <c r="D107" s="168" t="s">
        <v>1559</v>
      </c>
      <c r="E107" s="150">
        <v>26.55</v>
      </c>
      <c r="F107" s="456">
        <v>40</v>
      </c>
      <c r="G107" s="168">
        <v>0</v>
      </c>
      <c r="H107" s="168">
        <v>0</v>
      </c>
      <c r="N107" s="168" t="s">
        <v>93</v>
      </c>
      <c r="O107" s="455" t="s">
        <v>1552</v>
      </c>
      <c r="P107" s="455" t="s">
        <v>595</v>
      </c>
      <c r="Q107" s="455">
        <v>235</v>
      </c>
      <c r="R107" s="455">
        <v>235</v>
      </c>
      <c r="S107" s="168">
        <v>0</v>
      </c>
      <c r="T107" s="523">
        <v>0</v>
      </c>
      <c r="W107" s="168">
        <f t="shared" si="1"/>
        <v>0</v>
      </c>
    </row>
    <row r="108" spans="1:23">
      <c r="A108" s="168" t="s">
        <v>94</v>
      </c>
      <c r="B108" s="455" t="s">
        <v>1552</v>
      </c>
      <c r="C108" s="455" t="s">
        <v>95</v>
      </c>
      <c r="D108" s="168" t="s">
        <v>1559</v>
      </c>
      <c r="E108" s="150">
        <v>0</v>
      </c>
      <c r="F108" s="456">
        <v>0</v>
      </c>
      <c r="G108" s="168">
        <v>0</v>
      </c>
      <c r="H108" s="168">
        <v>0</v>
      </c>
      <c r="N108" s="168" t="s">
        <v>94</v>
      </c>
      <c r="O108" s="455" t="s">
        <v>1552</v>
      </c>
      <c r="P108" s="455" t="s">
        <v>95</v>
      </c>
      <c r="Q108" s="455"/>
      <c r="R108" s="455"/>
      <c r="S108" s="168">
        <v>0</v>
      </c>
      <c r="T108" s="523">
        <v>0</v>
      </c>
      <c r="W108" s="168">
        <f t="shared" si="1"/>
        <v>0</v>
      </c>
    </row>
    <row r="109" spans="1:23">
      <c r="A109" s="168" t="s">
        <v>96</v>
      </c>
      <c r="B109" s="455" t="s">
        <v>19</v>
      </c>
      <c r="C109" s="455" t="s">
        <v>600</v>
      </c>
      <c r="D109" s="168" t="s">
        <v>1559</v>
      </c>
      <c r="E109" s="150">
        <v>0</v>
      </c>
      <c r="F109" s="456">
        <v>0</v>
      </c>
      <c r="G109" s="168">
        <v>0</v>
      </c>
      <c r="H109" s="168">
        <v>0</v>
      </c>
      <c r="N109" s="168" t="s">
        <v>96</v>
      </c>
      <c r="O109" s="455" t="s">
        <v>19</v>
      </c>
      <c r="P109" s="455" t="s">
        <v>600</v>
      </c>
      <c r="Q109" s="455"/>
      <c r="R109" s="455"/>
      <c r="S109" s="168">
        <v>0</v>
      </c>
      <c r="T109" s="523">
        <v>0</v>
      </c>
      <c r="W109" s="168">
        <f t="shared" si="1"/>
        <v>0</v>
      </c>
    </row>
    <row r="110" spans="1:23">
      <c r="B110" s="455"/>
      <c r="E110" s="150"/>
      <c r="N110" s="168" t="s">
        <v>3460</v>
      </c>
      <c r="O110" s="455"/>
      <c r="P110" s="455"/>
      <c r="Q110" s="455">
        <v>19480</v>
      </c>
      <c r="R110" s="455">
        <v>72000</v>
      </c>
      <c r="S110" s="168">
        <v>96800</v>
      </c>
      <c r="T110" s="523">
        <v>96800</v>
      </c>
      <c r="W110" s="168">
        <f t="shared" si="1"/>
        <v>0</v>
      </c>
    </row>
    <row r="111" spans="1:23">
      <c r="A111" s="168" t="s">
        <v>97</v>
      </c>
      <c r="B111" s="455" t="s">
        <v>1553</v>
      </c>
      <c r="C111" s="455" t="s">
        <v>612</v>
      </c>
      <c r="D111" s="168" t="s">
        <v>1559</v>
      </c>
      <c r="E111" s="150">
        <v>33094.33</v>
      </c>
      <c r="F111" s="456">
        <v>34000</v>
      </c>
      <c r="G111" s="168">
        <v>79130.95</v>
      </c>
      <c r="H111" s="168">
        <v>79131</v>
      </c>
      <c r="N111" s="168" t="s">
        <v>97</v>
      </c>
      <c r="O111" s="455" t="s">
        <v>1553</v>
      </c>
      <c r="P111" s="455" t="s">
        <v>612</v>
      </c>
      <c r="Q111" s="455">
        <v>437472</v>
      </c>
      <c r="R111" s="455">
        <v>328104</v>
      </c>
      <c r="S111" s="168">
        <v>51616</v>
      </c>
      <c r="T111" s="523">
        <v>51617</v>
      </c>
      <c r="W111" s="168">
        <f t="shared" si="1"/>
        <v>-1</v>
      </c>
    </row>
    <row r="112" spans="1:23">
      <c r="A112" s="168" t="s">
        <v>98</v>
      </c>
      <c r="B112" s="455" t="s">
        <v>1553</v>
      </c>
      <c r="C112" s="455" t="s">
        <v>99</v>
      </c>
      <c r="D112" s="168" t="s">
        <v>1559</v>
      </c>
      <c r="E112" s="150">
        <v>743219.42</v>
      </c>
      <c r="F112" s="456">
        <v>744000</v>
      </c>
      <c r="G112" s="168">
        <v>1446129.17</v>
      </c>
      <c r="H112" s="168">
        <v>1446130</v>
      </c>
      <c r="N112" s="168" t="s">
        <v>98</v>
      </c>
      <c r="O112" s="455" t="s">
        <v>1553</v>
      </c>
      <c r="P112" s="455" t="s">
        <v>99</v>
      </c>
      <c r="Q112" s="455">
        <v>3082016</v>
      </c>
      <c r="R112" s="455">
        <v>3082016</v>
      </c>
      <c r="S112" s="168">
        <f>2250464.34-294395.63</f>
        <v>1956068.71</v>
      </c>
      <c r="T112" s="523">
        <v>2224963</v>
      </c>
      <c r="W112" s="462">
        <f t="shared" si="1"/>
        <v>-268894.29000000004</v>
      </c>
    </row>
    <row r="113" spans="1:23">
      <c r="A113" s="168" t="s">
        <v>100</v>
      </c>
      <c r="B113" s="455" t="s">
        <v>1553</v>
      </c>
      <c r="C113" s="455" t="s">
        <v>616</v>
      </c>
      <c r="D113" s="168" t="s">
        <v>1559</v>
      </c>
      <c r="E113" s="150">
        <v>20</v>
      </c>
      <c r="F113" s="456">
        <v>52</v>
      </c>
      <c r="G113" s="168">
        <v>27</v>
      </c>
      <c r="H113" s="168">
        <v>0</v>
      </c>
      <c r="N113" s="168" t="s">
        <v>100</v>
      </c>
      <c r="O113" s="455" t="s">
        <v>1553</v>
      </c>
      <c r="P113" s="455" t="s">
        <v>616</v>
      </c>
      <c r="Q113" s="455">
        <v>2500</v>
      </c>
      <c r="R113" s="455">
        <v>596</v>
      </c>
      <c r="S113" s="168">
        <v>593.46</v>
      </c>
      <c r="T113" s="523">
        <v>594</v>
      </c>
      <c r="W113" s="168">
        <f t="shared" si="1"/>
        <v>-0.53999999999996362</v>
      </c>
    </row>
    <row r="114" spans="1:23">
      <c r="A114" s="168" t="s">
        <v>101</v>
      </c>
      <c r="B114" s="455" t="s">
        <v>1553</v>
      </c>
      <c r="C114" s="455" t="s">
        <v>620</v>
      </c>
      <c r="D114" s="168" t="s">
        <v>1559</v>
      </c>
      <c r="E114" s="150">
        <v>34022.15</v>
      </c>
      <c r="F114" s="456">
        <v>35000</v>
      </c>
      <c r="G114" s="168">
        <v>44191.66</v>
      </c>
      <c r="H114" s="168">
        <v>44191</v>
      </c>
      <c r="N114" s="168" t="s">
        <v>101</v>
      </c>
      <c r="O114" s="455" t="s">
        <v>1553</v>
      </c>
      <c r="P114" s="455" t="s">
        <v>620</v>
      </c>
      <c r="Q114" s="455">
        <v>20026</v>
      </c>
      <c r="R114" s="455">
        <v>37883</v>
      </c>
      <c r="S114" s="168">
        <v>27739</v>
      </c>
      <c r="T114" s="523">
        <v>27740</v>
      </c>
      <c r="W114" s="168">
        <f t="shared" si="1"/>
        <v>-1</v>
      </c>
    </row>
    <row r="115" spans="1:23">
      <c r="A115" s="168" t="s">
        <v>102</v>
      </c>
      <c r="B115" s="455" t="s">
        <v>1553</v>
      </c>
      <c r="C115" s="455" t="s">
        <v>2322</v>
      </c>
      <c r="D115" s="168" t="s">
        <v>1559</v>
      </c>
      <c r="E115" s="150">
        <v>34993.96</v>
      </c>
      <c r="F115" s="456">
        <v>35000</v>
      </c>
      <c r="G115" s="168">
        <v>0</v>
      </c>
      <c r="H115" s="168">
        <v>0</v>
      </c>
      <c r="N115" s="168" t="s">
        <v>102</v>
      </c>
      <c r="O115" s="455" t="s">
        <v>1553</v>
      </c>
      <c r="P115" s="455" t="s">
        <v>2322</v>
      </c>
      <c r="Q115" s="455">
        <v>28573</v>
      </c>
      <c r="R115" s="455">
        <v>21430</v>
      </c>
      <c r="S115" s="168">
        <v>353.91</v>
      </c>
      <c r="T115" s="523">
        <v>354</v>
      </c>
      <c r="W115" s="168">
        <f t="shared" si="1"/>
        <v>-8.9999999999974989E-2</v>
      </c>
    </row>
    <row r="116" spans="1:23">
      <c r="A116" s="168" t="s">
        <v>103</v>
      </c>
      <c r="B116" s="455" t="s">
        <v>1553</v>
      </c>
      <c r="C116" s="455" t="s">
        <v>631</v>
      </c>
      <c r="D116" s="168" t="s">
        <v>1559</v>
      </c>
      <c r="E116" s="150">
        <v>121.04</v>
      </c>
      <c r="F116" s="456">
        <v>220</v>
      </c>
      <c r="G116" s="168">
        <v>307.48</v>
      </c>
      <c r="H116" s="168">
        <v>307</v>
      </c>
      <c r="N116" s="168" t="s">
        <v>103</v>
      </c>
      <c r="O116" s="455" t="s">
        <v>1553</v>
      </c>
      <c r="P116" s="455" t="s">
        <v>631</v>
      </c>
      <c r="Q116" s="455">
        <v>1006</v>
      </c>
      <c r="R116" s="455">
        <v>350</v>
      </c>
      <c r="S116" s="168">
        <v>4624.3999999999996</v>
      </c>
      <c r="T116" s="523">
        <v>4624</v>
      </c>
      <c r="W116" s="168">
        <f t="shared" si="1"/>
        <v>0.3999999999996362</v>
      </c>
    </row>
    <row r="117" spans="1:23">
      <c r="A117" s="168" t="s">
        <v>104</v>
      </c>
      <c r="B117" s="455" t="s">
        <v>1553</v>
      </c>
      <c r="C117" s="455" t="s">
        <v>633</v>
      </c>
      <c r="D117" s="168" t="s">
        <v>1559</v>
      </c>
      <c r="E117" s="150">
        <v>13967.03</v>
      </c>
      <c r="F117" s="456">
        <v>14000</v>
      </c>
      <c r="G117" s="168">
        <v>37008.720000000001</v>
      </c>
      <c r="H117" s="168">
        <v>37008</v>
      </c>
      <c r="N117" s="168" t="s">
        <v>104</v>
      </c>
      <c r="O117" s="455" t="s">
        <v>1553</v>
      </c>
      <c r="P117" s="455" t="s">
        <v>633</v>
      </c>
      <c r="Q117" s="455">
        <v>8221</v>
      </c>
      <c r="R117" s="455">
        <v>23204</v>
      </c>
      <c r="S117" s="168">
        <v>16241.02</v>
      </c>
      <c r="T117" s="523">
        <v>16261</v>
      </c>
      <c r="W117" s="462">
        <f t="shared" si="1"/>
        <v>-19.979999999999563</v>
      </c>
    </row>
    <row r="118" spans="1:23">
      <c r="A118" s="168" t="s">
        <v>105</v>
      </c>
      <c r="B118" s="455" t="s">
        <v>1553</v>
      </c>
      <c r="C118" s="455" t="s">
        <v>50</v>
      </c>
      <c r="D118" s="168" t="s">
        <v>1559</v>
      </c>
      <c r="E118" s="150">
        <v>376978.46</v>
      </c>
      <c r="F118" s="456">
        <v>377000</v>
      </c>
      <c r="G118" s="168">
        <v>365561.87</v>
      </c>
      <c r="H118" s="168">
        <v>365561</v>
      </c>
      <c r="N118" s="168" t="s">
        <v>105</v>
      </c>
      <c r="O118" s="455" t="s">
        <v>1553</v>
      </c>
      <c r="P118" s="455" t="s">
        <v>50</v>
      </c>
      <c r="Q118" s="455">
        <v>307803</v>
      </c>
      <c r="R118" s="455">
        <v>425034</v>
      </c>
      <c r="S118" s="168">
        <v>579097.99</v>
      </c>
      <c r="T118" s="523">
        <v>577873</v>
      </c>
      <c r="W118" s="462">
        <f t="shared" si="1"/>
        <v>1224.9899999999907</v>
      </c>
    </row>
    <row r="119" spans="1:23">
      <c r="A119" s="168" t="s">
        <v>106</v>
      </c>
      <c r="B119" s="455" t="s">
        <v>1553</v>
      </c>
      <c r="C119" s="455" t="s">
        <v>52</v>
      </c>
      <c r="D119" s="168" t="s">
        <v>1559</v>
      </c>
      <c r="E119" s="150">
        <v>5998.05</v>
      </c>
      <c r="F119" s="456">
        <v>6000</v>
      </c>
      <c r="G119" s="168">
        <v>12662.84</v>
      </c>
      <c r="H119" s="168">
        <v>12662</v>
      </c>
      <c r="N119" s="168" t="s">
        <v>106</v>
      </c>
      <c r="O119" s="455" t="s">
        <v>1553</v>
      </c>
      <c r="P119" s="455" t="s">
        <v>52</v>
      </c>
      <c r="Q119" s="455">
        <v>4897</v>
      </c>
      <c r="R119" s="455">
        <v>19895</v>
      </c>
      <c r="S119" s="168">
        <v>3587.85</v>
      </c>
      <c r="T119" s="523">
        <v>3588</v>
      </c>
      <c r="W119" s="168">
        <f t="shared" si="1"/>
        <v>-0.15000000000009095</v>
      </c>
    </row>
    <row r="120" spans="1:23" ht="15.75" thickBot="1">
      <c r="A120" s="168" t="s">
        <v>107</v>
      </c>
      <c r="B120" s="455" t="s">
        <v>1553</v>
      </c>
      <c r="C120" s="455" t="s">
        <v>52</v>
      </c>
      <c r="D120" s="168" t="s">
        <v>1559</v>
      </c>
      <c r="E120" s="150">
        <v>44078.93</v>
      </c>
      <c r="F120" s="456">
        <v>44100</v>
      </c>
      <c r="G120" s="168">
        <v>61424.75</v>
      </c>
      <c r="H120" s="168">
        <v>61424.75</v>
      </c>
      <c r="N120" s="168" t="s">
        <v>107</v>
      </c>
      <c r="O120" s="455" t="s">
        <v>1553</v>
      </c>
      <c r="P120" s="455" t="s">
        <v>52</v>
      </c>
      <c r="Q120" s="455">
        <v>35990</v>
      </c>
      <c r="R120" s="455">
        <v>26993</v>
      </c>
      <c r="S120" s="168">
        <v>111929.72</v>
      </c>
      <c r="T120" s="523">
        <v>111929</v>
      </c>
      <c r="W120" s="168">
        <f t="shared" si="1"/>
        <v>0.72000000000116415</v>
      </c>
    </row>
    <row r="121" spans="1:23" ht="16.5" thickTop="1" thickBot="1">
      <c r="A121" s="554" t="s">
        <v>2668</v>
      </c>
      <c r="B121" s="555"/>
      <c r="C121" s="555"/>
      <c r="D121" s="556"/>
      <c r="E121" s="560">
        <f>SUM(E92:E120)</f>
        <v>3389182.36</v>
      </c>
      <c r="F121" s="560">
        <f>SUM(F92:F120)</f>
        <v>3627991</v>
      </c>
      <c r="G121" s="560">
        <f>SUM(G92:G120)</f>
        <v>4837709.32</v>
      </c>
      <c r="H121" s="560">
        <f>SUM(H92:H120)</f>
        <v>4837680.75</v>
      </c>
      <c r="N121" s="554" t="s">
        <v>2668</v>
      </c>
      <c r="O121" s="555"/>
      <c r="P121" s="555"/>
      <c r="Q121" s="555">
        <f>SUM(Q92:Q120)</f>
        <v>7326312</v>
      </c>
      <c r="R121" s="555">
        <f>SUM(R92:R120)</f>
        <v>7415833</v>
      </c>
      <c r="S121" s="560">
        <f>SUM(S92:S120)</f>
        <v>5299293.9499999993</v>
      </c>
      <c r="T121" s="558">
        <f>SUM(T92:T120)</f>
        <v>5567637</v>
      </c>
      <c r="U121" s="603">
        <f>S121</f>
        <v>5299293.9499999993</v>
      </c>
      <c r="V121" s="603">
        <f>T121</f>
        <v>5567637</v>
      </c>
      <c r="W121" s="168">
        <f t="shared" si="1"/>
        <v>-268343.05000000075</v>
      </c>
    </row>
    <row r="122" spans="1:23" ht="15.75" thickTop="1">
      <c r="B122" s="455"/>
      <c r="E122" s="150"/>
      <c r="W122" s="168">
        <f t="shared" si="1"/>
        <v>0</v>
      </c>
    </row>
    <row r="123" spans="1:23">
      <c r="A123" s="168" t="s">
        <v>108</v>
      </c>
      <c r="B123" s="455" t="s">
        <v>1553</v>
      </c>
      <c r="C123" s="455" t="s">
        <v>2326</v>
      </c>
      <c r="D123" s="168" t="s">
        <v>1559</v>
      </c>
      <c r="E123" s="150">
        <v>0</v>
      </c>
      <c r="F123" s="456">
        <v>0</v>
      </c>
      <c r="G123" s="168">
        <v>0</v>
      </c>
      <c r="H123" s="168">
        <v>0</v>
      </c>
      <c r="N123" s="168" t="s">
        <v>108</v>
      </c>
      <c r="O123" s="455" t="s">
        <v>1553</v>
      </c>
      <c r="P123" s="455" t="s">
        <v>2326</v>
      </c>
      <c r="Q123" s="455"/>
      <c r="R123" s="455"/>
      <c r="S123" s="168">
        <v>0</v>
      </c>
      <c r="T123" s="523">
        <v>0</v>
      </c>
      <c r="W123" s="168">
        <f t="shared" si="1"/>
        <v>0</v>
      </c>
    </row>
    <row r="124" spans="1:23">
      <c r="A124" s="168" t="s">
        <v>109</v>
      </c>
      <c r="B124" s="455" t="s">
        <v>1553</v>
      </c>
      <c r="C124" s="455" t="s">
        <v>110</v>
      </c>
      <c r="D124" s="168" t="s">
        <v>1559</v>
      </c>
      <c r="E124" s="150">
        <v>0</v>
      </c>
      <c r="F124" s="456">
        <v>0</v>
      </c>
      <c r="G124" s="168">
        <v>0</v>
      </c>
      <c r="H124" s="168">
        <v>0</v>
      </c>
      <c r="N124" s="168" t="s">
        <v>109</v>
      </c>
      <c r="O124" s="455" t="s">
        <v>1553</v>
      </c>
      <c r="P124" s="455" t="s">
        <v>110</v>
      </c>
      <c r="Q124" s="455"/>
      <c r="R124" s="455"/>
      <c r="S124" s="168">
        <v>0</v>
      </c>
      <c r="T124" s="523">
        <v>0</v>
      </c>
      <c r="W124" s="168">
        <f t="shared" si="1"/>
        <v>0</v>
      </c>
    </row>
    <row r="125" spans="1:23">
      <c r="A125" s="168" t="s">
        <v>112</v>
      </c>
      <c r="B125" s="455" t="s">
        <v>1549</v>
      </c>
      <c r="C125" s="455" t="s">
        <v>75</v>
      </c>
      <c r="D125" s="168" t="s">
        <v>1560</v>
      </c>
      <c r="E125" s="150">
        <v>0</v>
      </c>
      <c r="F125" s="456">
        <v>0</v>
      </c>
      <c r="G125" s="168">
        <v>0</v>
      </c>
      <c r="H125" s="168">
        <v>0</v>
      </c>
      <c r="N125" s="168" t="s">
        <v>112</v>
      </c>
      <c r="O125" s="455" t="s">
        <v>1549</v>
      </c>
      <c r="P125" s="455" t="s">
        <v>75</v>
      </c>
      <c r="Q125" s="455"/>
      <c r="R125" s="455"/>
      <c r="S125" s="168">
        <v>0</v>
      </c>
      <c r="T125" s="523">
        <v>0</v>
      </c>
      <c r="W125" s="168">
        <f t="shared" si="1"/>
        <v>0</v>
      </c>
    </row>
    <row r="126" spans="1:23">
      <c r="A126" s="168" t="s">
        <v>113</v>
      </c>
      <c r="B126" s="455" t="s">
        <v>1549</v>
      </c>
      <c r="C126" s="455" t="s">
        <v>60</v>
      </c>
      <c r="D126" s="168" t="s">
        <v>1560</v>
      </c>
      <c r="E126" s="150">
        <v>0</v>
      </c>
      <c r="F126" s="456">
        <v>0</v>
      </c>
      <c r="G126" s="168">
        <v>0</v>
      </c>
      <c r="H126" s="168">
        <v>0</v>
      </c>
      <c r="N126" s="168" t="s">
        <v>113</v>
      </c>
      <c r="O126" s="455" t="s">
        <v>1549</v>
      </c>
      <c r="P126" s="455" t="s">
        <v>60</v>
      </c>
      <c r="Q126" s="455"/>
      <c r="R126" s="455"/>
      <c r="S126" s="168">
        <v>0</v>
      </c>
      <c r="T126" s="523">
        <v>0</v>
      </c>
      <c r="W126" s="168">
        <f t="shared" si="1"/>
        <v>0</v>
      </c>
    </row>
    <row r="127" spans="1:23">
      <c r="A127" s="168" t="s">
        <v>114</v>
      </c>
      <c r="B127" s="455" t="s">
        <v>1549</v>
      </c>
      <c r="C127" s="455" t="s">
        <v>767</v>
      </c>
      <c r="D127" s="168" t="s">
        <v>1560</v>
      </c>
      <c r="E127" s="150">
        <v>0</v>
      </c>
      <c r="F127" s="456">
        <v>0</v>
      </c>
      <c r="G127" s="168">
        <v>0</v>
      </c>
      <c r="H127" s="168">
        <v>0</v>
      </c>
      <c r="N127" s="168" t="s">
        <v>114</v>
      </c>
      <c r="O127" s="455" t="s">
        <v>1549</v>
      </c>
      <c r="P127" s="455" t="s">
        <v>767</v>
      </c>
      <c r="Q127" s="455"/>
      <c r="R127" s="455"/>
      <c r="S127" s="168">
        <v>0</v>
      </c>
      <c r="T127" s="523">
        <v>0</v>
      </c>
      <c r="W127" s="168">
        <f t="shared" si="1"/>
        <v>0</v>
      </c>
    </row>
    <row r="128" spans="1:23">
      <c r="A128" s="168" t="s">
        <v>115</v>
      </c>
      <c r="B128" s="455" t="s">
        <v>1549</v>
      </c>
      <c r="C128" s="455" t="s">
        <v>84</v>
      </c>
      <c r="D128" s="168" t="s">
        <v>1560</v>
      </c>
      <c r="E128" s="150">
        <v>0</v>
      </c>
      <c r="F128" s="456">
        <v>0</v>
      </c>
      <c r="G128" s="168">
        <v>0</v>
      </c>
      <c r="H128" s="168">
        <v>0</v>
      </c>
      <c r="N128" s="168" t="s">
        <v>115</v>
      </c>
      <c r="O128" s="455" t="s">
        <v>1549</v>
      </c>
      <c r="P128" s="455" t="s">
        <v>84</v>
      </c>
      <c r="Q128" s="455"/>
      <c r="R128" s="455"/>
      <c r="S128" s="168">
        <v>0</v>
      </c>
      <c r="T128" s="523">
        <v>0</v>
      </c>
      <c r="W128" s="168">
        <f t="shared" si="1"/>
        <v>0</v>
      </c>
    </row>
    <row r="129" spans="1:23">
      <c r="A129" s="168" t="s">
        <v>116</v>
      </c>
      <c r="B129" s="455" t="s">
        <v>1549</v>
      </c>
      <c r="C129" s="455" t="s">
        <v>575</v>
      </c>
      <c r="D129" s="168" t="s">
        <v>1560</v>
      </c>
      <c r="E129" s="150">
        <v>0</v>
      </c>
      <c r="F129" s="456">
        <v>0</v>
      </c>
      <c r="G129" s="168">
        <v>0</v>
      </c>
      <c r="H129" s="168">
        <v>0</v>
      </c>
      <c r="N129" s="168" t="s">
        <v>116</v>
      </c>
      <c r="O129" s="455" t="s">
        <v>1549</v>
      </c>
      <c r="P129" s="455" t="s">
        <v>575</v>
      </c>
      <c r="Q129" s="455"/>
      <c r="R129" s="455"/>
      <c r="S129" s="168">
        <v>0</v>
      </c>
      <c r="T129" s="523">
        <v>0</v>
      </c>
      <c r="W129" s="168">
        <f t="shared" si="1"/>
        <v>0</v>
      </c>
    </row>
    <row r="130" spans="1:23">
      <c r="A130" s="168" t="s">
        <v>117</v>
      </c>
      <c r="B130" s="455" t="s">
        <v>1549</v>
      </c>
      <c r="C130" s="455" t="s">
        <v>575</v>
      </c>
      <c r="D130" s="168" t="s">
        <v>1560</v>
      </c>
      <c r="E130" s="150">
        <v>0</v>
      </c>
      <c r="F130" s="456">
        <v>0</v>
      </c>
      <c r="G130" s="168">
        <v>0</v>
      </c>
      <c r="H130" s="168">
        <v>0</v>
      </c>
      <c r="N130" s="168" t="s">
        <v>117</v>
      </c>
      <c r="O130" s="455" t="s">
        <v>1549</v>
      </c>
      <c r="P130" s="455" t="s">
        <v>575</v>
      </c>
      <c r="Q130" s="455"/>
      <c r="R130" s="455"/>
      <c r="S130" s="168">
        <v>0</v>
      </c>
      <c r="T130" s="523">
        <v>0</v>
      </c>
      <c r="W130" s="168">
        <f t="shared" si="1"/>
        <v>0</v>
      </c>
    </row>
    <row r="131" spans="1:23">
      <c r="A131" s="168" t="s">
        <v>118</v>
      </c>
      <c r="B131" s="455" t="s">
        <v>1549</v>
      </c>
      <c r="C131" s="455" t="s">
        <v>1807</v>
      </c>
      <c r="D131" s="168" t="s">
        <v>1560</v>
      </c>
      <c r="E131" s="150">
        <v>0</v>
      </c>
      <c r="F131" s="456">
        <v>0</v>
      </c>
      <c r="G131" s="168">
        <v>0</v>
      </c>
      <c r="H131" s="168">
        <v>0</v>
      </c>
      <c r="N131" s="168" t="s">
        <v>118</v>
      </c>
      <c r="O131" s="455" t="s">
        <v>1549</v>
      </c>
      <c r="P131" s="455" t="s">
        <v>1807</v>
      </c>
      <c r="Q131" s="455"/>
      <c r="R131" s="455"/>
      <c r="S131" s="168">
        <v>0</v>
      </c>
      <c r="T131" s="523">
        <v>0</v>
      </c>
      <c r="W131" s="168">
        <f t="shared" si="1"/>
        <v>0</v>
      </c>
    </row>
    <row r="132" spans="1:23">
      <c r="A132" s="168" t="s">
        <v>119</v>
      </c>
      <c r="B132" s="455" t="s">
        <v>1553</v>
      </c>
      <c r="C132" s="455" t="s">
        <v>612</v>
      </c>
      <c r="D132" s="168" t="s">
        <v>1560</v>
      </c>
      <c r="E132" s="150">
        <v>0</v>
      </c>
      <c r="F132" s="456">
        <v>0</v>
      </c>
      <c r="G132" s="168">
        <v>0</v>
      </c>
      <c r="H132" s="168">
        <v>0</v>
      </c>
      <c r="N132" s="168" t="s">
        <v>119</v>
      </c>
      <c r="O132" s="455" t="s">
        <v>1553</v>
      </c>
      <c r="P132" s="455" t="s">
        <v>612</v>
      </c>
      <c r="Q132" s="455"/>
      <c r="R132" s="455"/>
      <c r="S132" s="168">
        <v>0</v>
      </c>
      <c r="T132" s="523">
        <v>0</v>
      </c>
      <c r="W132" s="168">
        <f t="shared" ref="W132:W195" si="2">S132-T132</f>
        <v>0</v>
      </c>
    </row>
    <row r="133" spans="1:23">
      <c r="A133" s="168" t="s">
        <v>120</v>
      </c>
      <c r="B133" s="455" t="s">
        <v>1553</v>
      </c>
      <c r="C133" s="455" t="s">
        <v>99</v>
      </c>
      <c r="D133" s="168" t="s">
        <v>1560</v>
      </c>
      <c r="E133" s="150">
        <v>0</v>
      </c>
      <c r="F133" s="456">
        <v>0</v>
      </c>
      <c r="G133" s="168">
        <v>0</v>
      </c>
      <c r="H133" s="168">
        <v>0</v>
      </c>
      <c r="N133" s="168" t="s">
        <v>120</v>
      </c>
      <c r="O133" s="455" t="s">
        <v>1553</v>
      </c>
      <c r="P133" s="455" t="s">
        <v>99</v>
      </c>
      <c r="Q133" s="455"/>
      <c r="R133" s="455"/>
      <c r="S133" s="168">
        <v>0</v>
      </c>
      <c r="T133" s="523">
        <v>0</v>
      </c>
      <c r="W133" s="168">
        <f t="shared" si="2"/>
        <v>0</v>
      </c>
    </row>
    <row r="134" spans="1:23">
      <c r="A134" s="168" t="s">
        <v>121</v>
      </c>
      <c r="B134" s="455" t="s">
        <v>1553</v>
      </c>
      <c r="C134" s="455" t="s">
        <v>628</v>
      </c>
      <c r="D134" s="168" t="s">
        <v>1560</v>
      </c>
      <c r="E134" s="150">
        <v>1479</v>
      </c>
      <c r="F134" s="456">
        <v>1500</v>
      </c>
      <c r="G134" s="168">
        <v>0</v>
      </c>
      <c r="H134" s="168">
        <v>0</v>
      </c>
      <c r="N134" s="168" t="s">
        <v>121</v>
      </c>
      <c r="O134" s="455" t="s">
        <v>1553</v>
      </c>
      <c r="P134" s="455" t="s">
        <v>628</v>
      </c>
      <c r="Q134" s="455"/>
      <c r="R134" s="455"/>
      <c r="S134" s="168">
        <v>0</v>
      </c>
      <c r="T134" s="523">
        <v>0</v>
      </c>
      <c r="W134" s="168">
        <f t="shared" si="2"/>
        <v>0</v>
      </c>
    </row>
    <row r="135" spans="1:23">
      <c r="A135" s="168" t="s">
        <v>122</v>
      </c>
      <c r="B135" s="455" t="s">
        <v>1553</v>
      </c>
      <c r="C135" s="455" t="s">
        <v>631</v>
      </c>
      <c r="D135" s="168" t="s">
        <v>1560</v>
      </c>
      <c r="E135" s="150">
        <v>0</v>
      </c>
      <c r="F135" s="456">
        <v>0</v>
      </c>
      <c r="G135" s="168">
        <v>0</v>
      </c>
      <c r="H135" s="168">
        <v>0</v>
      </c>
      <c r="N135" s="168" t="s">
        <v>122</v>
      </c>
      <c r="O135" s="455" t="s">
        <v>1553</v>
      </c>
      <c r="P135" s="455" t="s">
        <v>631</v>
      </c>
      <c r="Q135" s="455"/>
      <c r="R135" s="455"/>
      <c r="S135" s="168">
        <v>0</v>
      </c>
      <c r="T135" s="523">
        <v>0</v>
      </c>
      <c r="W135" s="168">
        <f t="shared" si="2"/>
        <v>0</v>
      </c>
    </row>
    <row r="136" spans="1:23">
      <c r="A136" s="168" t="s">
        <v>123</v>
      </c>
      <c r="B136" s="455" t="s">
        <v>1553</v>
      </c>
      <c r="C136" s="455" t="s">
        <v>633</v>
      </c>
      <c r="D136" s="168" t="s">
        <v>1560</v>
      </c>
      <c r="E136" s="150">
        <v>0</v>
      </c>
      <c r="F136" s="456">
        <v>0</v>
      </c>
      <c r="G136" s="168">
        <v>0</v>
      </c>
      <c r="H136" s="168">
        <v>0</v>
      </c>
      <c r="N136" s="168" t="s">
        <v>123</v>
      </c>
      <c r="O136" s="455" t="s">
        <v>1553</v>
      </c>
      <c r="P136" s="455" t="s">
        <v>633</v>
      </c>
      <c r="Q136" s="455"/>
      <c r="R136" s="455"/>
      <c r="S136" s="168">
        <v>0</v>
      </c>
      <c r="T136" s="523">
        <v>0</v>
      </c>
      <c r="W136" s="168">
        <f t="shared" si="2"/>
        <v>0</v>
      </c>
    </row>
    <row r="137" spans="1:23">
      <c r="A137" s="168" t="s">
        <v>124</v>
      </c>
      <c r="B137" s="455" t="s">
        <v>1553</v>
      </c>
      <c r="C137" s="455" t="s">
        <v>50</v>
      </c>
      <c r="D137" s="168" t="s">
        <v>1560</v>
      </c>
      <c r="E137" s="150">
        <v>2324.46</v>
      </c>
      <c r="F137" s="456">
        <v>2500</v>
      </c>
      <c r="G137" s="168">
        <v>0</v>
      </c>
      <c r="H137" s="168">
        <v>0</v>
      </c>
      <c r="N137" s="168" t="s">
        <v>124</v>
      </c>
      <c r="O137" s="455" t="s">
        <v>1553</v>
      </c>
      <c r="P137" s="455" t="s">
        <v>50</v>
      </c>
      <c r="Q137" s="455"/>
      <c r="R137" s="455"/>
      <c r="S137" s="168">
        <v>0</v>
      </c>
      <c r="T137" s="523">
        <v>0</v>
      </c>
      <c r="W137" s="168">
        <f t="shared" si="2"/>
        <v>0</v>
      </c>
    </row>
    <row r="138" spans="1:23">
      <c r="A138" s="168" t="s">
        <v>125</v>
      </c>
      <c r="B138" s="455" t="s">
        <v>1553</v>
      </c>
      <c r="C138" s="455" t="s">
        <v>52</v>
      </c>
      <c r="D138" s="168" t="s">
        <v>1560</v>
      </c>
      <c r="E138" s="150">
        <v>0</v>
      </c>
      <c r="F138" s="456">
        <v>0</v>
      </c>
      <c r="G138" s="168">
        <v>0</v>
      </c>
      <c r="H138" s="168">
        <v>0</v>
      </c>
      <c r="N138" s="168" t="s">
        <v>125</v>
      </c>
      <c r="O138" s="455" t="s">
        <v>1553</v>
      </c>
      <c r="P138" s="455" t="s">
        <v>52</v>
      </c>
      <c r="Q138" s="455"/>
      <c r="R138" s="455"/>
      <c r="S138" s="168">
        <v>0</v>
      </c>
      <c r="T138" s="523">
        <v>0</v>
      </c>
      <c r="W138" s="168">
        <f t="shared" si="2"/>
        <v>0</v>
      </c>
    </row>
    <row r="139" spans="1:23" ht="15.75" thickBot="1">
      <c r="A139" s="168" t="s">
        <v>126</v>
      </c>
      <c r="B139" s="455" t="s">
        <v>1553</v>
      </c>
      <c r="C139" s="455" t="s">
        <v>52</v>
      </c>
      <c r="D139" s="168" t="s">
        <v>1560</v>
      </c>
      <c r="E139" s="150">
        <v>0</v>
      </c>
      <c r="F139" s="456">
        <v>0</v>
      </c>
      <c r="G139" s="168">
        <v>0</v>
      </c>
      <c r="H139" s="168">
        <v>0</v>
      </c>
      <c r="N139" s="168" t="s">
        <v>126</v>
      </c>
      <c r="O139" s="455" t="s">
        <v>1553</v>
      </c>
      <c r="P139" s="455" t="s">
        <v>52</v>
      </c>
      <c r="Q139" s="455"/>
      <c r="R139" s="455"/>
      <c r="S139" s="168">
        <v>0</v>
      </c>
      <c r="T139" s="523">
        <v>0</v>
      </c>
      <c r="W139" s="168">
        <f t="shared" si="2"/>
        <v>0</v>
      </c>
    </row>
    <row r="140" spans="1:23" ht="16.5" thickTop="1" thickBot="1">
      <c r="A140" s="554" t="s">
        <v>2668</v>
      </c>
      <c r="B140" s="555"/>
      <c r="C140" s="555"/>
      <c r="D140" s="556"/>
      <c r="E140" s="560">
        <f>SUM(E123:E139)</f>
        <v>3803.46</v>
      </c>
      <c r="F140" s="560">
        <f>SUM(F123:F139)</f>
        <v>4000</v>
      </c>
      <c r="G140" s="560">
        <f>SUM(G123:G139)</f>
        <v>0</v>
      </c>
      <c r="H140" s="560">
        <f>SUM(H123:H139)</f>
        <v>0</v>
      </c>
      <c r="N140" s="554" t="s">
        <v>2668</v>
      </c>
      <c r="O140" s="555"/>
      <c r="P140" s="555"/>
      <c r="Q140" s="555"/>
      <c r="R140" s="555"/>
      <c r="S140" s="560">
        <f>SUM(S123:S139)</f>
        <v>0</v>
      </c>
      <c r="T140" s="558">
        <f>SUM(T123:T139)</f>
        <v>0</v>
      </c>
      <c r="W140" s="168">
        <f t="shared" si="2"/>
        <v>0</v>
      </c>
    </row>
    <row r="141" spans="1:23" ht="15.75" thickTop="1">
      <c r="B141" s="455"/>
      <c r="E141" s="150"/>
      <c r="W141" s="168">
        <f t="shared" si="2"/>
        <v>0</v>
      </c>
    </row>
    <row r="142" spans="1:23">
      <c r="A142" s="168" t="s">
        <v>128</v>
      </c>
      <c r="B142" s="455" t="s">
        <v>1549</v>
      </c>
      <c r="C142" s="455" t="s">
        <v>75</v>
      </c>
      <c r="D142" s="168" t="s">
        <v>1561</v>
      </c>
      <c r="E142" s="150">
        <v>0</v>
      </c>
      <c r="F142" s="456">
        <v>49000</v>
      </c>
      <c r="G142" s="168">
        <v>0</v>
      </c>
      <c r="H142" s="168">
        <v>0</v>
      </c>
      <c r="N142" s="168" t="s">
        <v>128</v>
      </c>
      <c r="O142" s="455" t="s">
        <v>1549</v>
      </c>
      <c r="P142" s="455" t="s">
        <v>75</v>
      </c>
      <c r="Q142" s="455">
        <v>378901</v>
      </c>
      <c r="R142" s="455">
        <v>63150</v>
      </c>
      <c r="S142" s="168">
        <v>0</v>
      </c>
      <c r="T142" s="523">
        <v>0</v>
      </c>
      <c r="W142" s="168">
        <f t="shared" si="2"/>
        <v>0</v>
      </c>
    </row>
    <row r="143" spans="1:23">
      <c r="A143" s="168" t="s">
        <v>129</v>
      </c>
      <c r="B143" s="455" t="s">
        <v>1549</v>
      </c>
      <c r="C143" s="455" t="s">
        <v>60</v>
      </c>
      <c r="D143" s="168" t="s">
        <v>1561</v>
      </c>
      <c r="E143" s="150">
        <v>0</v>
      </c>
      <c r="F143" s="456">
        <v>0</v>
      </c>
      <c r="G143" s="168">
        <v>0</v>
      </c>
      <c r="H143" s="168">
        <v>0</v>
      </c>
      <c r="N143" s="168" t="s">
        <v>129</v>
      </c>
      <c r="O143" s="455" t="s">
        <v>1549</v>
      </c>
      <c r="P143" s="455" t="s">
        <v>60</v>
      </c>
      <c r="Q143" s="455"/>
      <c r="R143" s="455"/>
      <c r="S143" s="168">
        <v>0</v>
      </c>
      <c r="T143" s="523">
        <v>0</v>
      </c>
      <c r="W143" s="168">
        <f t="shared" si="2"/>
        <v>0</v>
      </c>
    </row>
    <row r="144" spans="1:23">
      <c r="A144" s="168" t="s">
        <v>130</v>
      </c>
      <c r="B144" s="455" t="s">
        <v>1549</v>
      </c>
      <c r="C144" s="455" t="s">
        <v>84</v>
      </c>
      <c r="D144" s="168" t="s">
        <v>1561</v>
      </c>
      <c r="E144" s="150">
        <v>0</v>
      </c>
      <c r="F144" s="456">
        <v>18000</v>
      </c>
      <c r="G144" s="168">
        <v>0</v>
      </c>
      <c r="H144" s="168">
        <v>0</v>
      </c>
      <c r="N144" s="168" t="s">
        <v>130</v>
      </c>
      <c r="O144" s="455" t="s">
        <v>1549</v>
      </c>
      <c r="P144" s="455" t="s">
        <v>84</v>
      </c>
      <c r="Q144" s="455">
        <v>108000</v>
      </c>
      <c r="R144" s="455">
        <v>18000</v>
      </c>
      <c r="S144" s="168">
        <v>0</v>
      </c>
      <c r="T144" s="523">
        <v>0</v>
      </c>
      <c r="W144" s="168">
        <f t="shared" si="2"/>
        <v>0</v>
      </c>
    </row>
    <row r="145" spans="1:23">
      <c r="B145" s="455"/>
      <c r="E145" s="150"/>
      <c r="N145" s="561" t="s">
        <v>3717</v>
      </c>
      <c r="O145" s="455"/>
      <c r="P145" s="455"/>
      <c r="Q145" s="455">
        <v>1802</v>
      </c>
      <c r="R145" s="455">
        <v>300</v>
      </c>
      <c r="T145" s="523"/>
      <c r="W145" s="168">
        <f t="shared" si="2"/>
        <v>0</v>
      </c>
    </row>
    <row r="146" spans="1:23">
      <c r="A146" s="168" t="s">
        <v>131</v>
      </c>
      <c r="B146" s="455" t="s">
        <v>1553</v>
      </c>
      <c r="C146" s="455" t="s">
        <v>612</v>
      </c>
      <c r="D146" s="168" t="s">
        <v>1561</v>
      </c>
      <c r="E146" s="150">
        <v>0</v>
      </c>
      <c r="F146" s="456">
        <v>7000</v>
      </c>
      <c r="G146" s="168">
        <v>0</v>
      </c>
      <c r="H146" s="168">
        <v>0</v>
      </c>
      <c r="N146" s="168" t="s">
        <v>131</v>
      </c>
      <c r="O146" s="455" t="s">
        <v>1553</v>
      </c>
      <c r="P146" s="455" t="s">
        <v>612</v>
      </c>
      <c r="Q146" s="455">
        <v>27622</v>
      </c>
      <c r="R146" s="455">
        <v>4604</v>
      </c>
      <c r="S146" s="168">
        <v>0</v>
      </c>
      <c r="T146" s="523">
        <v>0</v>
      </c>
      <c r="W146" s="168">
        <f t="shared" si="2"/>
        <v>0</v>
      </c>
    </row>
    <row r="147" spans="1:23">
      <c r="A147" s="168" t="s">
        <v>1653</v>
      </c>
      <c r="B147" s="455" t="s">
        <v>1553</v>
      </c>
      <c r="C147" s="455" t="s">
        <v>99</v>
      </c>
      <c r="D147" s="168" t="s">
        <v>1561</v>
      </c>
      <c r="E147" s="150">
        <v>0</v>
      </c>
      <c r="F147" s="456">
        <v>0</v>
      </c>
      <c r="G147" s="168">
        <v>0</v>
      </c>
      <c r="H147" s="168">
        <v>0</v>
      </c>
      <c r="N147" s="168" t="s">
        <v>1653</v>
      </c>
      <c r="O147" s="455" t="s">
        <v>1553</v>
      </c>
      <c r="P147" s="455" t="s">
        <v>99</v>
      </c>
      <c r="Q147" s="455">
        <v>520436</v>
      </c>
      <c r="R147" s="455">
        <v>86739</v>
      </c>
      <c r="S147" s="168">
        <v>0</v>
      </c>
      <c r="T147" s="523">
        <v>0</v>
      </c>
      <c r="W147" s="168">
        <f t="shared" si="2"/>
        <v>0</v>
      </c>
    </row>
    <row r="148" spans="1:23">
      <c r="A148" s="168" t="s">
        <v>1654</v>
      </c>
      <c r="B148" s="455" t="s">
        <v>1553</v>
      </c>
      <c r="C148" s="455" t="s">
        <v>616</v>
      </c>
      <c r="D148" s="168" t="s">
        <v>1561</v>
      </c>
      <c r="E148" s="150">
        <v>1578.45</v>
      </c>
      <c r="F148" s="456">
        <v>1600</v>
      </c>
      <c r="G148" s="168">
        <v>0</v>
      </c>
      <c r="H148" s="168">
        <v>0</v>
      </c>
      <c r="N148" s="168" t="s">
        <v>1654</v>
      </c>
      <c r="O148" s="455" t="s">
        <v>1553</v>
      </c>
      <c r="P148" s="455" t="s">
        <v>616</v>
      </c>
      <c r="Q148" s="455">
        <v>5030</v>
      </c>
      <c r="R148" s="455">
        <v>838</v>
      </c>
      <c r="S148" s="168">
        <v>0</v>
      </c>
      <c r="T148" s="523">
        <v>0</v>
      </c>
      <c r="W148" s="168">
        <f t="shared" si="2"/>
        <v>0</v>
      </c>
    </row>
    <row r="149" spans="1:23">
      <c r="A149" s="168" t="s">
        <v>1655</v>
      </c>
      <c r="B149" s="455" t="s">
        <v>1553</v>
      </c>
      <c r="C149" s="455" t="s">
        <v>631</v>
      </c>
      <c r="D149" s="168" t="s">
        <v>1561</v>
      </c>
      <c r="E149" s="150">
        <v>0</v>
      </c>
      <c r="F149" s="456">
        <v>0</v>
      </c>
      <c r="G149" s="168">
        <v>0</v>
      </c>
      <c r="H149" s="168">
        <v>0</v>
      </c>
      <c r="N149" s="168" t="s">
        <v>1655</v>
      </c>
      <c r="O149" s="455" t="s">
        <v>1553</v>
      </c>
      <c r="P149" s="455" t="s">
        <v>631</v>
      </c>
      <c r="Q149" s="455">
        <v>8046</v>
      </c>
      <c r="R149" s="455">
        <v>1341</v>
      </c>
      <c r="S149" s="168">
        <v>0</v>
      </c>
      <c r="T149" s="523">
        <v>0</v>
      </c>
      <c r="W149" s="168">
        <f t="shared" si="2"/>
        <v>0</v>
      </c>
    </row>
    <row r="150" spans="1:23">
      <c r="A150" s="168" t="s">
        <v>1656</v>
      </c>
      <c r="B150" s="455" t="s">
        <v>1553</v>
      </c>
      <c r="C150" s="455" t="s">
        <v>633</v>
      </c>
      <c r="D150" s="168" t="s">
        <v>1561</v>
      </c>
      <c r="E150" s="150">
        <v>0</v>
      </c>
      <c r="F150" s="456">
        <v>3400</v>
      </c>
      <c r="G150" s="168">
        <v>0</v>
      </c>
      <c r="H150" s="168">
        <v>0</v>
      </c>
      <c r="N150" s="168" t="s">
        <v>1656</v>
      </c>
      <c r="O150" s="455" t="s">
        <v>1553</v>
      </c>
      <c r="P150" s="455" t="s">
        <v>633</v>
      </c>
      <c r="Q150" s="455">
        <v>30174</v>
      </c>
      <c r="R150" s="455">
        <v>5029</v>
      </c>
      <c r="S150" s="168">
        <v>0</v>
      </c>
      <c r="T150" s="523">
        <v>0</v>
      </c>
      <c r="W150" s="168">
        <f t="shared" si="2"/>
        <v>0</v>
      </c>
    </row>
    <row r="151" spans="1:23">
      <c r="A151" s="168" t="s">
        <v>1657</v>
      </c>
      <c r="B151" s="455" t="s">
        <v>1553</v>
      </c>
      <c r="C151" s="455" t="s">
        <v>50</v>
      </c>
      <c r="D151" s="168" t="s">
        <v>1561</v>
      </c>
      <c r="E151" s="150">
        <v>0</v>
      </c>
      <c r="F151" s="456">
        <v>5000</v>
      </c>
      <c r="G151" s="168">
        <v>0</v>
      </c>
      <c r="H151" s="168">
        <v>0</v>
      </c>
      <c r="N151" s="168" t="s">
        <v>1657</v>
      </c>
      <c r="O151" s="455" t="s">
        <v>1553</v>
      </c>
      <c r="P151" s="455" t="s">
        <v>50</v>
      </c>
      <c r="Q151" s="455">
        <v>55319</v>
      </c>
      <c r="R151" s="455">
        <v>9220</v>
      </c>
      <c r="S151" s="168">
        <v>0</v>
      </c>
      <c r="T151" s="523">
        <v>0</v>
      </c>
      <c r="W151" s="168">
        <f t="shared" si="2"/>
        <v>0</v>
      </c>
    </row>
    <row r="152" spans="1:23">
      <c r="A152" s="168" t="s">
        <v>1658</v>
      </c>
      <c r="B152" s="455" t="s">
        <v>1553</v>
      </c>
      <c r="C152" s="455" t="s">
        <v>52</v>
      </c>
      <c r="D152" s="168" t="s">
        <v>1561</v>
      </c>
      <c r="E152" s="150">
        <v>0</v>
      </c>
      <c r="F152" s="456">
        <v>1500</v>
      </c>
      <c r="G152" s="168">
        <v>0</v>
      </c>
      <c r="H152" s="168">
        <v>0</v>
      </c>
      <c r="N152" s="168" t="s">
        <v>1658</v>
      </c>
      <c r="O152" s="455" t="s">
        <v>1553</v>
      </c>
      <c r="P152" s="455" t="s">
        <v>52</v>
      </c>
      <c r="Q152" s="455">
        <v>10058</v>
      </c>
      <c r="R152" s="455">
        <v>1676</v>
      </c>
      <c r="S152" s="168">
        <v>0</v>
      </c>
      <c r="T152" s="523">
        <v>0</v>
      </c>
      <c r="W152" s="168">
        <f t="shared" si="2"/>
        <v>0</v>
      </c>
    </row>
    <row r="153" spans="1:23" ht="15.75" thickBot="1">
      <c r="A153" s="168" t="s">
        <v>1659</v>
      </c>
      <c r="B153" s="455" t="s">
        <v>1553</v>
      </c>
      <c r="C153" s="455" t="s">
        <v>52</v>
      </c>
      <c r="D153" s="168" t="s">
        <v>1561</v>
      </c>
      <c r="E153" s="150">
        <v>0</v>
      </c>
      <c r="F153" s="456">
        <v>3000</v>
      </c>
      <c r="G153" s="168">
        <v>0</v>
      </c>
      <c r="H153" s="168">
        <v>0</v>
      </c>
      <c r="N153" s="168" t="s">
        <v>1659</v>
      </c>
      <c r="O153" s="455" t="s">
        <v>1553</v>
      </c>
      <c r="P153" s="455" t="s">
        <v>52</v>
      </c>
      <c r="Q153" s="455">
        <v>35154</v>
      </c>
      <c r="R153" s="455">
        <v>5859</v>
      </c>
      <c r="S153" s="168">
        <v>0</v>
      </c>
      <c r="T153" s="523">
        <v>0</v>
      </c>
      <c r="W153" s="168">
        <f t="shared" si="2"/>
        <v>0</v>
      </c>
    </row>
    <row r="154" spans="1:23" ht="16.5" thickTop="1" thickBot="1">
      <c r="A154" s="554" t="s">
        <v>2668</v>
      </c>
      <c r="B154" s="555"/>
      <c r="C154" s="555"/>
      <c r="D154" s="556"/>
      <c r="E154" s="560">
        <f>SUM(E142:E153)</f>
        <v>1578.45</v>
      </c>
      <c r="F154" s="560">
        <f>SUM(F142:F153)</f>
        <v>88500</v>
      </c>
      <c r="G154" s="560">
        <f>SUM(G142:G153)</f>
        <v>0</v>
      </c>
      <c r="H154" s="560">
        <f>SUM(H142:H153)</f>
        <v>0</v>
      </c>
      <c r="N154" s="554" t="s">
        <v>2668</v>
      </c>
      <c r="O154" s="555"/>
      <c r="P154" s="555"/>
      <c r="Q154" s="555">
        <f>SUM(Q142:Q153)</f>
        <v>1180542</v>
      </c>
      <c r="R154" s="555">
        <f>SUM(R142:R153)</f>
        <v>196756</v>
      </c>
      <c r="S154" s="560">
        <f>SUM(S142:S153)</f>
        <v>0</v>
      </c>
      <c r="T154" s="558">
        <f>SUM(T142:T153)</f>
        <v>0</v>
      </c>
      <c r="W154" s="168">
        <f t="shared" si="2"/>
        <v>0</v>
      </c>
    </row>
    <row r="155" spans="1:23" ht="15.75" thickTop="1">
      <c r="B155" s="455"/>
      <c r="E155" s="150"/>
      <c r="W155" s="168">
        <f t="shared" si="2"/>
        <v>0</v>
      </c>
    </row>
    <row r="156" spans="1:23" ht="15.75" thickBot="1">
      <c r="A156" s="168" t="s">
        <v>1661</v>
      </c>
      <c r="B156" s="455" t="s">
        <v>32</v>
      </c>
      <c r="C156" s="455" t="s">
        <v>568</v>
      </c>
      <c r="D156" s="168" t="s">
        <v>1562</v>
      </c>
      <c r="E156" s="150">
        <v>-567000</v>
      </c>
      <c r="F156" s="456">
        <v>0</v>
      </c>
      <c r="G156" s="168">
        <v>-333000</v>
      </c>
      <c r="H156" s="168">
        <v>0</v>
      </c>
      <c r="I156" s="168" t="s">
        <v>45</v>
      </c>
      <c r="N156" s="168" t="s">
        <v>1661</v>
      </c>
      <c r="O156" s="455" t="s">
        <v>32</v>
      </c>
      <c r="P156" s="455" t="s">
        <v>568</v>
      </c>
      <c r="Q156" s="455"/>
      <c r="R156" s="455"/>
      <c r="S156" s="168">
        <v>0</v>
      </c>
      <c r="T156" s="523">
        <v>0</v>
      </c>
      <c r="W156" s="168">
        <f t="shared" si="2"/>
        <v>0</v>
      </c>
    </row>
    <row r="157" spans="1:23" ht="16.5" thickTop="1" thickBot="1">
      <c r="A157" s="554" t="s">
        <v>2668</v>
      </c>
      <c r="B157" s="555"/>
      <c r="C157" s="555"/>
      <c r="D157" s="556"/>
      <c r="E157" s="560">
        <f>SUM(E156)</f>
        <v>-567000</v>
      </c>
      <c r="F157" s="560">
        <f>SUM(F156)</f>
        <v>0</v>
      </c>
      <c r="G157" s="560">
        <f>SUM(G156)</f>
        <v>-333000</v>
      </c>
      <c r="H157" s="560">
        <f>SUM(H156)</f>
        <v>0</v>
      </c>
      <c r="N157" s="554" t="s">
        <v>2668</v>
      </c>
      <c r="O157" s="555"/>
      <c r="P157" s="555"/>
      <c r="Q157" s="555"/>
      <c r="R157" s="555"/>
      <c r="S157" s="560">
        <f>SUM(S156)</f>
        <v>0</v>
      </c>
      <c r="T157" s="558">
        <f>SUM(T156)</f>
        <v>0</v>
      </c>
      <c r="W157" s="168">
        <f t="shared" si="2"/>
        <v>0</v>
      </c>
    </row>
    <row r="158" spans="1:23" ht="15.75" thickTop="1">
      <c r="B158" s="455"/>
      <c r="E158" s="150"/>
      <c r="O158" s="455"/>
      <c r="P158" s="455"/>
      <c r="Q158" s="455"/>
      <c r="R158" s="455"/>
      <c r="T158" s="523"/>
      <c r="W158" s="168">
        <f t="shared" si="2"/>
        <v>0</v>
      </c>
    </row>
    <row r="159" spans="1:23">
      <c r="A159" s="168" t="s">
        <v>1662</v>
      </c>
      <c r="B159" s="455" t="s">
        <v>1553</v>
      </c>
      <c r="C159" s="455" t="s">
        <v>592</v>
      </c>
      <c r="D159" s="168" t="s">
        <v>1562</v>
      </c>
      <c r="E159" s="150">
        <v>0</v>
      </c>
      <c r="F159" s="456">
        <v>0</v>
      </c>
      <c r="G159" s="168">
        <v>0</v>
      </c>
      <c r="H159" s="168">
        <v>0</v>
      </c>
      <c r="N159" s="168" t="s">
        <v>1662</v>
      </c>
      <c r="O159" s="455" t="s">
        <v>1553</v>
      </c>
      <c r="P159" s="455" t="s">
        <v>592</v>
      </c>
      <c r="Q159" s="455"/>
      <c r="R159" s="455"/>
      <c r="S159" s="168">
        <v>0</v>
      </c>
      <c r="T159" s="523">
        <v>0</v>
      </c>
      <c r="W159" s="168">
        <f t="shared" si="2"/>
        <v>0</v>
      </c>
    </row>
    <row r="160" spans="1:23">
      <c r="A160" s="168" t="s">
        <v>1663</v>
      </c>
      <c r="B160" s="455" t="s">
        <v>1553</v>
      </c>
      <c r="C160" s="455" t="s">
        <v>610</v>
      </c>
      <c r="D160" s="168" t="s">
        <v>1562</v>
      </c>
      <c r="E160" s="150">
        <v>20641.55</v>
      </c>
      <c r="F160" s="456">
        <v>21000</v>
      </c>
      <c r="G160" s="168">
        <v>2576.9699999999998</v>
      </c>
      <c r="H160" s="168">
        <v>2577</v>
      </c>
      <c r="N160" s="168" t="s">
        <v>1663</v>
      </c>
      <c r="O160" s="455" t="s">
        <v>1553</v>
      </c>
      <c r="P160" s="455" t="s">
        <v>610</v>
      </c>
      <c r="Q160" s="455">
        <v>12150</v>
      </c>
      <c r="R160" s="455">
        <v>4840</v>
      </c>
      <c r="S160" s="168">
        <v>7519</v>
      </c>
      <c r="T160" s="523">
        <v>7519</v>
      </c>
      <c r="W160" s="168">
        <f t="shared" si="2"/>
        <v>0</v>
      </c>
    </row>
    <row r="161" spans="1:23">
      <c r="A161" s="168" t="s">
        <v>1664</v>
      </c>
      <c r="B161" s="455" t="s">
        <v>1553</v>
      </c>
      <c r="C161" s="455" t="s">
        <v>612</v>
      </c>
      <c r="D161" s="168" t="s">
        <v>1562</v>
      </c>
      <c r="E161" s="150">
        <v>13114.75</v>
      </c>
      <c r="F161" s="456">
        <v>13450</v>
      </c>
      <c r="G161" s="168">
        <v>7196.26</v>
      </c>
      <c r="H161" s="168">
        <v>7196</v>
      </c>
      <c r="N161" s="168" t="s">
        <v>1664</v>
      </c>
      <c r="O161" s="455" t="s">
        <v>1553</v>
      </c>
      <c r="P161" s="455" t="s">
        <v>612</v>
      </c>
      <c r="Q161" s="455">
        <v>7720</v>
      </c>
      <c r="R161" s="455">
        <v>4256</v>
      </c>
      <c r="S161" s="168">
        <v>0</v>
      </c>
      <c r="T161" s="523">
        <v>0</v>
      </c>
      <c r="W161" s="168">
        <f t="shared" si="2"/>
        <v>0</v>
      </c>
    </row>
    <row r="162" spans="1:23">
      <c r="A162" s="168" t="s">
        <v>1665</v>
      </c>
      <c r="B162" s="455" t="s">
        <v>1553</v>
      </c>
      <c r="C162" s="455" t="s">
        <v>99</v>
      </c>
      <c r="D162" s="168" t="s">
        <v>1562</v>
      </c>
      <c r="E162" s="150">
        <v>564550.34</v>
      </c>
      <c r="F162" s="456">
        <v>565000</v>
      </c>
      <c r="G162" s="168">
        <v>705088.72</v>
      </c>
      <c r="H162" s="168">
        <v>705088</v>
      </c>
      <c r="N162" s="168" t="s">
        <v>1665</v>
      </c>
      <c r="O162" s="455" t="s">
        <v>1553</v>
      </c>
      <c r="P162" s="455" t="s">
        <v>99</v>
      </c>
      <c r="Q162" s="455">
        <v>332304</v>
      </c>
      <c r="R162" s="455">
        <v>113789</v>
      </c>
      <c r="S162" s="168">
        <v>280704.07</v>
      </c>
      <c r="T162" s="523">
        <v>280704</v>
      </c>
      <c r="W162" s="168">
        <f t="shared" si="2"/>
        <v>7.0000000006984919E-2</v>
      </c>
    </row>
    <row r="163" spans="1:23">
      <c r="A163" s="168" t="s">
        <v>1666</v>
      </c>
      <c r="B163" s="455" t="s">
        <v>1553</v>
      </c>
      <c r="C163" s="455" t="s">
        <v>1660</v>
      </c>
      <c r="D163" s="168" t="s">
        <v>1562</v>
      </c>
      <c r="E163" s="150">
        <v>321736.34999999998</v>
      </c>
      <c r="F163" s="456">
        <v>322000</v>
      </c>
      <c r="G163" s="168">
        <v>1133570.24</v>
      </c>
      <c r="H163" s="168">
        <v>1133570</v>
      </c>
      <c r="N163" s="168" t="s">
        <v>1666</v>
      </c>
      <c r="O163" s="455" t="s">
        <v>1553</v>
      </c>
      <c r="P163" s="455" t="s">
        <v>1660</v>
      </c>
      <c r="Q163" s="455">
        <v>189380</v>
      </c>
      <c r="R163" s="455">
        <v>93505</v>
      </c>
      <c r="S163" s="168">
        <v>140540.84</v>
      </c>
      <c r="T163" s="523">
        <v>140541</v>
      </c>
      <c r="W163" s="168">
        <f t="shared" si="2"/>
        <v>-0.16000000000349246</v>
      </c>
    </row>
    <row r="164" spans="1:23">
      <c r="A164" s="168" t="s">
        <v>1667</v>
      </c>
      <c r="B164" s="455" t="s">
        <v>20</v>
      </c>
      <c r="C164" s="455" t="s">
        <v>1668</v>
      </c>
      <c r="D164" s="168" t="s">
        <v>1562</v>
      </c>
      <c r="E164" s="150">
        <v>0</v>
      </c>
      <c r="F164" s="456">
        <v>0</v>
      </c>
      <c r="G164" s="168">
        <v>0</v>
      </c>
      <c r="H164" s="168">
        <v>0</v>
      </c>
      <c r="N164" s="168" t="s">
        <v>1667</v>
      </c>
      <c r="O164" s="455" t="s">
        <v>20</v>
      </c>
      <c r="P164" s="455" t="s">
        <v>1668</v>
      </c>
      <c r="Q164" s="455"/>
      <c r="R164" s="455"/>
      <c r="S164" s="168">
        <v>0</v>
      </c>
      <c r="T164" s="523">
        <v>0</v>
      </c>
      <c r="W164" s="168">
        <f t="shared" si="2"/>
        <v>0</v>
      </c>
    </row>
    <row r="165" spans="1:23">
      <c r="A165" s="168" t="s">
        <v>1669</v>
      </c>
      <c r="B165" s="455" t="s">
        <v>1553</v>
      </c>
      <c r="C165" s="455" t="s">
        <v>631</v>
      </c>
      <c r="D165" s="168" t="s">
        <v>1562</v>
      </c>
      <c r="E165" s="150">
        <v>246.51</v>
      </c>
      <c r="F165" s="456">
        <v>286</v>
      </c>
      <c r="G165" s="168">
        <v>0</v>
      </c>
      <c r="H165" s="168">
        <v>0</v>
      </c>
      <c r="N165" s="168" t="s">
        <v>1669</v>
      </c>
      <c r="O165" s="455" t="s">
        <v>1553</v>
      </c>
      <c r="P165" s="455" t="s">
        <v>631</v>
      </c>
      <c r="Q165" s="455">
        <v>288</v>
      </c>
      <c r="R165" s="455">
        <v>288</v>
      </c>
      <c r="S165" s="168">
        <v>0</v>
      </c>
      <c r="T165" s="523">
        <v>0</v>
      </c>
      <c r="W165" s="168">
        <f t="shared" si="2"/>
        <v>0</v>
      </c>
    </row>
    <row r="166" spans="1:23">
      <c r="A166" s="168" t="s">
        <v>1670</v>
      </c>
      <c r="B166" s="455" t="s">
        <v>1553</v>
      </c>
      <c r="C166" s="455" t="s">
        <v>633</v>
      </c>
      <c r="D166" s="168" t="s">
        <v>1562</v>
      </c>
      <c r="E166" s="150">
        <v>23759.62</v>
      </c>
      <c r="F166" s="456">
        <v>24000</v>
      </c>
      <c r="G166" s="168">
        <v>6761.46</v>
      </c>
      <c r="H166" s="168">
        <v>6761</v>
      </c>
      <c r="N166" s="168" t="s">
        <v>1670</v>
      </c>
      <c r="O166" s="455" t="s">
        <v>1553</v>
      </c>
      <c r="P166" s="455" t="s">
        <v>633</v>
      </c>
      <c r="Q166" s="455">
        <v>13985</v>
      </c>
      <c r="R166" s="455">
        <v>7709</v>
      </c>
      <c r="S166" s="168">
        <v>6953.64</v>
      </c>
      <c r="T166" s="523">
        <v>6824</v>
      </c>
      <c r="W166" s="462">
        <f t="shared" si="2"/>
        <v>129.64000000000033</v>
      </c>
    </row>
    <row r="167" spans="1:23">
      <c r="A167" s="168" t="s">
        <v>1671</v>
      </c>
      <c r="B167" s="455" t="s">
        <v>1553</v>
      </c>
      <c r="C167" s="455" t="s">
        <v>50</v>
      </c>
      <c r="D167" s="168" t="s">
        <v>1562</v>
      </c>
      <c r="E167" s="150">
        <v>55362.3</v>
      </c>
      <c r="F167" s="456">
        <v>56000</v>
      </c>
      <c r="G167" s="168">
        <v>11011.88</v>
      </c>
      <c r="H167" s="168">
        <v>11013</v>
      </c>
      <c r="N167" s="168" t="s">
        <v>1671</v>
      </c>
      <c r="O167" s="455" t="s">
        <v>1553</v>
      </c>
      <c r="P167" s="455" t="s">
        <v>50</v>
      </c>
      <c r="Q167" s="455">
        <v>45203</v>
      </c>
      <c r="R167" s="455">
        <v>33902</v>
      </c>
      <c r="S167" s="168">
        <v>39573.919999999998</v>
      </c>
      <c r="T167" s="523">
        <v>39573</v>
      </c>
      <c r="W167" s="168">
        <f t="shared" si="2"/>
        <v>0.91999999999825377</v>
      </c>
    </row>
    <row r="168" spans="1:23">
      <c r="A168" s="168" t="s">
        <v>1672</v>
      </c>
      <c r="B168" s="455" t="s">
        <v>1553</v>
      </c>
      <c r="C168" s="455" t="s">
        <v>52</v>
      </c>
      <c r="D168" s="168" t="s">
        <v>1562</v>
      </c>
      <c r="E168" s="150">
        <v>0</v>
      </c>
      <c r="F168" s="456">
        <v>2000</v>
      </c>
      <c r="G168" s="168">
        <v>0</v>
      </c>
      <c r="H168" s="168">
        <v>0</v>
      </c>
      <c r="N168" s="168" t="s">
        <v>1672</v>
      </c>
      <c r="O168" s="455" t="s">
        <v>1553</v>
      </c>
      <c r="P168" s="455" t="s">
        <v>52</v>
      </c>
      <c r="Q168" s="455">
        <v>18773</v>
      </c>
      <c r="R168" s="455">
        <v>14080</v>
      </c>
      <c r="S168" s="168">
        <v>0</v>
      </c>
      <c r="T168" s="523">
        <v>0</v>
      </c>
      <c r="W168" s="168">
        <f t="shared" si="2"/>
        <v>0</v>
      </c>
    </row>
    <row r="169" spans="1:23">
      <c r="A169" s="168" t="s">
        <v>1673</v>
      </c>
      <c r="B169" s="455" t="s">
        <v>1553</v>
      </c>
      <c r="C169" s="455" t="s">
        <v>52</v>
      </c>
      <c r="D169" s="168" t="s">
        <v>1562</v>
      </c>
      <c r="E169" s="150">
        <v>6945.36</v>
      </c>
      <c r="F169" s="456">
        <v>7000</v>
      </c>
      <c r="G169" s="168">
        <v>1122.1400000000001</v>
      </c>
      <c r="H169" s="168">
        <v>1123</v>
      </c>
      <c r="N169" s="168" t="s">
        <v>1673</v>
      </c>
      <c r="O169" s="455" t="s">
        <v>1553</v>
      </c>
      <c r="P169" s="455" t="s">
        <v>52</v>
      </c>
      <c r="Q169" s="455">
        <v>5671</v>
      </c>
      <c r="R169" s="455">
        <v>4253</v>
      </c>
      <c r="S169" s="168">
        <v>0</v>
      </c>
      <c r="T169" s="523">
        <v>0</v>
      </c>
      <c r="W169" s="168">
        <f t="shared" si="2"/>
        <v>0</v>
      </c>
    </row>
    <row r="170" spans="1:23" ht="15.75" thickBot="1">
      <c r="B170" s="455"/>
      <c r="E170" s="150"/>
      <c r="N170" s="168" t="s">
        <v>3718</v>
      </c>
      <c r="O170" s="455"/>
      <c r="P170" s="455" t="s">
        <v>3719</v>
      </c>
      <c r="Q170" s="455">
        <v>2500000</v>
      </c>
      <c r="R170" s="455">
        <v>500000</v>
      </c>
      <c r="T170" s="523"/>
      <c r="W170" s="168">
        <f t="shared" si="2"/>
        <v>0</v>
      </c>
    </row>
    <row r="171" spans="1:23" ht="16.5" thickTop="1" thickBot="1">
      <c r="A171" s="554" t="s">
        <v>2668</v>
      </c>
      <c r="B171" s="555"/>
      <c r="C171" s="555"/>
      <c r="D171" s="556"/>
      <c r="E171" s="560">
        <f>SUM(E159:E169)</f>
        <v>1006356.78</v>
      </c>
      <c r="F171" s="560">
        <f>SUM(F159:F169)</f>
        <v>1010736</v>
      </c>
      <c r="G171" s="560">
        <f>SUM(G159:G169)</f>
        <v>1867327.6699999997</v>
      </c>
      <c r="H171" s="560">
        <f>SUM(H159:H169)</f>
        <v>1867328</v>
      </c>
      <c r="N171" s="554" t="s">
        <v>2668</v>
      </c>
      <c r="O171" s="555"/>
      <c r="P171" s="555"/>
      <c r="Q171" s="555">
        <f>SUM(Q159:Q170)</f>
        <v>3125474</v>
      </c>
      <c r="R171" s="555">
        <f>SUM(R160:R170)</f>
        <v>776622</v>
      </c>
      <c r="S171" s="560">
        <f>SUM(S159:S169)</f>
        <v>475291.47000000003</v>
      </c>
      <c r="T171" s="558">
        <f>SUM(T159:T169)</f>
        <v>475161</v>
      </c>
      <c r="U171" s="603">
        <f>S171</f>
        <v>475291.47000000003</v>
      </c>
      <c r="V171" s="603">
        <f>SUM(T171)</f>
        <v>475161</v>
      </c>
      <c r="W171" s="168">
        <f t="shared" si="2"/>
        <v>130.47000000003027</v>
      </c>
    </row>
    <row r="172" spans="1:23" ht="15.75" thickTop="1">
      <c r="B172" s="455"/>
      <c r="E172" s="150"/>
      <c r="O172" s="455"/>
      <c r="P172" s="455"/>
      <c r="Q172" s="455"/>
      <c r="R172" s="455"/>
      <c r="T172" s="523"/>
      <c r="W172" s="168">
        <f t="shared" si="2"/>
        <v>0</v>
      </c>
    </row>
    <row r="173" spans="1:23">
      <c r="A173" s="168" t="s">
        <v>133</v>
      </c>
      <c r="B173" s="455" t="s">
        <v>1549</v>
      </c>
      <c r="C173" s="455" t="s">
        <v>75</v>
      </c>
      <c r="D173" s="168" t="s">
        <v>1563</v>
      </c>
      <c r="E173" s="150">
        <v>1256673.55</v>
      </c>
      <c r="F173" s="456">
        <v>1330000</v>
      </c>
      <c r="G173" s="168">
        <v>1034904.45</v>
      </c>
      <c r="H173" s="168">
        <v>1034905</v>
      </c>
      <c r="N173" s="168" t="s">
        <v>133</v>
      </c>
      <c r="O173" s="455" t="s">
        <v>1549</v>
      </c>
      <c r="P173" s="455" t="s">
        <v>75</v>
      </c>
      <c r="Q173" s="455">
        <v>2872864</v>
      </c>
      <c r="R173" s="455">
        <v>2872864</v>
      </c>
      <c r="S173" s="168">
        <v>1135523.81</v>
      </c>
      <c r="T173" s="523">
        <v>1135524</v>
      </c>
      <c r="W173" s="168">
        <f t="shared" si="2"/>
        <v>-0.18999999994412065</v>
      </c>
    </row>
    <row r="174" spans="1:23">
      <c r="A174" s="168" t="s">
        <v>134</v>
      </c>
      <c r="B174" s="455" t="s">
        <v>1549</v>
      </c>
      <c r="C174" s="455" t="s">
        <v>77</v>
      </c>
      <c r="D174" s="168" t="s">
        <v>1563</v>
      </c>
      <c r="E174" s="150">
        <v>22145.040000000001</v>
      </c>
      <c r="F174" s="456">
        <v>23000</v>
      </c>
      <c r="G174" s="168">
        <v>22442.99</v>
      </c>
      <c r="H174" s="168">
        <v>22443</v>
      </c>
      <c r="N174" s="168" t="s">
        <v>134</v>
      </c>
      <c r="O174" s="455" t="s">
        <v>1549</v>
      </c>
      <c r="P174" s="455" t="s">
        <v>77</v>
      </c>
      <c r="Q174" s="455"/>
      <c r="R174" s="455"/>
      <c r="S174" s="168">
        <v>26060.17</v>
      </c>
      <c r="T174" s="523">
        <v>26060</v>
      </c>
      <c r="W174" s="168">
        <f t="shared" si="2"/>
        <v>0.16999999999825377</v>
      </c>
    </row>
    <row r="175" spans="1:23">
      <c r="A175" s="168" t="s">
        <v>135</v>
      </c>
      <c r="B175" s="455" t="s">
        <v>1549</v>
      </c>
      <c r="C175" s="455" t="s">
        <v>60</v>
      </c>
      <c r="D175" s="168" t="s">
        <v>1563</v>
      </c>
      <c r="E175" s="150">
        <v>120566.7</v>
      </c>
      <c r="F175" s="456">
        <v>124854</v>
      </c>
      <c r="G175" s="168">
        <v>108270.45</v>
      </c>
      <c r="H175" s="168">
        <v>108271</v>
      </c>
      <c r="N175" s="168" t="s">
        <v>135</v>
      </c>
      <c r="O175" s="455" t="s">
        <v>1549</v>
      </c>
      <c r="P175" s="455" t="s">
        <v>60</v>
      </c>
      <c r="Q175" s="455">
        <v>241899</v>
      </c>
      <c r="R175" s="455">
        <v>241899</v>
      </c>
      <c r="S175" s="168">
        <v>90749.86</v>
      </c>
      <c r="T175" s="523">
        <v>90750</v>
      </c>
      <c r="W175" s="168">
        <f t="shared" si="2"/>
        <v>-0.13999999999941792</v>
      </c>
    </row>
    <row r="176" spans="1:23">
      <c r="A176" s="168" t="s">
        <v>136</v>
      </c>
      <c r="B176" s="455" t="s">
        <v>1549</v>
      </c>
      <c r="C176" s="455" t="s">
        <v>515</v>
      </c>
      <c r="D176" s="168" t="s">
        <v>1563</v>
      </c>
      <c r="E176" s="150">
        <v>86442.47</v>
      </c>
      <c r="F176" s="456">
        <v>90000</v>
      </c>
      <c r="G176" s="168">
        <v>276380.2</v>
      </c>
      <c r="H176" s="168">
        <v>276381</v>
      </c>
      <c r="N176" s="168" t="s">
        <v>136</v>
      </c>
      <c r="O176" s="455" t="s">
        <v>1549</v>
      </c>
      <c r="P176" s="455" t="s">
        <v>515</v>
      </c>
      <c r="Q176" s="455"/>
      <c r="R176" s="455"/>
      <c r="S176" s="168">
        <v>213083.57</v>
      </c>
      <c r="T176" s="523">
        <v>213083</v>
      </c>
      <c r="W176" s="168">
        <f t="shared" si="2"/>
        <v>0.57000000000698492</v>
      </c>
    </row>
    <row r="177" spans="1:23">
      <c r="A177" s="168" t="s">
        <v>137</v>
      </c>
      <c r="B177" s="455" t="s">
        <v>1549</v>
      </c>
      <c r="C177" s="455" t="s">
        <v>660</v>
      </c>
      <c r="D177" s="168" t="s">
        <v>1563</v>
      </c>
      <c r="E177" s="150">
        <v>0</v>
      </c>
      <c r="F177" s="456">
        <v>0</v>
      </c>
      <c r="G177" s="168">
        <v>0</v>
      </c>
      <c r="H177" s="168">
        <v>0</v>
      </c>
      <c r="N177" s="168" t="s">
        <v>137</v>
      </c>
      <c r="O177" s="455" t="s">
        <v>1549</v>
      </c>
      <c r="P177" s="455" t="s">
        <v>660</v>
      </c>
      <c r="Q177" s="455"/>
      <c r="R177" s="455"/>
      <c r="S177" s="168">
        <v>0</v>
      </c>
      <c r="T177" s="523">
        <v>0</v>
      </c>
      <c r="W177" s="168">
        <f t="shared" si="2"/>
        <v>0</v>
      </c>
    </row>
    <row r="178" spans="1:23">
      <c r="A178" s="168" t="s">
        <v>138</v>
      </c>
      <c r="B178" s="455" t="s">
        <v>1549</v>
      </c>
      <c r="C178" s="455" t="s">
        <v>767</v>
      </c>
      <c r="D178" s="168" t="s">
        <v>1563</v>
      </c>
      <c r="E178" s="150">
        <v>20670.2</v>
      </c>
      <c r="F178" s="456">
        <v>20700</v>
      </c>
      <c r="G178" s="168">
        <v>25063.279999999999</v>
      </c>
      <c r="H178" s="168">
        <v>25064</v>
      </c>
      <c r="N178" s="168" t="s">
        <v>138</v>
      </c>
      <c r="O178" s="455" t="s">
        <v>1549</v>
      </c>
      <c r="P178" s="455" t="s">
        <v>767</v>
      </c>
      <c r="Q178" s="455">
        <v>109158</v>
      </c>
      <c r="R178" s="455">
        <v>109158</v>
      </c>
      <c r="S178" s="168">
        <v>20543.79</v>
      </c>
      <c r="T178" s="523">
        <v>20544</v>
      </c>
      <c r="W178" s="168">
        <f t="shared" si="2"/>
        <v>-0.20999999999912689</v>
      </c>
    </row>
    <row r="179" spans="1:23">
      <c r="A179" s="168" t="s">
        <v>139</v>
      </c>
      <c r="B179" s="455" t="s">
        <v>1549</v>
      </c>
      <c r="C179" s="455" t="s">
        <v>84</v>
      </c>
      <c r="D179" s="168" t="s">
        <v>1563</v>
      </c>
      <c r="E179" s="150">
        <v>224416.53</v>
      </c>
      <c r="F179" s="456">
        <v>226000</v>
      </c>
      <c r="G179" s="168">
        <v>212791.04000000001</v>
      </c>
      <c r="H179" s="168">
        <v>212791</v>
      </c>
      <c r="N179" s="168" t="s">
        <v>139</v>
      </c>
      <c r="O179" s="455" t="s">
        <v>1549</v>
      </c>
      <c r="P179" s="455" t="s">
        <v>84</v>
      </c>
      <c r="Q179" s="455">
        <v>298850</v>
      </c>
      <c r="R179" s="455">
        <v>298850</v>
      </c>
      <c r="S179" s="168">
        <v>190192.73</v>
      </c>
      <c r="T179" s="523">
        <v>190193</v>
      </c>
      <c r="W179" s="168">
        <f t="shared" si="2"/>
        <v>-0.26999999998952262</v>
      </c>
    </row>
    <row r="180" spans="1:23">
      <c r="A180" s="168" t="s">
        <v>140</v>
      </c>
      <c r="B180" s="455" t="s">
        <v>1549</v>
      </c>
      <c r="C180" s="455" t="s">
        <v>141</v>
      </c>
      <c r="D180" s="168" t="s">
        <v>1563</v>
      </c>
      <c r="E180" s="150">
        <v>21511.81</v>
      </c>
      <c r="F180" s="456">
        <v>22000</v>
      </c>
      <c r="G180" s="168">
        <v>51439.49</v>
      </c>
      <c r="H180" s="168">
        <v>51439</v>
      </c>
      <c r="N180" s="168" t="s">
        <v>140</v>
      </c>
      <c r="O180" s="455" t="s">
        <v>1549</v>
      </c>
      <c r="P180" s="455" t="s">
        <v>141</v>
      </c>
      <c r="Q180" s="455">
        <v>27446</v>
      </c>
      <c r="R180" s="455">
        <v>27446</v>
      </c>
      <c r="S180" s="168">
        <v>113812.4</v>
      </c>
      <c r="T180" s="523">
        <v>113812</v>
      </c>
      <c r="W180" s="168">
        <f t="shared" si="2"/>
        <v>0.39999999999417923</v>
      </c>
    </row>
    <row r="181" spans="1:23">
      <c r="A181" s="168" t="s">
        <v>142</v>
      </c>
      <c r="B181" s="455" t="s">
        <v>1549</v>
      </c>
      <c r="C181" s="455" t="s">
        <v>590</v>
      </c>
      <c r="D181" s="168" t="s">
        <v>1563</v>
      </c>
      <c r="E181" s="150">
        <v>65199.12</v>
      </c>
      <c r="F181" s="456">
        <v>65500</v>
      </c>
      <c r="G181" s="168">
        <v>78810.320000000007</v>
      </c>
      <c r="H181" s="168">
        <v>78811</v>
      </c>
      <c r="N181" s="168" t="s">
        <v>142</v>
      </c>
      <c r="O181" s="455" t="s">
        <v>1549</v>
      </c>
      <c r="P181" s="455" t="s">
        <v>590</v>
      </c>
      <c r="Q181" s="455">
        <v>372630</v>
      </c>
      <c r="R181" s="455">
        <v>372630</v>
      </c>
      <c r="S181" s="168">
        <v>83369.72</v>
      </c>
      <c r="T181" s="523">
        <v>83370</v>
      </c>
      <c r="W181" s="168">
        <f t="shared" si="2"/>
        <v>-0.27999999999883585</v>
      </c>
    </row>
    <row r="182" spans="1:23">
      <c r="A182" s="168" t="s">
        <v>143</v>
      </c>
      <c r="B182" s="455" t="s">
        <v>1549</v>
      </c>
      <c r="C182" s="455" t="s">
        <v>590</v>
      </c>
      <c r="D182" s="168" t="s">
        <v>1563</v>
      </c>
      <c r="E182" s="150">
        <v>220194</v>
      </c>
      <c r="F182" s="456">
        <v>221000</v>
      </c>
      <c r="G182" s="168">
        <v>226097.71</v>
      </c>
      <c r="H182" s="168">
        <v>226098</v>
      </c>
      <c r="N182" s="168" t="s">
        <v>143</v>
      </c>
      <c r="O182" s="455" t="s">
        <v>1549</v>
      </c>
      <c r="P182" s="455" t="s">
        <v>590</v>
      </c>
      <c r="Q182" s="455">
        <v>600279</v>
      </c>
      <c r="R182" s="455">
        <v>600279</v>
      </c>
      <c r="S182" s="168">
        <v>241726.01</v>
      </c>
      <c r="T182" s="523">
        <v>241727</v>
      </c>
      <c r="W182" s="168">
        <f t="shared" si="2"/>
        <v>-0.98999999999068677</v>
      </c>
    </row>
    <row r="183" spans="1:23">
      <c r="A183" s="168" t="s">
        <v>144</v>
      </c>
      <c r="B183" s="455" t="s">
        <v>1549</v>
      </c>
      <c r="C183" s="455" t="s">
        <v>590</v>
      </c>
      <c r="D183" s="168" t="s">
        <v>1563</v>
      </c>
      <c r="E183" s="150">
        <v>13048.17</v>
      </c>
      <c r="F183" s="456">
        <v>13100</v>
      </c>
      <c r="G183" s="168">
        <v>11795.03</v>
      </c>
      <c r="H183" s="168">
        <v>11796</v>
      </c>
      <c r="N183" s="168" t="s">
        <v>144</v>
      </c>
      <c r="O183" s="455" t="s">
        <v>1549</v>
      </c>
      <c r="P183" s="455" t="s">
        <v>590</v>
      </c>
      <c r="Q183" s="455">
        <v>29607</v>
      </c>
      <c r="R183" s="455">
        <v>29607</v>
      </c>
      <c r="S183" s="168">
        <v>10929.21</v>
      </c>
      <c r="T183" s="523">
        <v>10930</v>
      </c>
      <c r="W183" s="168">
        <f t="shared" si="2"/>
        <v>-0.79000000000087311</v>
      </c>
    </row>
    <row r="184" spans="1:23">
      <c r="A184" s="168" t="s">
        <v>145</v>
      </c>
      <c r="B184" s="455" t="s">
        <v>1549</v>
      </c>
      <c r="C184" s="455" t="s">
        <v>590</v>
      </c>
      <c r="D184" s="168" t="s">
        <v>1563</v>
      </c>
      <c r="E184" s="150">
        <v>13092.81</v>
      </c>
      <c r="F184" s="456">
        <v>13100</v>
      </c>
      <c r="G184" s="168">
        <v>14140.09</v>
      </c>
      <c r="H184" s="168">
        <v>14141</v>
      </c>
      <c r="N184" s="168" t="s">
        <v>145</v>
      </c>
      <c r="O184" s="455" t="s">
        <v>1549</v>
      </c>
      <c r="P184" s="455" t="s">
        <v>590</v>
      </c>
      <c r="Q184" s="455">
        <v>41991</v>
      </c>
      <c r="R184" s="455">
        <v>41991</v>
      </c>
      <c r="S184" s="168">
        <v>16865.060000000001</v>
      </c>
      <c r="T184" s="523">
        <v>16866</v>
      </c>
      <c r="W184" s="168">
        <f t="shared" si="2"/>
        <v>-0.93999999999869033</v>
      </c>
    </row>
    <row r="185" spans="1:23">
      <c r="A185" s="168" t="s">
        <v>146</v>
      </c>
      <c r="B185" s="455" t="s">
        <v>1549</v>
      </c>
      <c r="C185" s="455" t="s">
        <v>1807</v>
      </c>
      <c r="D185" s="168" t="s">
        <v>1563</v>
      </c>
      <c r="E185" s="150">
        <v>630.4</v>
      </c>
      <c r="F185" s="456">
        <v>700</v>
      </c>
      <c r="G185" s="168">
        <v>656.88</v>
      </c>
      <c r="H185" s="168">
        <v>657</v>
      </c>
      <c r="N185" s="168" t="s">
        <v>146</v>
      </c>
      <c r="O185" s="455" t="s">
        <v>1549</v>
      </c>
      <c r="P185" s="455" t="s">
        <v>1807</v>
      </c>
      <c r="Q185" s="455">
        <v>6250</v>
      </c>
      <c r="R185" s="455">
        <v>6250</v>
      </c>
      <c r="S185" s="168">
        <v>591.33000000000004</v>
      </c>
      <c r="T185" s="523">
        <v>592</v>
      </c>
      <c r="W185" s="168">
        <f t="shared" si="2"/>
        <v>-0.66999999999995907</v>
      </c>
    </row>
    <row r="186" spans="1:23">
      <c r="A186" s="168" t="s">
        <v>147</v>
      </c>
      <c r="B186" s="455" t="s">
        <v>1551</v>
      </c>
      <c r="C186" s="455" t="s">
        <v>592</v>
      </c>
      <c r="D186" s="168" t="s">
        <v>1563</v>
      </c>
      <c r="E186" s="150">
        <v>0</v>
      </c>
      <c r="F186" s="456">
        <v>6748</v>
      </c>
      <c r="G186" s="168">
        <v>0</v>
      </c>
      <c r="H186" s="168">
        <v>0</v>
      </c>
      <c r="N186" s="168" t="s">
        <v>147</v>
      </c>
      <c r="O186" s="455" t="s">
        <v>1551</v>
      </c>
      <c r="P186" s="455" t="s">
        <v>592</v>
      </c>
      <c r="Q186" s="455">
        <v>9983</v>
      </c>
      <c r="R186" s="455">
        <v>9983</v>
      </c>
      <c r="S186" s="168">
        <v>1135.1300000000001</v>
      </c>
      <c r="T186" s="523">
        <v>0</v>
      </c>
      <c r="W186" s="462">
        <f t="shared" si="2"/>
        <v>1135.1300000000001</v>
      </c>
    </row>
    <row r="187" spans="1:23">
      <c r="A187" s="168" t="s">
        <v>148</v>
      </c>
      <c r="B187" s="455" t="s">
        <v>1552</v>
      </c>
      <c r="C187" s="455" t="s">
        <v>595</v>
      </c>
      <c r="D187" s="168" t="s">
        <v>1563</v>
      </c>
      <c r="E187" s="150">
        <v>107.95</v>
      </c>
      <c r="F187" s="456">
        <v>200</v>
      </c>
      <c r="G187" s="168">
        <v>0</v>
      </c>
      <c r="H187" s="168">
        <v>0</v>
      </c>
      <c r="N187" s="168" t="s">
        <v>148</v>
      </c>
      <c r="O187" s="455" t="s">
        <v>1552</v>
      </c>
      <c r="P187" s="455" t="s">
        <v>595</v>
      </c>
      <c r="Q187" s="455">
        <v>118</v>
      </c>
      <c r="R187" s="455">
        <v>118</v>
      </c>
      <c r="S187" s="168">
        <v>0</v>
      </c>
      <c r="T187" s="523">
        <v>0</v>
      </c>
      <c r="W187" s="168">
        <f t="shared" si="2"/>
        <v>0</v>
      </c>
    </row>
    <row r="188" spans="1:23">
      <c r="A188" s="168" t="s">
        <v>149</v>
      </c>
      <c r="B188" s="455" t="s">
        <v>1553</v>
      </c>
      <c r="C188" s="455" t="s">
        <v>610</v>
      </c>
      <c r="D188" s="168" t="s">
        <v>1563</v>
      </c>
      <c r="E188" s="150">
        <v>42728.07</v>
      </c>
      <c r="F188" s="456">
        <v>42900</v>
      </c>
      <c r="G188" s="168">
        <v>23141.360000000001</v>
      </c>
      <c r="H188" s="168">
        <v>23141</v>
      </c>
      <c r="N188" s="168" t="s">
        <v>149</v>
      </c>
      <c r="O188" s="455" t="s">
        <v>1553</v>
      </c>
      <c r="P188" s="455" t="s">
        <v>610</v>
      </c>
      <c r="Q188" s="455">
        <v>25150</v>
      </c>
      <c r="R188" s="455">
        <v>4200</v>
      </c>
      <c r="S188" s="168">
        <v>-1481.68</v>
      </c>
      <c r="T188" s="523">
        <v>0</v>
      </c>
      <c r="W188" s="168">
        <f t="shared" si="2"/>
        <v>-1481.68</v>
      </c>
    </row>
    <row r="189" spans="1:23">
      <c r="A189" s="168" t="s">
        <v>150</v>
      </c>
      <c r="B189" s="455" t="s">
        <v>1553</v>
      </c>
      <c r="C189" s="455" t="s">
        <v>612</v>
      </c>
      <c r="D189" s="168" t="s">
        <v>1563</v>
      </c>
      <c r="E189" s="150">
        <v>19059.740000000002</v>
      </c>
      <c r="F189" s="456">
        <v>19700</v>
      </c>
      <c r="G189" s="168">
        <v>13501.34</v>
      </c>
      <c r="H189" s="168">
        <v>13501</v>
      </c>
      <c r="N189" s="168" t="s">
        <v>150</v>
      </c>
      <c r="O189" s="455" t="s">
        <v>1553</v>
      </c>
      <c r="P189" s="455" t="s">
        <v>612</v>
      </c>
      <c r="Q189" s="455">
        <v>19060</v>
      </c>
      <c r="R189" s="455">
        <v>6970</v>
      </c>
      <c r="S189" s="168">
        <v>3484.63</v>
      </c>
      <c r="T189" s="523">
        <v>3485</v>
      </c>
      <c r="W189" s="168">
        <f t="shared" si="2"/>
        <v>-0.36999999999989086</v>
      </c>
    </row>
    <row r="190" spans="1:23">
      <c r="A190" s="168" t="s">
        <v>151</v>
      </c>
      <c r="B190" s="455" t="s">
        <v>1553</v>
      </c>
      <c r="C190" s="455" t="s">
        <v>99</v>
      </c>
      <c r="D190" s="168" t="s">
        <v>1563</v>
      </c>
      <c r="E190" s="150">
        <v>3318.99</v>
      </c>
      <c r="F190" s="456">
        <v>3700</v>
      </c>
      <c r="G190" s="168">
        <v>470044.19</v>
      </c>
      <c r="H190" s="168">
        <v>470044</v>
      </c>
      <c r="N190" s="168" t="s">
        <v>151</v>
      </c>
      <c r="O190" s="455" t="s">
        <v>1553</v>
      </c>
      <c r="P190" s="455" t="s">
        <v>99</v>
      </c>
      <c r="Q190" s="455">
        <v>2710</v>
      </c>
      <c r="R190" s="455">
        <v>2033</v>
      </c>
      <c r="S190" s="168">
        <v>0</v>
      </c>
      <c r="T190" s="523">
        <v>0</v>
      </c>
      <c r="W190" s="168">
        <f t="shared" si="2"/>
        <v>0</v>
      </c>
    </row>
    <row r="191" spans="1:23">
      <c r="A191" s="168" t="s">
        <v>152</v>
      </c>
      <c r="B191" s="455" t="s">
        <v>1553</v>
      </c>
      <c r="C191" s="455" t="s">
        <v>616</v>
      </c>
      <c r="D191" s="168" t="s">
        <v>1563</v>
      </c>
      <c r="E191" s="150">
        <v>73121.539999999994</v>
      </c>
      <c r="F191" s="456">
        <v>73400</v>
      </c>
      <c r="G191" s="168">
        <v>99.99</v>
      </c>
      <c r="H191" s="168">
        <v>99</v>
      </c>
      <c r="N191" s="168" t="s">
        <v>152</v>
      </c>
      <c r="O191" s="455" t="s">
        <v>1553</v>
      </c>
      <c r="P191" s="455" t="s">
        <v>616</v>
      </c>
      <c r="Q191" s="455">
        <v>43041</v>
      </c>
      <c r="R191" s="455">
        <v>23726</v>
      </c>
      <c r="S191" s="168">
        <v>1607.36</v>
      </c>
      <c r="T191" s="523">
        <v>1608</v>
      </c>
      <c r="W191" s="168">
        <f t="shared" si="2"/>
        <v>-0.64000000000010004</v>
      </c>
    </row>
    <row r="192" spans="1:23">
      <c r="A192" s="168" t="s">
        <v>153</v>
      </c>
      <c r="B192" s="455" t="s">
        <v>1553</v>
      </c>
      <c r="C192" s="455" t="s">
        <v>2322</v>
      </c>
      <c r="D192" s="168" t="s">
        <v>1563</v>
      </c>
      <c r="E192" s="150">
        <v>14384.62</v>
      </c>
      <c r="F192" s="456">
        <v>14500</v>
      </c>
      <c r="G192" s="168">
        <v>680.86</v>
      </c>
      <c r="H192" s="168">
        <v>681</v>
      </c>
      <c r="N192" s="168" t="s">
        <v>153</v>
      </c>
      <c r="O192" s="455" t="s">
        <v>1553</v>
      </c>
      <c r="P192" s="455" t="s">
        <v>2322</v>
      </c>
      <c r="Q192" s="455">
        <v>15823</v>
      </c>
      <c r="R192" s="455">
        <v>15823</v>
      </c>
      <c r="S192" s="168">
        <v>4503.2700000000004</v>
      </c>
      <c r="T192" s="523">
        <v>4504</v>
      </c>
      <c r="W192" s="168">
        <f t="shared" si="2"/>
        <v>-0.72999999999956344</v>
      </c>
    </row>
    <row r="193" spans="1:23">
      <c r="A193" s="168" t="s">
        <v>154</v>
      </c>
      <c r="B193" s="455" t="s">
        <v>1553</v>
      </c>
      <c r="C193" s="455" t="s">
        <v>631</v>
      </c>
      <c r="D193" s="168" t="s">
        <v>1563</v>
      </c>
      <c r="E193" s="150">
        <v>520.13</v>
      </c>
      <c r="F193" s="456">
        <v>650</v>
      </c>
      <c r="G193" s="168">
        <v>314.2</v>
      </c>
      <c r="H193" s="168">
        <v>314</v>
      </c>
      <c r="N193" s="168" t="s">
        <v>154</v>
      </c>
      <c r="O193" s="455" t="s">
        <v>1553</v>
      </c>
      <c r="P193" s="455" t="s">
        <v>631</v>
      </c>
      <c r="Q193" s="455">
        <v>306</v>
      </c>
      <c r="R193" s="455">
        <v>169</v>
      </c>
      <c r="S193" s="168">
        <v>165.87</v>
      </c>
      <c r="T193" s="523">
        <v>166</v>
      </c>
      <c r="W193" s="168">
        <f t="shared" si="2"/>
        <v>-0.12999999999999545</v>
      </c>
    </row>
    <row r="194" spans="1:23">
      <c r="A194" s="168" t="s">
        <v>155</v>
      </c>
      <c r="B194" s="455" t="s">
        <v>1553</v>
      </c>
      <c r="C194" s="455" t="s">
        <v>633</v>
      </c>
      <c r="D194" s="168" t="s">
        <v>1563</v>
      </c>
      <c r="E194" s="150">
        <v>98124.479999999996</v>
      </c>
      <c r="F194" s="456">
        <v>99000</v>
      </c>
      <c r="G194" s="168">
        <v>96572.19</v>
      </c>
      <c r="H194" s="168">
        <v>96572</v>
      </c>
      <c r="N194" s="168" t="s">
        <v>155</v>
      </c>
      <c r="O194" s="455" t="s">
        <v>1553</v>
      </c>
      <c r="P194" s="455" t="s">
        <v>633</v>
      </c>
      <c r="Q194" s="455">
        <v>57758</v>
      </c>
      <c r="R194" s="455">
        <v>31839</v>
      </c>
      <c r="S194" s="168">
        <v>135442.04</v>
      </c>
      <c r="T194" s="523">
        <v>136355</v>
      </c>
      <c r="W194" s="462">
        <f t="shared" si="2"/>
        <v>-912.95999999999185</v>
      </c>
    </row>
    <row r="195" spans="1:23">
      <c r="B195" s="455"/>
      <c r="E195" s="150"/>
      <c r="N195" s="168" t="s">
        <v>3461</v>
      </c>
      <c r="O195" s="455"/>
      <c r="P195" s="455"/>
      <c r="Q195" s="455">
        <v>9800</v>
      </c>
      <c r="R195" s="455">
        <v>900</v>
      </c>
      <c r="S195" s="168">
        <v>2126.31</v>
      </c>
      <c r="T195" s="523">
        <v>2126</v>
      </c>
      <c r="W195" s="168">
        <f t="shared" si="2"/>
        <v>0.30999999999994543</v>
      </c>
    </row>
    <row r="196" spans="1:23">
      <c r="A196" s="168" t="s">
        <v>156</v>
      </c>
      <c r="B196" s="455" t="s">
        <v>1553</v>
      </c>
      <c r="C196" s="455" t="s">
        <v>50</v>
      </c>
      <c r="D196" s="168" t="s">
        <v>1563</v>
      </c>
      <c r="E196" s="150">
        <v>204363.55</v>
      </c>
      <c r="F196" s="456">
        <v>205000</v>
      </c>
      <c r="G196" s="168">
        <v>12121.7</v>
      </c>
      <c r="H196" s="168">
        <v>12122</v>
      </c>
      <c r="N196" s="168" t="s">
        <v>156</v>
      </c>
      <c r="O196" s="455" t="s">
        <v>1553</v>
      </c>
      <c r="P196" s="455" t="s">
        <v>50</v>
      </c>
      <c r="Q196" s="455">
        <v>204364</v>
      </c>
      <c r="R196" s="455">
        <v>79725</v>
      </c>
      <c r="S196" s="168">
        <v>69147.899999999994</v>
      </c>
      <c r="T196" s="523">
        <v>69148</v>
      </c>
      <c r="W196" s="168">
        <f t="shared" ref="W196:W259" si="3">S196-T196</f>
        <v>-0.10000000000582077</v>
      </c>
    </row>
    <row r="197" spans="1:23">
      <c r="A197" s="168" t="s">
        <v>157</v>
      </c>
      <c r="B197" s="455" t="s">
        <v>1553</v>
      </c>
      <c r="C197" s="455" t="s">
        <v>52</v>
      </c>
      <c r="D197" s="168" t="s">
        <v>1563</v>
      </c>
      <c r="E197" s="150">
        <v>9497.41</v>
      </c>
      <c r="F197" s="456">
        <v>9500</v>
      </c>
      <c r="G197" s="168">
        <v>11811.23</v>
      </c>
      <c r="H197" s="168">
        <v>11811</v>
      </c>
      <c r="N197" s="168" t="s">
        <v>157</v>
      </c>
      <c r="O197" s="455" t="s">
        <v>1553</v>
      </c>
      <c r="P197" s="455" t="s">
        <v>52</v>
      </c>
      <c r="Q197" s="455">
        <v>7755</v>
      </c>
      <c r="R197" s="455">
        <v>5816</v>
      </c>
      <c r="S197" s="168">
        <v>9220.0499999999993</v>
      </c>
      <c r="T197" s="523">
        <v>9220</v>
      </c>
      <c r="W197" s="168">
        <f t="shared" si="3"/>
        <v>4.9999999999272404E-2</v>
      </c>
    </row>
    <row r="198" spans="1:23">
      <c r="A198" s="168" t="s">
        <v>158</v>
      </c>
      <c r="B198" s="455" t="s">
        <v>1553</v>
      </c>
      <c r="C198" s="455" t="s">
        <v>52</v>
      </c>
      <c r="D198" s="168" t="s">
        <v>1563</v>
      </c>
      <c r="E198" s="150">
        <v>1988.98</v>
      </c>
      <c r="F198" s="456">
        <v>2700</v>
      </c>
      <c r="G198" s="168">
        <v>62.38</v>
      </c>
      <c r="H198" s="168">
        <v>63</v>
      </c>
      <c r="N198" s="168" t="s">
        <v>158</v>
      </c>
      <c r="O198" s="455" t="s">
        <v>1553</v>
      </c>
      <c r="P198" s="455" t="s">
        <v>52</v>
      </c>
      <c r="Q198" s="455">
        <v>1624</v>
      </c>
      <c r="R198" s="455">
        <v>1624</v>
      </c>
      <c r="S198" s="168">
        <v>894.35</v>
      </c>
      <c r="T198" s="523">
        <v>895</v>
      </c>
      <c r="W198" s="168">
        <f t="shared" si="3"/>
        <v>-0.64999999999997726</v>
      </c>
    </row>
    <row r="199" spans="1:23">
      <c r="A199" s="168" t="s">
        <v>159</v>
      </c>
      <c r="B199" s="455" t="s">
        <v>1553</v>
      </c>
      <c r="C199" s="455" t="s">
        <v>160</v>
      </c>
      <c r="D199" s="168" t="s">
        <v>1563</v>
      </c>
      <c r="E199" s="150">
        <v>298936.33</v>
      </c>
      <c r="F199" s="456">
        <v>300000</v>
      </c>
      <c r="G199" s="168">
        <v>0</v>
      </c>
      <c r="H199" s="168">
        <v>0</v>
      </c>
      <c r="N199" s="168" t="s">
        <v>159</v>
      </c>
      <c r="O199" s="455" t="s">
        <v>1553</v>
      </c>
      <c r="P199" s="455" t="s">
        <v>160</v>
      </c>
      <c r="Q199" s="455"/>
      <c r="R199" s="455"/>
      <c r="S199" s="168">
        <v>0</v>
      </c>
      <c r="T199" s="523">
        <v>0</v>
      </c>
      <c r="W199" s="168">
        <f t="shared" si="3"/>
        <v>0</v>
      </c>
    </row>
    <row r="200" spans="1:23" ht="15.75" thickBot="1">
      <c r="A200" s="168" t="s">
        <v>161</v>
      </c>
      <c r="B200" s="455" t="s">
        <v>1553</v>
      </c>
      <c r="C200" s="455" t="s">
        <v>162</v>
      </c>
      <c r="D200" s="168" t="s">
        <v>1563</v>
      </c>
      <c r="E200" s="150">
        <v>0</v>
      </c>
      <c r="F200" s="456">
        <v>0</v>
      </c>
      <c r="G200" s="168">
        <v>0</v>
      </c>
      <c r="H200" s="168">
        <v>0</v>
      </c>
      <c r="N200" s="168" t="s">
        <v>161</v>
      </c>
      <c r="O200" s="455" t="s">
        <v>1553</v>
      </c>
      <c r="P200" s="455" t="s">
        <v>162</v>
      </c>
      <c r="Q200" s="455"/>
      <c r="R200" s="455"/>
      <c r="S200" s="168">
        <v>0</v>
      </c>
      <c r="T200" s="523">
        <v>0</v>
      </c>
      <c r="W200" s="168">
        <f t="shared" si="3"/>
        <v>0</v>
      </c>
    </row>
    <row r="201" spans="1:23" ht="16.5" thickTop="1" thickBot="1">
      <c r="A201" s="554" t="s">
        <v>2668</v>
      </c>
      <c r="B201" s="555"/>
      <c r="C201" s="555"/>
      <c r="D201" s="556"/>
      <c r="E201" s="560">
        <f>SUM(E173:E200)</f>
        <v>2830742.5900000003</v>
      </c>
      <c r="F201" s="560">
        <f>SUM(F173:F200)</f>
        <v>2927952</v>
      </c>
      <c r="G201" s="560">
        <f>SUM(G173:G200)</f>
        <v>2691141.37</v>
      </c>
      <c r="H201" s="560">
        <f>SUM(H173:H200)</f>
        <v>2691145</v>
      </c>
      <c r="N201" s="554" t="s">
        <v>2668</v>
      </c>
      <c r="O201" s="555"/>
      <c r="P201" s="555"/>
      <c r="Q201" s="555">
        <f>SUM(Q173:Q200)</f>
        <v>4998466</v>
      </c>
      <c r="R201" s="555">
        <f>SUM(R173:R200)</f>
        <v>4783900</v>
      </c>
      <c r="S201" s="560">
        <f>SUM(S173:S200)</f>
        <v>2369692.8899999997</v>
      </c>
      <c r="T201" s="558">
        <f>SUM(T173:T200)</f>
        <v>2370958</v>
      </c>
      <c r="U201" s="603">
        <f>SUM(S201)</f>
        <v>2369692.8899999997</v>
      </c>
      <c r="V201" s="603">
        <f>SUM(T201)</f>
        <v>2370958</v>
      </c>
      <c r="W201" s="168">
        <f t="shared" si="3"/>
        <v>-1265.1100000003353</v>
      </c>
    </row>
    <row r="202" spans="1:23" ht="15.75" thickTop="1">
      <c r="B202" s="455"/>
      <c r="E202" s="150"/>
      <c r="O202" s="455"/>
      <c r="P202" s="455"/>
      <c r="Q202" s="455"/>
      <c r="R202" s="455"/>
      <c r="T202" s="523"/>
      <c r="U202" s="168">
        <v>0</v>
      </c>
      <c r="W202" s="168">
        <f t="shared" si="3"/>
        <v>0</v>
      </c>
    </row>
    <row r="203" spans="1:23">
      <c r="A203" s="168" t="s">
        <v>3462</v>
      </c>
      <c r="B203" s="455"/>
      <c r="E203" s="150"/>
      <c r="N203" s="168" t="s">
        <v>3462</v>
      </c>
      <c r="O203" s="455"/>
      <c r="P203" s="455"/>
      <c r="Q203" s="455">
        <v>31423</v>
      </c>
      <c r="R203" s="455">
        <v>10000</v>
      </c>
      <c r="S203" s="168">
        <v>2934.3</v>
      </c>
      <c r="T203" s="523">
        <v>3109</v>
      </c>
      <c r="W203" s="168">
        <f t="shared" si="3"/>
        <v>-174.69999999999982</v>
      </c>
    </row>
    <row r="204" spans="1:23">
      <c r="A204" s="168" t="s">
        <v>2692</v>
      </c>
      <c r="B204" s="455" t="s">
        <v>1553</v>
      </c>
      <c r="C204" s="455" t="s">
        <v>610</v>
      </c>
      <c r="D204" s="168" t="s">
        <v>1564</v>
      </c>
      <c r="E204" s="150">
        <v>53384.29</v>
      </c>
      <c r="F204" s="456">
        <v>54000</v>
      </c>
      <c r="G204" s="168">
        <v>27457.06</v>
      </c>
      <c r="H204" s="168">
        <v>27457</v>
      </c>
      <c r="N204" s="168" t="s">
        <v>2692</v>
      </c>
      <c r="O204" s="455" t="s">
        <v>1553</v>
      </c>
      <c r="P204" s="455" t="s">
        <v>610</v>
      </c>
      <c r="Q204" s="455"/>
      <c r="R204" s="455"/>
      <c r="S204" s="168">
        <v>0</v>
      </c>
      <c r="T204" s="523">
        <v>0</v>
      </c>
      <c r="W204" s="168">
        <f t="shared" si="3"/>
        <v>0</v>
      </c>
    </row>
    <row r="205" spans="1:23">
      <c r="A205" s="168" t="s">
        <v>163</v>
      </c>
      <c r="B205" s="455" t="s">
        <v>1553</v>
      </c>
      <c r="C205" s="455" t="s">
        <v>612</v>
      </c>
      <c r="D205" s="168" t="s">
        <v>1564</v>
      </c>
      <c r="E205" s="150">
        <v>0</v>
      </c>
      <c r="F205" s="456">
        <v>1500</v>
      </c>
      <c r="G205" s="168">
        <v>15600</v>
      </c>
      <c r="H205" s="168">
        <v>15600</v>
      </c>
      <c r="N205" s="168" t="s">
        <v>163</v>
      </c>
      <c r="O205" s="455" t="s">
        <v>1553</v>
      </c>
      <c r="P205" s="455" t="s">
        <v>612</v>
      </c>
      <c r="Q205" s="455">
        <v>2874</v>
      </c>
      <c r="R205" s="455">
        <v>2874</v>
      </c>
      <c r="S205" s="168">
        <v>228.57</v>
      </c>
      <c r="T205" s="523">
        <v>229</v>
      </c>
      <c r="W205" s="168">
        <f t="shared" si="3"/>
        <v>-0.43000000000000682</v>
      </c>
    </row>
    <row r="206" spans="1:23">
      <c r="A206" s="168" t="s">
        <v>164</v>
      </c>
      <c r="B206" s="455" t="s">
        <v>1553</v>
      </c>
      <c r="C206" s="455" t="s">
        <v>99</v>
      </c>
      <c r="D206" s="168" t="s">
        <v>1564</v>
      </c>
      <c r="E206" s="150">
        <v>0</v>
      </c>
      <c r="F206" s="456">
        <v>0</v>
      </c>
      <c r="G206" s="168">
        <v>405750</v>
      </c>
      <c r="H206" s="168">
        <v>405750</v>
      </c>
      <c r="N206" s="168" t="s">
        <v>164</v>
      </c>
      <c r="O206" s="455" t="s">
        <v>1553</v>
      </c>
      <c r="P206" s="455" t="s">
        <v>99</v>
      </c>
      <c r="Q206" s="455">
        <v>35000</v>
      </c>
      <c r="R206" s="455">
        <v>35000</v>
      </c>
      <c r="S206" s="168">
        <v>180533.55</v>
      </c>
      <c r="T206" s="523">
        <v>180533</v>
      </c>
      <c r="W206" s="168">
        <f t="shared" si="3"/>
        <v>0.54999999998835847</v>
      </c>
    </row>
    <row r="207" spans="1:23">
      <c r="A207" s="168" t="s">
        <v>165</v>
      </c>
      <c r="B207" s="455" t="s">
        <v>1553</v>
      </c>
      <c r="C207" s="455" t="s">
        <v>631</v>
      </c>
      <c r="D207" s="168" t="s">
        <v>1564</v>
      </c>
      <c r="E207" s="150">
        <v>576.78</v>
      </c>
      <c r="F207" s="456">
        <v>800</v>
      </c>
      <c r="G207" s="168">
        <v>511.46</v>
      </c>
      <c r="H207" s="168">
        <v>511</v>
      </c>
      <c r="N207" s="168" t="s">
        <v>165</v>
      </c>
      <c r="O207" s="455" t="s">
        <v>1553</v>
      </c>
      <c r="P207" s="455" t="s">
        <v>631</v>
      </c>
      <c r="Q207" s="455">
        <v>340</v>
      </c>
      <c r="R207" s="455">
        <v>187</v>
      </c>
      <c r="S207" s="168">
        <v>0</v>
      </c>
      <c r="T207" s="523">
        <v>0</v>
      </c>
      <c r="W207" s="168">
        <f t="shared" si="3"/>
        <v>0</v>
      </c>
    </row>
    <row r="208" spans="1:23">
      <c r="A208" s="168" t="s">
        <v>166</v>
      </c>
      <c r="B208" s="455" t="s">
        <v>1553</v>
      </c>
      <c r="C208" s="455" t="s">
        <v>633</v>
      </c>
      <c r="D208" s="168" t="s">
        <v>1564</v>
      </c>
      <c r="E208" s="150">
        <v>13808.23</v>
      </c>
      <c r="F208" s="456">
        <v>14000</v>
      </c>
      <c r="G208" s="168">
        <v>0</v>
      </c>
      <c r="H208" s="168">
        <v>0</v>
      </c>
      <c r="N208" s="168" t="s">
        <v>166</v>
      </c>
      <c r="O208" s="455" t="s">
        <v>1553</v>
      </c>
      <c r="P208" s="455" t="s">
        <v>633</v>
      </c>
      <c r="Q208" s="455">
        <v>14499</v>
      </c>
      <c r="R208" s="455">
        <v>7000</v>
      </c>
      <c r="S208" s="168">
        <v>17029.05</v>
      </c>
      <c r="T208" s="523">
        <v>17029</v>
      </c>
      <c r="W208" s="168">
        <f t="shared" si="3"/>
        <v>4.9999999999272404E-2</v>
      </c>
    </row>
    <row r="209" spans="1:23">
      <c r="A209" s="168" t="s">
        <v>167</v>
      </c>
      <c r="B209" s="455" t="s">
        <v>1553</v>
      </c>
      <c r="C209" s="455" t="s">
        <v>50</v>
      </c>
      <c r="D209" s="168" t="s">
        <v>1564</v>
      </c>
      <c r="E209" s="150">
        <v>50798.7</v>
      </c>
      <c r="F209" s="456">
        <v>50800</v>
      </c>
      <c r="G209" s="168">
        <v>68288.28</v>
      </c>
      <c r="H209" s="168">
        <v>68288</v>
      </c>
      <c r="N209" s="168" t="s">
        <v>167</v>
      </c>
      <c r="O209" s="455" t="s">
        <v>1553</v>
      </c>
      <c r="P209" s="455" t="s">
        <v>50</v>
      </c>
      <c r="Q209" s="455">
        <v>50799</v>
      </c>
      <c r="R209" s="455">
        <v>50799</v>
      </c>
      <c r="S209" s="168">
        <v>65829.59</v>
      </c>
      <c r="T209" s="523">
        <v>65829</v>
      </c>
      <c r="W209" s="168">
        <f t="shared" si="3"/>
        <v>0.58999999999650754</v>
      </c>
    </row>
    <row r="210" spans="1:23">
      <c r="A210" s="168" t="s">
        <v>168</v>
      </c>
      <c r="B210" s="455" t="s">
        <v>1553</v>
      </c>
      <c r="C210" s="455" t="s">
        <v>52</v>
      </c>
      <c r="D210" s="168" t="s">
        <v>1564</v>
      </c>
      <c r="E210" s="150">
        <v>0</v>
      </c>
      <c r="F210" s="456">
        <v>3000</v>
      </c>
      <c r="G210" s="168">
        <v>3703.5</v>
      </c>
      <c r="H210" s="168">
        <v>3703</v>
      </c>
      <c r="N210" s="168" t="s">
        <v>168</v>
      </c>
      <c r="O210" s="455" t="s">
        <v>1553</v>
      </c>
      <c r="P210" s="455" t="s">
        <v>52</v>
      </c>
      <c r="Q210" s="455">
        <v>16706</v>
      </c>
      <c r="R210" s="455">
        <v>9209</v>
      </c>
      <c r="S210" s="168">
        <v>0</v>
      </c>
      <c r="T210" s="523">
        <v>0</v>
      </c>
      <c r="W210" s="168">
        <f t="shared" si="3"/>
        <v>0</v>
      </c>
    </row>
    <row r="211" spans="1:23">
      <c r="A211" s="168" t="s">
        <v>2693</v>
      </c>
      <c r="B211" s="455"/>
      <c r="E211" s="150"/>
      <c r="G211" s="168">
        <v>846.08</v>
      </c>
      <c r="H211" s="168">
        <v>847</v>
      </c>
      <c r="N211" s="168" t="s">
        <v>2693</v>
      </c>
      <c r="O211" s="455"/>
      <c r="P211" s="455"/>
      <c r="Q211" s="455">
        <v>5879</v>
      </c>
      <c r="R211" s="455">
        <v>3241</v>
      </c>
      <c r="S211" s="168">
        <v>0</v>
      </c>
      <c r="T211" s="523">
        <v>0</v>
      </c>
      <c r="W211" s="168">
        <f t="shared" si="3"/>
        <v>0</v>
      </c>
    </row>
    <row r="212" spans="1:23">
      <c r="A212" s="168" t="s">
        <v>169</v>
      </c>
      <c r="B212" s="455" t="s">
        <v>1553</v>
      </c>
      <c r="C212" s="455" t="s">
        <v>160</v>
      </c>
      <c r="D212" s="168" t="s">
        <v>1564</v>
      </c>
      <c r="E212" s="150">
        <v>408724.11</v>
      </c>
      <c r="F212" s="456">
        <v>410000</v>
      </c>
      <c r="G212" s="168">
        <v>0</v>
      </c>
      <c r="H212" s="168">
        <v>0</v>
      </c>
      <c r="N212" s="168" t="s">
        <v>169</v>
      </c>
      <c r="O212" s="455" t="s">
        <v>1553</v>
      </c>
      <c r="P212" s="455" t="s">
        <v>160</v>
      </c>
      <c r="Q212" s="455">
        <v>250000</v>
      </c>
      <c r="R212" s="455">
        <v>250000</v>
      </c>
      <c r="S212" s="168">
        <v>272074.90999999997</v>
      </c>
      <c r="T212" s="523">
        <v>272074</v>
      </c>
      <c r="W212" s="168">
        <f t="shared" si="3"/>
        <v>0.90999999997438863</v>
      </c>
    </row>
    <row r="213" spans="1:23">
      <c r="A213" s="168" t="s">
        <v>2694</v>
      </c>
      <c r="B213" s="455"/>
      <c r="E213" s="150"/>
      <c r="G213" s="168">
        <v>260144.62</v>
      </c>
      <c r="H213" s="168">
        <v>260145</v>
      </c>
      <c r="N213" s="168" t="s">
        <v>2694</v>
      </c>
      <c r="O213" s="455"/>
      <c r="P213" s="455"/>
      <c r="Q213" s="455"/>
      <c r="R213" s="455"/>
      <c r="S213" s="168">
        <v>0</v>
      </c>
      <c r="T213" s="523">
        <v>0</v>
      </c>
      <c r="W213" s="168">
        <f t="shared" si="3"/>
        <v>0</v>
      </c>
    </row>
    <row r="214" spans="1:23" ht="15.75" thickBot="1">
      <c r="A214" s="168" t="s">
        <v>170</v>
      </c>
      <c r="B214" s="455" t="s">
        <v>1553</v>
      </c>
      <c r="C214" s="455" t="s">
        <v>171</v>
      </c>
      <c r="D214" s="168" t="s">
        <v>1564</v>
      </c>
      <c r="E214" s="150">
        <v>0</v>
      </c>
      <c r="F214" s="456">
        <v>0</v>
      </c>
      <c r="G214" s="168">
        <v>0</v>
      </c>
      <c r="H214" s="168">
        <v>0</v>
      </c>
      <c r="N214" s="168" t="s">
        <v>170</v>
      </c>
      <c r="O214" s="455" t="s">
        <v>1553</v>
      </c>
      <c r="P214" s="455" t="s">
        <v>171</v>
      </c>
      <c r="Q214" s="455">
        <v>88293</v>
      </c>
      <c r="R214" s="455">
        <v>30000</v>
      </c>
      <c r="S214" s="168">
        <v>2161.92</v>
      </c>
      <c r="T214" s="523">
        <v>2162</v>
      </c>
      <c r="W214" s="168">
        <f t="shared" si="3"/>
        <v>-7.999999999992724E-2</v>
      </c>
    </row>
    <row r="215" spans="1:23" ht="16.5" thickTop="1" thickBot="1">
      <c r="A215" s="554" t="s">
        <v>2668</v>
      </c>
      <c r="B215" s="555"/>
      <c r="C215" s="555"/>
      <c r="D215" s="556"/>
      <c r="E215" s="560">
        <f>SUM(E204:E214)</f>
        <v>527292.11</v>
      </c>
      <c r="F215" s="560">
        <f>SUM(F204:F214)</f>
        <v>534100</v>
      </c>
      <c r="G215" s="560">
        <f>SUM(G204:G214)</f>
        <v>782301</v>
      </c>
      <c r="H215" s="560">
        <f>SUM(H204:H214)</f>
        <v>782301</v>
      </c>
      <c r="N215" s="554" t="s">
        <v>2668</v>
      </c>
      <c r="O215" s="555"/>
      <c r="P215" s="555"/>
      <c r="Q215" s="555">
        <f>SUM(Q203:Q214)</f>
        <v>495813</v>
      </c>
      <c r="R215" s="555">
        <f>SUM(R203:R214)</f>
        <v>398310</v>
      </c>
      <c r="S215" s="560">
        <f>SUM(S203:S214)</f>
        <v>540791.89</v>
      </c>
      <c r="T215" s="558">
        <f>SUM(T203:T214)</f>
        <v>540965</v>
      </c>
      <c r="U215" s="603">
        <f>SUM(S215)</f>
        <v>540791.89</v>
      </c>
      <c r="V215" s="603">
        <f>SUM(T215)</f>
        <v>540965</v>
      </c>
      <c r="W215" s="168">
        <f t="shared" si="3"/>
        <v>-173.10999999998603</v>
      </c>
    </row>
    <row r="216" spans="1:23" ht="15.75" thickTop="1">
      <c r="B216" s="455"/>
      <c r="E216" s="150"/>
      <c r="O216" s="455"/>
      <c r="P216" s="455"/>
      <c r="Q216" s="455"/>
      <c r="R216" s="455"/>
      <c r="T216" s="523"/>
      <c r="W216" s="168">
        <f t="shared" si="3"/>
        <v>0</v>
      </c>
    </row>
    <row r="217" spans="1:23" ht="15.75" thickBot="1">
      <c r="A217" s="168" t="s">
        <v>172</v>
      </c>
      <c r="B217" s="455" t="s">
        <v>431</v>
      </c>
      <c r="C217" s="455" t="s">
        <v>628</v>
      </c>
      <c r="D217" s="168" t="s">
        <v>1565</v>
      </c>
      <c r="E217" s="150">
        <v>-10960.29</v>
      </c>
      <c r="F217" s="456">
        <v>-6879</v>
      </c>
      <c r="G217" s="168">
        <v>-11747.43</v>
      </c>
      <c r="H217" s="168">
        <v>-319</v>
      </c>
      <c r="I217" s="168">
        <v>319</v>
      </c>
      <c r="N217" s="168" t="s">
        <v>172</v>
      </c>
      <c r="O217" s="455" t="s">
        <v>431</v>
      </c>
      <c r="P217" s="455" t="s">
        <v>628</v>
      </c>
      <c r="Q217" s="455">
        <v>-6324</v>
      </c>
      <c r="R217" s="455">
        <v>-5675</v>
      </c>
      <c r="S217" s="168">
        <v>-7621.47</v>
      </c>
      <c r="T217" s="523">
        <v>-5675</v>
      </c>
      <c r="W217" s="168">
        <f t="shared" si="3"/>
        <v>-1946.4700000000003</v>
      </c>
    </row>
    <row r="218" spans="1:23" ht="16.5" thickTop="1" thickBot="1">
      <c r="A218" s="554" t="s">
        <v>2668</v>
      </c>
      <c r="B218" s="555"/>
      <c r="C218" s="555"/>
      <c r="D218" s="556"/>
      <c r="E218" s="560">
        <f>SUM(E217:E217)</f>
        <v>-10960.29</v>
      </c>
      <c r="F218" s="560">
        <f>SUM(F217:F217)</f>
        <v>-6879</v>
      </c>
      <c r="G218" s="560">
        <f>SUM(G217:G217)</f>
        <v>-11747.43</v>
      </c>
      <c r="H218" s="560">
        <f>SUM(H217:H217)</f>
        <v>-319</v>
      </c>
      <c r="N218" s="554" t="s">
        <v>2668</v>
      </c>
      <c r="O218" s="555"/>
      <c r="P218" s="555"/>
      <c r="Q218" s="555">
        <f>SUM(Q217)</f>
        <v>-6324</v>
      </c>
      <c r="R218" s="555">
        <f>SUM(R217)</f>
        <v>-5675</v>
      </c>
      <c r="S218" s="560">
        <f>SUM(S217:S217)</f>
        <v>-7621.47</v>
      </c>
      <c r="T218" s="558">
        <f>SUM(T217:T217)</f>
        <v>-5675</v>
      </c>
      <c r="U218" s="168">
        <f>SUM(S218)</f>
        <v>-7621.47</v>
      </c>
      <c r="V218" s="168">
        <f>SUM(T218)</f>
        <v>-5675</v>
      </c>
      <c r="W218" s="168">
        <f t="shared" si="3"/>
        <v>-1946.4700000000003</v>
      </c>
    </row>
    <row r="219" spans="1:23" ht="15.75" thickTop="1">
      <c r="B219" s="455"/>
      <c r="E219" s="150"/>
      <c r="O219" s="455"/>
      <c r="P219" s="455"/>
      <c r="Q219" s="455"/>
      <c r="R219" s="455"/>
      <c r="T219" s="523"/>
      <c r="W219" s="168">
        <f t="shared" si="3"/>
        <v>0</v>
      </c>
    </row>
    <row r="220" spans="1:23">
      <c r="A220" s="168" t="s">
        <v>173</v>
      </c>
      <c r="B220" s="455" t="s">
        <v>1549</v>
      </c>
      <c r="C220" s="455" t="s">
        <v>75</v>
      </c>
      <c r="D220" s="168" t="s">
        <v>1565</v>
      </c>
      <c r="E220" s="150">
        <v>197965.68</v>
      </c>
      <c r="F220" s="456">
        <v>200697</v>
      </c>
      <c r="G220" s="168">
        <v>214452.12</v>
      </c>
      <c r="H220" s="168">
        <v>214452</v>
      </c>
      <c r="N220" s="168" t="s">
        <v>173</v>
      </c>
      <c r="O220" s="455" t="s">
        <v>1549</v>
      </c>
      <c r="P220" s="455" t="s">
        <v>75</v>
      </c>
      <c r="Q220" s="455">
        <v>233753</v>
      </c>
      <c r="R220" s="455">
        <v>233753</v>
      </c>
      <c r="S220" s="168">
        <v>108390.91</v>
      </c>
      <c r="T220" s="523">
        <v>108391</v>
      </c>
      <c r="W220" s="168">
        <f t="shared" si="3"/>
        <v>-8.999999999650754E-2</v>
      </c>
    </row>
    <row r="221" spans="1:23">
      <c r="A221" s="168" t="s">
        <v>174</v>
      </c>
      <c r="B221" s="455" t="s">
        <v>1549</v>
      </c>
      <c r="C221" s="455" t="s">
        <v>60</v>
      </c>
      <c r="D221" s="168" t="s">
        <v>1565</v>
      </c>
      <c r="E221" s="150">
        <v>16501.39</v>
      </c>
      <c r="F221" s="456">
        <v>16564</v>
      </c>
      <c r="G221" s="168">
        <v>17871.009999999998</v>
      </c>
      <c r="H221" s="168">
        <v>17871</v>
      </c>
      <c r="N221" s="168" t="s">
        <v>174</v>
      </c>
      <c r="O221" s="455" t="s">
        <v>1549</v>
      </c>
      <c r="P221" s="455" t="s">
        <v>60</v>
      </c>
      <c r="Q221" s="455">
        <v>19479</v>
      </c>
      <c r="R221" s="455">
        <v>19479</v>
      </c>
      <c r="S221" s="168">
        <v>14947.06</v>
      </c>
      <c r="T221" s="523">
        <v>14948</v>
      </c>
      <c r="W221" s="168">
        <f t="shared" si="3"/>
        <v>-0.94000000000050932</v>
      </c>
    </row>
    <row r="222" spans="1:23">
      <c r="B222" s="455"/>
      <c r="E222" s="150"/>
      <c r="N222" s="168" t="s">
        <v>3463</v>
      </c>
      <c r="O222" s="455"/>
      <c r="P222" s="455" t="s">
        <v>3464</v>
      </c>
      <c r="Q222" s="455"/>
      <c r="R222" s="455"/>
      <c r="S222" s="168">
        <v>11687.93</v>
      </c>
      <c r="T222" s="523">
        <v>11687</v>
      </c>
      <c r="W222" s="168">
        <f t="shared" si="3"/>
        <v>0.93000000000029104</v>
      </c>
    </row>
    <row r="223" spans="1:23">
      <c r="A223" s="168" t="s">
        <v>175</v>
      </c>
      <c r="B223" s="455" t="s">
        <v>1549</v>
      </c>
      <c r="C223" s="455" t="s">
        <v>660</v>
      </c>
      <c r="D223" s="168" t="s">
        <v>1565</v>
      </c>
      <c r="E223" s="150">
        <v>0</v>
      </c>
      <c r="F223" s="456">
        <v>0</v>
      </c>
      <c r="G223" s="168">
        <v>0</v>
      </c>
      <c r="H223" s="168">
        <v>0</v>
      </c>
      <c r="N223" s="168" t="s">
        <v>175</v>
      </c>
      <c r="O223" s="455" t="s">
        <v>1549</v>
      </c>
      <c r="P223" s="455" t="s">
        <v>660</v>
      </c>
      <c r="Q223" s="455"/>
      <c r="R223" s="455"/>
      <c r="S223" s="168">
        <v>0</v>
      </c>
      <c r="T223" s="523">
        <v>0</v>
      </c>
      <c r="W223" s="168">
        <f t="shared" si="3"/>
        <v>0</v>
      </c>
    </row>
    <row r="224" spans="1:23">
      <c r="A224" s="168" t="s">
        <v>176</v>
      </c>
      <c r="B224" s="455" t="s">
        <v>1549</v>
      </c>
      <c r="C224" s="455" t="s">
        <v>767</v>
      </c>
      <c r="D224" s="168" t="s">
        <v>1565</v>
      </c>
      <c r="E224" s="150">
        <v>0</v>
      </c>
      <c r="F224" s="456">
        <v>0</v>
      </c>
      <c r="G224" s="168">
        <v>0</v>
      </c>
      <c r="H224" s="168">
        <v>0</v>
      </c>
      <c r="N224" s="168" t="s">
        <v>176</v>
      </c>
      <c r="O224" s="455" t="s">
        <v>1549</v>
      </c>
      <c r="P224" s="455" t="s">
        <v>767</v>
      </c>
      <c r="Q224" s="455">
        <v>8244</v>
      </c>
      <c r="R224" s="455">
        <v>8244</v>
      </c>
      <c r="S224" s="168">
        <v>0</v>
      </c>
      <c r="T224" s="523">
        <v>0</v>
      </c>
      <c r="W224" s="168">
        <f t="shared" si="3"/>
        <v>0</v>
      </c>
    </row>
    <row r="225" spans="1:23">
      <c r="A225" s="168" t="s">
        <v>177</v>
      </c>
      <c r="B225" s="455" t="s">
        <v>1549</v>
      </c>
      <c r="C225" s="455" t="s">
        <v>575</v>
      </c>
      <c r="D225" s="168" t="s">
        <v>1565</v>
      </c>
      <c r="E225" s="150">
        <v>10641.6</v>
      </c>
      <c r="F225" s="456">
        <v>11000</v>
      </c>
      <c r="G225" s="168">
        <v>11959.2</v>
      </c>
      <c r="H225" s="168">
        <v>11959</v>
      </c>
      <c r="N225" s="168" t="s">
        <v>177</v>
      </c>
      <c r="O225" s="455" t="s">
        <v>1549</v>
      </c>
      <c r="P225" s="455" t="s">
        <v>575</v>
      </c>
      <c r="Q225" s="455">
        <v>24842</v>
      </c>
      <c r="R225" s="455">
        <v>24842</v>
      </c>
      <c r="S225" s="168">
        <v>13615.2</v>
      </c>
      <c r="T225" s="523">
        <v>13616</v>
      </c>
      <c r="W225" s="168">
        <f t="shared" si="3"/>
        <v>-0.7999999999992724</v>
      </c>
    </row>
    <row r="226" spans="1:23">
      <c r="A226" s="168" t="s">
        <v>178</v>
      </c>
      <c r="B226" s="455" t="s">
        <v>1549</v>
      </c>
      <c r="C226" s="455" t="s">
        <v>590</v>
      </c>
      <c r="D226" s="168" t="s">
        <v>1565</v>
      </c>
      <c r="E226" s="150">
        <v>42557.279999999999</v>
      </c>
      <c r="F226" s="456">
        <v>42700</v>
      </c>
      <c r="G226" s="168">
        <v>46089.599999999999</v>
      </c>
      <c r="H226" s="168">
        <v>46090</v>
      </c>
      <c r="N226" s="168" t="s">
        <v>178</v>
      </c>
      <c r="O226" s="455" t="s">
        <v>1549</v>
      </c>
      <c r="P226" s="455" t="s">
        <v>590</v>
      </c>
      <c r="Q226" s="455">
        <v>51426</v>
      </c>
      <c r="R226" s="455">
        <v>51426</v>
      </c>
      <c r="S226" s="168">
        <v>22807.74</v>
      </c>
      <c r="T226" s="523">
        <v>22808</v>
      </c>
      <c r="W226" s="168">
        <f t="shared" si="3"/>
        <v>-0.25999999999839929</v>
      </c>
    </row>
    <row r="227" spans="1:23">
      <c r="A227" s="168" t="s">
        <v>179</v>
      </c>
      <c r="B227" s="455" t="s">
        <v>1549</v>
      </c>
      <c r="C227" s="455" t="s">
        <v>590</v>
      </c>
      <c r="D227" s="168" t="s">
        <v>1565</v>
      </c>
      <c r="E227" s="150">
        <v>2139.98</v>
      </c>
      <c r="F227" s="456">
        <v>2200</v>
      </c>
      <c r="G227" s="168">
        <v>2274.2600000000002</v>
      </c>
      <c r="H227" s="168">
        <v>2274</v>
      </c>
      <c r="N227" s="168" t="s">
        <v>179</v>
      </c>
      <c r="O227" s="455" t="s">
        <v>1549</v>
      </c>
      <c r="P227" s="455" t="s">
        <v>590</v>
      </c>
      <c r="Q227" s="455">
        <v>2338</v>
      </c>
      <c r="R227" s="455">
        <v>2338</v>
      </c>
      <c r="S227" s="168">
        <v>1395.15</v>
      </c>
      <c r="T227" s="523">
        <v>1396</v>
      </c>
      <c r="W227" s="168">
        <f t="shared" si="3"/>
        <v>-0.84999999999990905</v>
      </c>
    </row>
    <row r="228" spans="1:23">
      <c r="A228" s="168" t="s">
        <v>180</v>
      </c>
      <c r="B228" s="455" t="s">
        <v>1549</v>
      </c>
      <c r="C228" s="455" t="s">
        <v>590</v>
      </c>
      <c r="D228" s="168" t="s">
        <v>1565</v>
      </c>
      <c r="E228" s="150">
        <v>1755.96</v>
      </c>
      <c r="F228" s="456">
        <v>2000</v>
      </c>
      <c r="G228" s="168">
        <v>1901.76</v>
      </c>
      <c r="H228" s="168">
        <v>1902</v>
      </c>
      <c r="N228" s="168" t="s">
        <v>180</v>
      </c>
      <c r="O228" s="455" t="s">
        <v>1549</v>
      </c>
      <c r="P228" s="455" t="s">
        <v>590</v>
      </c>
      <c r="Q228" s="455">
        <v>3577</v>
      </c>
      <c r="R228" s="455">
        <v>3577</v>
      </c>
      <c r="S228" s="168">
        <v>158.47999999999999</v>
      </c>
      <c r="T228" s="523">
        <v>159</v>
      </c>
      <c r="W228" s="168">
        <f t="shared" si="3"/>
        <v>-0.52000000000001023</v>
      </c>
    </row>
    <row r="229" spans="1:23">
      <c r="A229" s="168" t="s">
        <v>181</v>
      </c>
      <c r="B229" s="455" t="s">
        <v>1549</v>
      </c>
      <c r="C229" s="455" t="s">
        <v>1807</v>
      </c>
      <c r="D229" s="168" t="s">
        <v>1565</v>
      </c>
      <c r="E229" s="150">
        <v>76.8</v>
      </c>
      <c r="F229" s="456">
        <v>80</v>
      </c>
      <c r="G229" s="168">
        <v>82.8</v>
      </c>
      <c r="H229" s="168">
        <v>83</v>
      </c>
      <c r="N229" s="168" t="s">
        <v>181</v>
      </c>
      <c r="O229" s="455" t="s">
        <v>1549</v>
      </c>
      <c r="P229" s="455" t="s">
        <v>1807</v>
      </c>
      <c r="Q229" s="455">
        <v>83</v>
      </c>
      <c r="R229" s="455">
        <v>83</v>
      </c>
      <c r="S229" s="168">
        <v>48.75</v>
      </c>
      <c r="T229" s="523">
        <v>49</v>
      </c>
      <c r="W229" s="168">
        <f t="shared" si="3"/>
        <v>-0.25</v>
      </c>
    </row>
    <row r="230" spans="1:23">
      <c r="A230" s="168" t="s">
        <v>182</v>
      </c>
      <c r="B230" s="455" t="s">
        <v>1551</v>
      </c>
      <c r="C230" s="455" t="s">
        <v>592</v>
      </c>
      <c r="D230" s="168" t="s">
        <v>1565</v>
      </c>
      <c r="E230" s="150">
        <v>0</v>
      </c>
      <c r="F230" s="456">
        <v>61053</v>
      </c>
      <c r="G230" s="168">
        <v>0</v>
      </c>
      <c r="H230" s="168">
        <v>0</v>
      </c>
      <c r="N230" s="168" t="s">
        <v>182</v>
      </c>
      <c r="O230" s="455" t="s">
        <v>1551</v>
      </c>
      <c r="P230" s="455" t="s">
        <v>592</v>
      </c>
      <c r="Q230" s="455">
        <v>6649</v>
      </c>
      <c r="R230" s="455">
        <v>6649</v>
      </c>
      <c r="S230" s="168">
        <v>5.33</v>
      </c>
      <c r="T230" s="523">
        <v>6649</v>
      </c>
      <c r="W230" s="462">
        <f t="shared" si="3"/>
        <v>-6643.67</v>
      </c>
    </row>
    <row r="231" spans="1:23">
      <c r="A231" s="168" t="s">
        <v>183</v>
      </c>
      <c r="B231" s="455" t="s">
        <v>1552</v>
      </c>
      <c r="C231" s="455" t="s">
        <v>595</v>
      </c>
      <c r="D231" s="168" t="s">
        <v>1565</v>
      </c>
      <c r="E231" s="150">
        <v>0</v>
      </c>
      <c r="F231" s="456">
        <v>0</v>
      </c>
      <c r="G231" s="168">
        <v>0</v>
      </c>
      <c r="H231" s="168">
        <v>0</v>
      </c>
      <c r="N231" s="168" t="s">
        <v>183</v>
      </c>
      <c r="O231" s="455" t="s">
        <v>1552</v>
      </c>
      <c r="P231" s="455" t="s">
        <v>595</v>
      </c>
      <c r="Q231" s="455">
        <v>2311</v>
      </c>
      <c r="R231" s="455"/>
      <c r="S231" s="168">
        <v>249.99</v>
      </c>
      <c r="T231" s="523">
        <v>250</v>
      </c>
      <c r="W231" s="168">
        <f t="shared" si="3"/>
        <v>-9.9999999999909051E-3</v>
      </c>
    </row>
    <row r="232" spans="1:23">
      <c r="B232" s="455"/>
      <c r="E232" s="150"/>
      <c r="N232" s="168" t="s">
        <v>3728</v>
      </c>
      <c r="O232" s="455"/>
      <c r="P232" s="455"/>
      <c r="Q232" s="455">
        <v>2625</v>
      </c>
      <c r="R232" s="455">
        <v>1500</v>
      </c>
      <c r="T232" s="523"/>
      <c r="W232" s="168">
        <f t="shared" si="3"/>
        <v>0</v>
      </c>
    </row>
    <row r="233" spans="1:23">
      <c r="A233" s="168" t="s">
        <v>184</v>
      </c>
      <c r="B233" s="455" t="s">
        <v>1553</v>
      </c>
      <c r="C233" s="455" t="s">
        <v>612</v>
      </c>
      <c r="D233" s="168" t="s">
        <v>1565</v>
      </c>
      <c r="E233" s="150">
        <v>0</v>
      </c>
      <c r="F233" s="456">
        <v>0</v>
      </c>
      <c r="G233" s="168">
        <v>0</v>
      </c>
      <c r="H233" s="168">
        <v>0</v>
      </c>
      <c r="N233" s="168" t="s">
        <v>184</v>
      </c>
      <c r="O233" s="455" t="s">
        <v>1553</v>
      </c>
      <c r="P233" s="455" t="s">
        <v>612</v>
      </c>
      <c r="Q233" s="455">
        <v>2680</v>
      </c>
      <c r="R233" s="455"/>
      <c r="S233" s="168">
        <v>0</v>
      </c>
      <c r="T233" s="523">
        <v>0</v>
      </c>
      <c r="W233" s="168">
        <f t="shared" si="3"/>
        <v>0</v>
      </c>
    </row>
    <row r="234" spans="1:23">
      <c r="A234" s="168" t="s">
        <v>185</v>
      </c>
      <c r="B234" s="455" t="s">
        <v>1553</v>
      </c>
      <c r="C234" s="455" t="s">
        <v>616</v>
      </c>
      <c r="D234" s="168" t="s">
        <v>1565</v>
      </c>
      <c r="E234" s="150">
        <v>59.95</v>
      </c>
      <c r="F234" s="456">
        <v>100</v>
      </c>
      <c r="G234" s="168">
        <v>0</v>
      </c>
      <c r="H234" s="168">
        <v>0</v>
      </c>
      <c r="N234" s="168" t="s">
        <v>185</v>
      </c>
      <c r="O234" s="455" t="s">
        <v>1553</v>
      </c>
      <c r="P234" s="455" t="s">
        <v>616</v>
      </c>
      <c r="Q234" s="455">
        <v>1500</v>
      </c>
      <c r="R234" s="455">
        <v>1500</v>
      </c>
      <c r="S234" s="168">
        <v>1709.51</v>
      </c>
      <c r="T234" s="523">
        <v>1709</v>
      </c>
      <c r="W234" s="168">
        <f t="shared" si="3"/>
        <v>0.50999999999999091</v>
      </c>
    </row>
    <row r="235" spans="1:23">
      <c r="A235" s="168" t="s">
        <v>186</v>
      </c>
      <c r="B235" s="455" t="s">
        <v>1553</v>
      </c>
      <c r="C235" s="455" t="s">
        <v>2322</v>
      </c>
      <c r="D235" s="168" t="s">
        <v>1565</v>
      </c>
      <c r="E235" s="150">
        <v>5135.29</v>
      </c>
      <c r="F235" s="456">
        <v>5200</v>
      </c>
      <c r="G235" s="168">
        <v>0</v>
      </c>
      <c r="H235" s="168">
        <v>0</v>
      </c>
      <c r="N235" s="168" t="s">
        <v>186</v>
      </c>
      <c r="O235" s="455" t="s">
        <v>1553</v>
      </c>
      <c r="P235" s="455" t="s">
        <v>2322</v>
      </c>
      <c r="Q235" s="455">
        <v>7200</v>
      </c>
      <c r="R235" s="455">
        <v>7200</v>
      </c>
      <c r="S235" s="168">
        <v>0</v>
      </c>
      <c r="T235" s="523">
        <v>0</v>
      </c>
      <c r="W235" s="168">
        <f t="shared" si="3"/>
        <v>0</v>
      </c>
    </row>
    <row r="236" spans="1:23">
      <c r="A236" s="168" t="s">
        <v>187</v>
      </c>
      <c r="B236" s="455" t="s">
        <v>1553</v>
      </c>
      <c r="C236" s="455" t="s">
        <v>2323</v>
      </c>
      <c r="D236" s="168" t="s">
        <v>1565</v>
      </c>
      <c r="E236" s="150">
        <v>0</v>
      </c>
      <c r="F236" s="456">
        <v>0</v>
      </c>
      <c r="G236" s="168">
        <v>0</v>
      </c>
      <c r="H236" s="168">
        <v>0</v>
      </c>
      <c r="N236" s="168" t="s">
        <v>187</v>
      </c>
      <c r="O236" s="455" t="s">
        <v>1553</v>
      </c>
      <c r="P236" s="455" t="s">
        <v>2323</v>
      </c>
      <c r="Q236" s="455">
        <v>4500</v>
      </c>
      <c r="R236" s="455"/>
      <c r="S236" s="168">
        <v>0</v>
      </c>
      <c r="T236" s="523">
        <v>0</v>
      </c>
      <c r="W236" s="168">
        <f t="shared" si="3"/>
        <v>0</v>
      </c>
    </row>
    <row r="237" spans="1:23">
      <c r="A237" s="168" t="s">
        <v>189</v>
      </c>
      <c r="B237" s="455" t="s">
        <v>1553</v>
      </c>
      <c r="C237" s="455" t="s">
        <v>190</v>
      </c>
      <c r="D237" s="168" t="s">
        <v>1565</v>
      </c>
      <c r="E237" s="150">
        <v>1140.06</v>
      </c>
      <c r="F237" s="456">
        <v>1200</v>
      </c>
      <c r="G237" s="168">
        <v>0</v>
      </c>
      <c r="H237" s="168">
        <v>0</v>
      </c>
      <c r="N237" s="168" t="s">
        <v>189</v>
      </c>
      <c r="O237" s="455" t="s">
        <v>1553</v>
      </c>
      <c r="P237" s="455" t="s">
        <v>190</v>
      </c>
      <c r="Q237" s="455">
        <v>2500</v>
      </c>
      <c r="R237" s="455">
        <v>1000</v>
      </c>
      <c r="S237" s="168">
        <v>0</v>
      </c>
      <c r="T237" s="523">
        <v>0</v>
      </c>
      <c r="W237" s="168">
        <f t="shared" si="3"/>
        <v>0</v>
      </c>
    </row>
    <row r="238" spans="1:23">
      <c r="B238" s="455"/>
      <c r="E238" s="150"/>
      <c r="N238" s="168" t="s">
        <v>3465</v>
      </c>
      <c r="O238" s="455"/>
      <c r="P238" s="455" t="s">
        <v>3466</v>
      </c>
      <c r="Q238" s="455"/>
      <c r="R238" s="455"/>
      <c r="S238" s="168">
        <v>4996.22</v>
      </c>
      <c r="T238" s="523">
        <v>4997</v>
      </c>
      <c r="W238" s="168">
        <f t="shared" si="3"/>
        <v>-0.77999999999974534</v>
      </c>
    </row>
    <row r="239" spans="1:23">
      <c r="A239" s="168" t="s">
        <v>192</v>
      </c>
      <c r="B239" s="455" t="s">
        <v>1553</v>
      </c>
      <c r="C239" s="455" t="s">
        <v>631</v>
      </c>
      <c r="D239" s="168" t="s">
        <v>1565</v>
      </c>
      <c r="E239" s="150">
        <v>0</v>
      </c>
      <c r="F239" s="456">
        <v>0</v>
      </c>
      <c r="G239" s="168">
        <v>51.41</v>
      </c>
      <c r="H239" s="168">
        <v>52</v>
      </c>
      <c r="N239" s="168" t="s">
        <v>192</v>
      </c>
      <c r="O239" s="455" t="s">
        <v>1553</v>
      </c>
      <c r="P239" s="455" t="s">
        <v>631</v>
      </c>
      <c r="Q239" s="455">
        <v>2000</v>
      </c>
      <c r="R239" s="455">
        <v>1000</v>
      </c>
      <c r="S239" s="168">
        <v>0</v>
      </c>
      <c r="T239" s="523">
        <v>0</v>
      </c>
      <c r="W239" s="168">
        <f t="shared" si="3"/>
        <v>0</v>
      </c>
    </row>
    <row r="240" spans="1:23">
      <c r="A240" s="168" t="s">
        <v>193</v>
      </c>
      <c r="B240" s="455" t="s">
        <v>1553</v>
      </c>
      <c r="C240" s="455" t="s">
        <v>633</v>
      </c>
      <c r="D240" s="168" t="s">
        <v>1565</v>
      </c>
      <c r="E240" s="150">
        <v>5952.23</v>
      </c>
      <c r="F240" s="456">
        <v>6000</v>
      </c>
      <c r="G240" s="168">
        <v>5963.98</v>
      </c>
      <c r="H240" s="168">
        <v>5963</v>
      </c>
      <c r="N240" s="168" t="s">
        <v>193</v>
      </c>
      <c r="O240" s="455" t="s">
        <v>1553</v>
      </c>
      <c r="P240" s="455" t="s">
        <v>633</v>
      </c>
      <c r="Q240" s="455">
        <v>26250</v>
      </c>
      <c r="R240" s="455"/>
      <c r="S240" s="168">
        <v>3819.04</v>
      </c>
      <c r="T240" s="523">
        <v>3770</v>
      </c>
      <c r="W240" s="462">
        <f t="shared" si="3"/>
        <v>49.039999999999964</v>
      </c>
    </row>
    <row r="241" spans="1:23">
      <c r="A241" s="168" t="s">
        <v>194</v>
      </c>
      <c r="B241" s="455" t="s">
        <v>1553</v>
      </c>
      <c r="C241" s="455" t="s">
        <v>50</v>
      </c>
      <c r="D241" s="168" t="s">
        <v>1565</v>
      </c>
      <c r="E241" s="150">
        <v>1951</v>
      </c>
      <c r="F241" s="456">
        <v>2000</v>
      </c>
      <c r="G241" s="168">
        <v>1382.55</v>
      </c>
      <c r="H241" s="168">
        <v>1382</v>
      </c>
      <c r="N241" s="168" t="s">
        <v>194</v>
      </c>
      <c r="O241" s="455" t="s">
        <v>1553</v>
      </c>
      <c r="P241" s="455" t="s">
        <v>50</v>
      </c>
      <c r="Q241" s="455">
        <v>1500</v>
      </c>
      <c r="R241" s="455"/>
      <c r="S241" s="168">
        <v>428.57</v>
      </c>
      <c r="T241" s="523">
        <v>429</v>
      </c>
      <c r="W241" s="168">
        <f t="shared" si="3"/>
        <v>-0.43000000000000682</v>
      </c>
    </row>
    <row r="242" spans="1:23">
      <c r="A242" s="168" t="s">
        <v>195</v>
      </c>
      <c r="B242" s="455" t="s">
        <v>1553</v>
      </c>
      <c r="C242" s="455" t="s">
        <v>52</v>
      </c>
      <c r="D242" s="168" t="s">
        <v>1565</v>
      </c>
      <c r="E242" s="150">
        <v>0</v>
      </c>
      <c r="F242" s="456">
        <v>0</v>
      </c>
      <c r="G242" s="168">
        <v>0</v>
      </c>
      <c r="H242" s="168">
        <v>0</v>
      </c>
      <c r="N242" s="168" t="s">
        <v>195</v>
      </c>
      <c r="O242" s="455" t="s">
        <v>1553</v>
      </c>
      <c r="P242" s="455" t="s">
        <v>52</v>
      </c>
      <c r="Q242" s="455">
        <v>5544</v>
      </c>
      <c r="R242" s="455"/>
      <c r="S242" s="168">
        <v>0</v>
      </c>
      <c r="T242" s="523">
        <v>0</v>
      </c>
      <c r="W242" s="168">
        <f t="shared" si="3"/>
        <v>0</v>
      </c>
    </row>
    <row r="243" spans="1:23">
      <c r="A243" s="168" t="s">
        <v>196</v>
      </c>
      <c r="B243" s="455" t="s">
        <v>1553</v>
      </c>
      <c r="C243" s="455" t="s">
        <v>52</v>
      </c>
      <c r="D243" s="168" t="s">
        <v>1565</v>
      </c>
      <c r="E243" s="150">
        <v>0</v>
      </c>
      <c r="F243" s="456">
        <v>0</v>
      </c>
      <c r="G243" s="168">
        <v>0</v>
      </c>
      <c r="H243" s="168">
        <v>0</v>
      </c>
      <c r="N243" s="168" t="s">
        <v>196</v>
      </c>
      <c r="O243" s="455" t="s">
        <v>1553</v>
      </c>
      <c r="P243" s="455" t="s">
        <v>52</v>
      </c>
      <c r="Q243" s="455">
        <v>7560</v>
      </c>
      <c r="R243" s="455"/>
      <c r="S243" s="168">
        <v>0</v>
      </c>
      <c r="T243" s="523">
        <v>0</v>
      </c>
      <c r="W243" s="168">
        <f t="shared" si="3"/>
        <v>0</v>
      </c>
    </row>
    <row r="244" spans="1:23">
      <c r="A244" s="168" t="s">
        <v>197</v>
      </c>
      <c r="B244" s="455" t="s">
        <v>1553</v>
      </c>
      <c r="C244" s="455" t="s">
        <v>198</v>
      </c>
      <c r="D244" s="168" t="s">
        <v>1565</v>
      </c>
      <c r="E244" s="150">
        <v>0</v>
      </c>
      <c r="F244" s="456">
        <v>0</v>
      </c>
      <c r="G244" s="168">
        <v>0</v>
      </c>
      <c r="H244" s="168">
        <v>0</v>
      </c>
      <c r="N244" s="168" t="s">
        <v>197</v>
      </c>
      <c r="O244" s="455" t="s">
        <v>1553</v>
      </c>
      <c r="P244" s="455" t="s">
        <v>198</v>
      </c>
      <c r="Q244" s="455"/>
      <c r="R244" s="455"/>
      <c r="S244" s="168">
        <v>0</v>
      </c>
      <c r="T244" s="523">
        <v>0</v>
      </c>
      <c r="W244" s="168">
        <f t="shared" si="3"/>
        <v>0</v>
      </c>
    </row>
    <row r="245" spans="1:23" ht="15.75" thickBot="1">
      <c r="A245" s="168" t="s">
        <v>199</v>
      </c>
      <c r="B245" s="455" t="s">
        <v>1553</v>
      </c>
      <c r="C245" s="455" t="s">
        <v>2324</v>
      </c>
      <c r="D245" s="168" t="s">
        <v>1565</v>
      </c>
      <c r="E245" s="150">
        <v>0</v>
      </c>
      <c r="F245" s="456">
        <v>0</v>
      </c>
      <c r="G245" s="168">
        <v>0</v>
      </c>
      <c r="H245" s="168">
        <v>0</v>
      </c>
      <c r="N245" s="168" t="s">
        <v>199</v>
      </c>
      <c r="O245" s="455" t="s">
        <v>1553</v>
      </c>
      <c r="P245" s="455" t="s">
        <v>2324</v>
      </c>
      <c r="Q245" s="455"/>
      <c r="R245" s="455"/>
      <c r="S245" s="168">
        <v>0</v>
      </c>
      <c r="T245" s="523">
        <v>0</v>
      </c>
      <c r="W245" s="168">
        <f t="shared" si="3"/>
        <v>0</v>
      </c>
    </row>
    <row r="246" spans="1:23" ht="16.5" thickTop="1" thickBot="1">
      <c r="A246" s="554" t="s">
        <v>2668</v>
      </c>
      <c r="B246" s="555"/>
      <c r="C246" s="555"/>
      <c r="D246" s="556"/>
      <c r="E246" s="560">
        <f>SUM(E220:E245)</f>
        <v>285877.21999999997</v>
      </c>
      <c r="F246" s="560">
        <f>SUM(F220:F245)</f>
        <v>350794</v>
      </c>
      <c r="G246" s="560">
        <f>SUM(G220:G245)</f>
        <v>302028.68999999994</v>
      </c>
      <c r="H246" s="560">
        <f>SUM(H220:H245)</f>
        <v>302028</v>
      </c>
      <c r="N246" s="554" t="s">
        <v>2668</v>
      </c>
      <c r="O246" s="555"/>
      <c r="P246" s="555"/>
      <c r="Q246" s="555">
        <f>SUM(Q220:Q245)</f>
        <v>416561</v>
      </c>
      <c r="R246" s="555">
        <f>SUM(R220:R245)</f>
        <v>362591</v>
      </c>
      <c r="S246" s="560">
        <f>SUM(S220:S245)</f>
        <v>184259.88</v>
      </c>
      <c r="T246" s="558">
        <f>SUM(T220:T245)</f>
        <v>190858</v>
      </c>
      <c r="U246" s="168">
        <f>SUM(S246)</f>
        <v>184259.88</v>
      </c>
      <c r="V246" s="168">
        <f>SUM(T246)</f>
        <v>190858</v>
      </c>
      <c r="W246" s="168">
        <f t="shared" si="3"/>
        <v>-6598.1199999999953</v>
      </c>
    </row>
    <row r="247" spans="1:23" ht="15.75" thickTop="1">
      <c r="B247" s="455"/>
      <c r="E247" s="150"/>
      <c r="O247" s="455"/>
      <c r="P247" s="455"/>
      <c r="Q247" s="455"/>
      <c r="R247" s="455"/>
      <c r="T247" s="523"/>
      <c r="U247" s="603">
        <f>SUM(U218:U246)</f>
        <v>176638.41</v>
      </c>
      <c r="V247" s="603">
        <f>SUM(V218:V246)</f>
        <v>185183</v>
      </c>
      <c r="W247" s="168">
        <f t="shared" si="3"/>
        <v>0</v>
      </c>
    </row>
    <row r="248" spans="1:23">
      <c r="A248" s="168" t="s">
        <v>200</v>
      </c>
      <c r="B248" s="455" t="s">
        <v>1549</v>
      </c>
      <c r="C248" s="455" t="s">
        <v>75</v>
      </c>
      <c r="D248" s="168" t="s">
        <v>1566</v>
      </c>
      <c r="E248" s="150">
        <v>154400.28</v>
      </c>
      <c r="F248" s="456">
        <v>155000</v>
      </c>
      <c r="G248" s="168">
        <v>165815.04000000001</v>
      </c>
      <c r="H248" s="168">
        <v>165815</v>
      </c>
      <c r="N248" s="168" t="s">
        <v>200</v>
      </c>
      <c r="O248" s="455" t="s">
        <v>1549</v>
      </c>
      <c r="P248" s="455" t="s">
        <v>75</v>
      </c>
      <c r="Q248" s="455">
        <v>347049</v>
      </c>
      <c r="R248" s="455">
        <v>347049</v>
      </c>
      <c r="S248" s="168">
        <v>209536.97</v>
      </c>
      <c r="T248" s="523">
        <v>209538</v>
      </c>
      <c r="W248" s="168">
        <f t="shared" si="3"/>
        <v>-1.0299999999988358</v>
      </c>
    </row>
    <row r="249" spans="1:23">
      <c r="A249" s="168" t="s">
        <v>2695</v>
      </c>
      <c r="B249" s="455"/>
      <c r="E249" s="150"/>
      <c r="G249" s="168">
        <v>53970.2</v>
      </c>
      <c r="H249" s="168">
        <v>53970</v>
      </c>
      <c r="N249" s="168" t="s">
        <v>2695</v>
      </c>
      <c r="O249" s="455"/>
      <c r="P249" s="455"/>
      <c r="Q249" s="455">
        <v>35000</v>
      </c>
      <c r="R249" s="455"/>
      <c r="S249" s="168">
        <v>0</v>
      </c>
      <c r="T249" s="523">
        <v>0</v>
      </c>
      <c r="W249" s="168">
        <f t="shared" si="3"/>
        <v>0</v>
      </c>
    </row>
    <row r="250" spans="1:23">
      <c r="A250" s="168" t="s">
        <v>201</v>
      </c>
      <c r="B250" s="455" t="s">
        <v>1549</v>
      </c>
      <c r="C250" s="455" t="s">
        <v>60</v>
      </c>
      <c r="D250" s="168" t="s">
        <v>1566</v>
      </c>
      <c r="E250" s="150">
        <v>12758.94</v>
      </c>
      <c r="F250" s="456">
        <v>13000</v>
      </c>
      <c r="G250" s="168">
        <v>13817.92</v>
      </c>
      <c r="H250" s="168">
        <v>13817</v>
      </c>
      <c r="N250" s="168" t="s">
        <v>201</v>
      </c>
      <c r="O250" s="455" t="s">
        <v>1549</v>
      </c>
      <c r="P250" s="455" t="s">
        <v>60</v>
      </c>
      <c r="Q250" s="455">
        <v>28921</v>
      </c>
      <c r="R250" s="455">
        <v>28921</v>
      </c>
      <c r="S250" s="168">
        <v>16453.28</v>
      </c>
      <c r="T250" s="523">
        <v>16454</v>
      </c>
      <c r="W250" s="168">
        <f t="shared" si="3"/>
        <v>-0.72000000000116415</v>
      </c>
    </row>
    <row r="251" spans="1:23">
      <c r="A251" s="168" t="s">
        <v>202</v>
      </c>
      <c r="B251" s="455" t="s">
        <v>1549</v>
      </c>
      <c r="C251" s="455" t="s">
        <v>515</v>
      </c>
      <c r="D251" s="168" t="s">
        <v>1566</v>
      </c>
      <c r="E251" s="150">
        <v>8520.5</v>
      </c>
      <c r="F251" s="456">
        <v>9000</v>
      </c>
      <c r="G251" s="168">
        <v>0</v>
      </c>
      <c r="H251" s="168">
        <v>0</v>
      </c>
      <c r="N251" s="168" t="s">
        <v>202</v>
      </c>
      <c r="O251" s="455" t="s">
        <v>1549</v>
      </c>
      <c r="P251" s="455" t="s">
        <v>515</v>
      </c>
      <c r="Q251" s="455"/>
      <c r="R251" s="455"/>
      <c r="S251" s="168">
        <v>0</v>
      </c>
      <c r="T251" s="523">
        <v>0</v>
      </c>
      <c r="W251" s="168">
        <f t="shared" si="3"/>
        <v>0</v>
      </c>
    </row>
    <row r="252" spans="1:23">
      <c r="A252" s="168" t="s">
        <v>203</v>
      </c>
      <c r="B252" s="455" t="s">
        <v>1549</v>
      </c>
      <c r="C252" s="455" t="s">
        <v>767</v>
      </c>
      <c r="D252" s="168" t="s">
        <v>1566</v>
      </c>
      <c r="E252" s="150">
        <v>0</v>
      </c>
      <c r="F252" s="456">
        <v>0</v>
      </c>
      <c r="G252" s="168">
        <v>0</v>
      </c>
      <c r="H252" s="168">
        <v>0</v>
      </c>
      <c r="N252" s="168" t="s">
        <v>203</v>
      </c>
      <c r="O252" s="455" t="s">
        <v>1549</v>
      </c>
      <c r="P252" s="455" t="s">
        <v>767</v>
      </c>
      <c r="Q252" s="455">
        <v>3000</v>
      </c>
      <c r="R252" s="455">
        <v>3000</v>
      </c>
      <c r="S252" s="168">
        <v>0</v>
      </c>
      <c r="T252" s="523">
        <v>0</v>
      </c>
      <c r="W252" s="168">
        <f t="shared" si="3"/>
        <v>0</v>
      </c>
    </row>
    <row r="253" spans="1:23">
      <c r="A253" s="168" t="s">
        <v>2696</v>
      </c>
      <c r="B253" s="455"/>
      <c r="E253" s="150"/>
      <c r="G253" s="168">
        <v>1048.4000000000001</v>
      </c>
      <c r="H253" s="168">
        <v>1048</v>
      </c>
      <c r="N253" s="168" t="s">
        <v>2696</v>
      </c>
      <c r="O253" s="455"/>
      <c r="P253" s="455"/>
      <c r="Q253" s="455"/>
      <c r="R253" s="455"/>
      <c r="S253" s="168">
        <v>0</v>
      </c>
      <c r="T253" s="523">
        <v>0</v>
      </c>
      <c r="W253" s="168">
        <f t="shared" si="3"/>
        <v>0</v>
      </c>
    </row>
    <row r="254" spans="1:23">
      <c r="A254" s="168" t="s">
        <v>204</v>
      </c>
      <c r="B254" s="455" t="s">
        <v>1549</v>
      </c>
      <c r="C254" s="455" t="s">
        <v>590</v>
      </c>
      <c r="D254" s="168" t="s">
        <v>1566</v>
      </c>
      <c r="E254" s="150">
        <v>8956.7999999999993</v>
      </c>
      <c r="F254" s="456">
        <v>9000</v>
      </c>
      <c r="G254" s="168">
        <v>10717.2</v>
      </c>
      <c r="H254" s="168">
        <v>10717</v>
      </c>
      <c r="N254" s="168" t="s">
        <v>204</v>
      </c>
      <c r="O254" s="455" t="s">
        <v>1549</v>
      </c>
      <c r="P254" s="455" t="s">
        <v>590</v>
      </c>
      <c r="Q254" s="455">
        <v>74526</v>
      </c>
      <c r="R254" s="455">
        <v>74526</v>
      </c>
      <c r="S254" s="168">
        <v>12621.6</v>
      </c>
      <c r="T254" s="523">
        <v>12622</v>
      </c>
      <c r="W254" s="168">
        <f t="shared" si="3"/>
        <v>-0.3999999999996362</v>
      </c>
    </row>
    <row r="255" spans="1:23">
      <c r="A255" s="168" t="s">
        <v>205</v>
      </c>
      <c r="B255" s="455" t="s">
        <v>1549</v>
      </c>
      <c r="C255" s="455" t="s">
        <v>590</v>
      </c>
      <c r="D255" s="168" t="s">
        <v>1566</v>
      </c>
      <c r="E255" s="150">
        <v>33967.980000000003</v>
      </c>
      <c r="F255" s="456">
        <v>35000</v>
      </c>
      <c r="G255" s="168">
        <v>36479.279999999999</v>
      </c>
      <c r="H255" s="168">
        <v>36479</v>
      </c>
      <c r="N255" s="168" t="s">
        <v>205</v>
      </c>
      <c r="O255" s="455" t="s">
        <v>1549</v>
      </c>
      <c r="P255" s="455" t="s">
        <v>590</v>
      </c>
      <c r="Q255" s="455">
        <v>42307</v>
      </c>
      <c r="R255" s="455">
        <v>42307</v>
      </c>
      <c r="S255" s="168">
        <v>45831.3</v>
      </c>
      <c r="T255" s="523">
        <v>45831</v>
      </c>
      <c r="W255" s="168">
        <f t="shared" si="3"/>
        <v>0.30000000000291038</v>
      </c>
    </row>
    <row r="256" spans="1:23">
      <c r="A256" s="168" t="s">
        <v>206</v>
      </c>
      <c r="B256" s="455" t="s">
        <v>1549</v>
      </c>
      <c r="C256" s="455" t="s">
        <v>590</v>
      </c>
      <c r="D256" s="168" t="s">
        <v>1566</v>
      </c>
      <c r="E256" s="150">
        <v>1721.69</v>
      </c>
      <c r="F256" s="456">
        <v>1800</v>
      </c>
      <c r="G256" s="168">
        <v>2186.8200000000002</v>
      </c>
      <c r="H256" s="168">
        <v>2186</v>
      </c>
      <c r="N256" s="168" t="s">
        <v>206</v>
      </c>
      <c r="O256" s="455" t="s">
        <v>1549</v>
      </c>
      <c r="P256" s="455" t="s">
        <v>590</v>
      </c>
      <c r="Q256" s="455">
        <v>3470</v>
      </c>
      <c r="R256" s="455">
        <v>3470</v>
      </c>
      <c r="S256" s="168">
        <v>2080.9699999999998</v>
      </c>
      <c r="T256" s="523">
        <v>2081</v>
      </c>
      <c r="W256" s="168">
        <f t="shared" si="3"/>
        <v>-3.0000000000200089E-2</v>
      </c>
    </row>
    <row r="257" spans="1:23">
      <c r="A257" s="168" t="s">
        <v>207</v>
      </c>
      <c r="B257" s="455" t="s">
        <v>1549</v>
      </c>
      <c r="C257" s="455" t="s">
        <v>590</v>
      </c>
      <c r="D257" s="168" t="s">
        <v>1566</v>
      </c>
      <c r="E257" s="150">
        <v>2285.4</v>
      </c>
      <c r="F257" s="456">
        <v>2300</v>
      </c>
      <c r="G257" s="168">
        <v>2520.48</v>
      </c>
      <c r="H257" s="168">
        <v>2520</v>
      </c>
      <c r="N257" s="168" t="s">
        <v>207</v>
      </c>
      <c r="O257" s="455" t="s">
        <v>1549</v>
      </c>
      <c r="P257" s="455" t="s">
        <v>590</v>
      </c>
      <c r="Q257" s="455">
        <v>5310</v>
      </c>
      <c r="R257" s="455">
        <v>5310</v>
      </c>
      <c r="S257" s="168">
        <v>2942.92</v>
      </c>
      <c r="T257" s="523">
        <v>2943</v>
      </c>
      <c r="W257" s="168">
        <f t="shared" si="3"/>
        <v>-7.999999999992724E-2</v>
      </c>
    </row>
    <row r="258" spans="1:23">
      <c r="A258" s="168" t="s">
        <v>208</v>
      </c>
      <c r="B258" s="455" t="s">
        <v>1549</v>
      </c>
      <c r="C258" s="455" t="s">
        <v>1807</v>
      </c>
      <c r="D258" s="168" t="s">
        <v>1566</v>
      </c>
      <c r="E258" s="150">
        <v>76.8</v>
      </c>
      <c r="F258" s="456">
        <v>80</v>
      </c>
      <c r="G258" s="168">
        <v>82.8</v>
      </c>
      <c r="H258" s="168">
        <v>83</v>
      </c>
      <c r="N258" s="168" t="s">
        <v>208</v>
      </c>
      <c r="O258" s="455" t="s">
        <v>1549</v>
      </c>
      <c r="P258" s="455" t="s">
        <v>1807</v>
      </c>
      <c r="Q258" s="455">
        <v>83</v>
      </c>
      <c r="R258" s="455">
        <v>83</v>
      </c>
      <c r="S258" s="168">
        <v>90</v>
      </c>
      <c r="T258" s="523">
        <v>90</v>
      </c>
      <c r="W258" s="168">
        <f t="shared" si="3"/>
        <v>0</v>
      </c>
    </row>
    <row r="259" spans="1:23">
      <c r="A259" s="168" t="s">
        <v>209</v>
      </c>
      <c r="B259" s="455" t="s">
        <v>1551</v>
      </c>
      <c r="C259" s="455" t="s">
        <v>592</v>
      </c>
      <c r="D259" s="168" t="s">
        <v>1566</v>
      </c>
      <c r="E259" s="150">
        <v>0</v>
      </c>
      <c r="F259" s="456">
        <v>0</v>
      </c>
      <c r="G259" s="168">
        <v>0</v>
      </c>
      <c r="H259" s="168">
        <v>0</v>
      </c>
      <c r="N259" s="168" t="s">
        <v>209</v>
      </c>
      <c r="O259" s="455" t="s">
        <v>1551</v>
      </c>
      <c r="P259" s="455" t="s">
        <v>592</v>
      </c>
      <c r="Q259" s="455">
        <v>2863</v>
      </c>
      <c r="R259" s="455">
        <v>2863</v>
      </c>
      <c r="S259" s="168">
        <v>114.8</v>
      </c>
      <c r="T259" s="523">
        <v>2863</v>
      </c>
      <c r="W259" s="168">
        <f t="shared" si="3"/>
        <v>-2748.2</v>
      </c>
    </row>
    <row r="260" spans="1:23">
      <c r="A260" s="168" t="s">
        <v>210</v>
      </c>
      <c r="B260" s="455" t="s">
        <v>1552</v>
      </c>
      <c r="C260" s="455" t="s">
        <v>2326</v>
      </c>
      <c r="D260" s="168" t="s">
        <v>1566</v>
      </c>
      <c r="E260" s="150">
        <v>0</v>
      </c>
      <c r="F260" s="456">
        <v>0</v>
      </c>
      <c r="G260" s="168">
        <v>0</v>
      </c>
      <c r="H260" s="168">
        <v>0</v>
      </c>
      <c r="N260" s="168" t="s">
        <v>210</v>
      </c>
      <c r="O260" s="455" t="s">
        <v>1552</v>
      </c>
      <c r="P260" s="455" t="s">
        <v>2326</v>
      </c>
      <c r="Q260" s="455">
        <v>1500</v>
      </c>
      <c r="R260" s="455">
        <v>1103</v>
      </c>
      <c r="S260" s="168">
        <v>0</v>
      </c>
      <c r="T260" s="523">
        <v>0</v>
      </c>
      <c r="W260" s="168">
        <f t="shared" ref="W260:W323" si="4">S260-T260</f>
        <v>0</v>
      </c>
    </row>
    <row r="261" spans="1:23">
      <c r="A261" s="168" t="s">
        <v>211</v>
      </c>
      <c r="B261" s="455" t="s">
        <v>1552</v>
      </c>
      <c r="C261" s="455" t="s">
        <v>545</v>
      </c>
      <c r="D261" s="168" t="s">
        <v>1566</v>
      </c>
      <c r="E261" s="150">
        <v>0</v>
      </c>
      <c r="F261" s="456">
        <v>0</v>
      </c>
      <c r="G261" s="168">
        <v>0</v>
      </c>
      <c r="H261" s="168">
        <v>0</v>
      </c>
      <c r="N261" s="168" t="s">
        <v>211</v>
      </c>
      <c r="O261" s="455" t="s">
        <v>1552</v>
      </c>
      <c r="P261" s="455" t="s">
        <v>545</v>
      </c>
      <c r="Q261" s="455">
        <v>1860</v>
      </c>
      <c r="R261" s="455">
        <v>1367</v>
      </c>
      <c r="S261" s="168">
        <v>0</v>
      </c>
      <c r="T261" s="523">
        <v>0</v>
      </c>
      <c r="W261" s="168">
        <f t="shared" si="4"/>
        <v>0</v>
      </c>
    </row>
    <row r="262" spans="1:23">
      <c r="A262" s="168" t="s">
        <v>212</v>
      </c>
      <c r="B262" s="455" t="s">
        <v>1553</v>
      </c>
      <c r="C262" s="455" t="s">
        <v>612</v>
      </c>
      <c r="D262" s="168" t="s">
        <v>1566</v>
      </c>
      <c r="E262" s="150">
        <v>18</v>
      </c>
      <c r="F262" s="456">
        <v>5000</v>
      </c>
      <c r="G262" s="168">
        <v>394.28</v>
      </c>
      <c r="H262" s="168">
        <v>395</v>
      </c>
      <c r="N262" s="168" t="s">
        <v>212</v>
      </c>
      <c r="O262" s="455" t="s">
        <v>1553</v>
      </c>
      <c r="P262" s="455" t="s">
        <v>612</v>
      </c>
      <c r="Q262" s="455">
        <v>46500</v>
      </c>
      <c r="R262" s="455">
        <v>24000</v>
      </c>
      <c r="S262" s="168">
        <v>0</v>
      </c>
      <c r="T262" s="523">
        <v>0</v>
      </c>
      <c r="W262" s="168">
        <f t="shared" si="4"/>
        <v>0</v>
      </c>
    </row>
    <row r="263" spans="1:23">
      <c r="A263" s="168" t="s">
        <v>213</v>
      </c>
      <c r="B263" s="455" t="s">
        <v>1553</v>
      </c>
      <c r="C263" s="455" t="s">
        <v>616</v>
      </c>
      <c r="D263" s="168" t="s">
        <v>1566</v>
      </c>
      <c r="E263" s="150">
        <v>2550</v>
      </c>
      <c r="F263" s="456">
        <v>3000</v>
      </c>
      <c r="G263" s="168">
        <v>0</v>
      </c>
      <c r="H263" s="168">
        <v>0</v>
      </c>
      <c r="N263" s="168" t="s">
        <v>213</v>
      </c>
      <c r="O263" s="455" t="s">
        <v>1553</v>
      </c>
      <c r="P263" s="455" t="s">
        <v>616</v>
      </c>
      <c r="Q263" s="455">
        <v>1501</v>
      </c>
      <c r="R263" s="455">
        <v>820</v>
      </c>
      <c r="S263" s="168">
        <v>12</v>
      </c>
      <c r="T263" s="523">
        <v>13</v>
      </c>
      <c r="W263" s="168">
        <f t="shared" si="4"/>
        <v>-1</v>
      </c>
    </row>
    <row r="264" spans="1:23">
      <c r="A264" s="168" t="s">
        <v>214</v>
      </c>
      <c r="B264" s="455" t="s">
        <v>1553</v>
      </c>
      <c r="C264" s="455" t="s">
        <v>631</v>
      </c>
      <c r="D264" s="168" t="s">
        <v>1566</v>
      </c>
      <c r="E264" s="150">
        <v>0</v>
      </c>
      <c r="F264" s="456">
        <v>0</v>
      </c>
      <c r="G264" s="168">
        <v>0</v>
      </c>
      <c r="H264" s="168">
        <v>0</v>
      </c>
      <c r="N264" s="168" t="s">
        <v>214</v>
      </c>
      <c r="O264" s="455" t="s">
        <v>1553</v>
      </c>
      <c r="P264" s="455" t="s">
        <v>631</v>
      </c>
      <c r="Q264" s="455">
        <v>488</v>
      </c>
      <c r="R264" s="455">
        <v>488</v>
      </c>
      <c r="S264" s="168">
        <v>0</v>
      </c>
      <c r="T264" s="523">
        <v>0</v>
      </c>
      <c r="W264" s="168">
        <f t="shared" si="4"/>
        <v>0</v>
      </c>
    </row>
    <row r="265" spans="1:23">
      <c r="A265" s="168" t="s">
        <v>215</v>
      </c>
      <c r="B265" s="455" t="s">
        <v>1553</v>
      </c>
      <c r="C265" s="455" t="s">
        <v>633</v>
      </c>
      <c r="D265" s="168" t="s">
        <v>1566</v>
      </c>
      <c r="E265" s="150">
        <v>767.13</v>
      </c>
      <c r="F265" s="456">
        <v>1000</v>
      </c>
      <c r="G265" s="168">
        <v>1792.26</v>
      </c>
      <c r="H265" s="168">
        <v>1793</v>
      </c>
      <c r="N265" s="168" t="s">
        <v>215</v>
      </c>
      <c r="O265" s="455" t="s">
        <v>1553</v>
      </c>
      <c r="P265" s="455" t="s">
        <v>633</v>
      </c>
      <c r="Q265" s="455">
        <v>26250</v>
      </c>
      <c r="R265" s="455">
        <v>12000</v>
      </c>
      <c r="S265" s="168">
        <v>1193.51</v>
      </c>
      <c r="T265" s="523">
        <v>1136</v>
      </c>
      <c r="W265" s="462">
        <f t="shared" si="4"/>
        <v>57.509999999999991</v>
      </c>
    </row>
    <row r="266" spans="1:23">
      <c r="A266" s="168" t="s">
        <v>216</v>
      </c>
      <c r="B266" s="455" t="s">
        <v>1553</v>
      </c>
      <c r="C266" s="455" t="s">
        <v>70</v>
      </c>
      <c r="D266" s="168" t="s">
        <v>1566</v>
      </c>
      <c r="E266" s="150">
        <v>97954.3</v>
      </c>
      <c r="F266" s="456">
        <v>98000</v>
      </c>
      <c r="G266" s="168">
        <v>61514.3</v>
      </c>
      <c r="H266" s="168">
        <v>61514</v>
      </c>
      <c r="N266" s="168" t="s">
        <v>216</v>
      </c>
      <c r="O266" s="455" t="s">
        <v>1553</v>
      </c>
      <c r="P266" s="455" t="s">
        <v>70</v>
      </c>
      <c r="Q266" s="455">
        <v>68355</v>
      </c>
      <c r="R266" s="455">
        <v>65100</v>
      </c>
      <c r="S266" s="168">
        <v>0</v>
      </c>
      <c r="T266" s="523">
        <v>0</v>
      </c>
      <c r="W266" s="168">
        <f t="shared" si="4"/>
        <v>0</v>
      </c>
    </row>
    <row r="267" spans="1:23">
      <c r="A267" s="168" t="s">
        <v>217</v>
      </c>
      <c r="B267" s="455" t="s">
        <v>1553</v>
      </c>
      <c r="C267" s="455" t="s">
        <v>50</v>
      </c>
      <c r="D267" s="168" t="s">
        <v>1566</v>
      </c>
      <c r="E267" s="150">
        <v>8532.26</v>
      </c>
      <c r="F267" s="456">
        <v>13500</v>
      </c>
      <c r="G267" s="168">
        <v>6415.89</v>
      </c>
      <c r="H267" s="168">
        <v>6416</v>
      </c>
      <c r="N267" s="168" t="s">
        <v>217</v>
      </c>
      <c r="O267" s="455" t="s">
        <v>1553</v>
      </c>
      <c r="P267" s="455" t="s">
        <v>50</v>
      </c>
      <c r="Q267" s="455">
        <v>48825</v>
      </c>
      <c r="R267" s="455">
        <v>12000</v>
      </c>
      <c r="S267" s="168">
        <v>1236.1199999999999</v>
      </c>
      <c r="T267" s="523">
        <v>1237</v>
      </c>
      <c r="W267" s="168">
        <f t="shared" si="4"/>
        <v>-0.88000000000010914</v>
      </c>
    </row>
    <row r="268" spans="1:23">
      <c r="A268" s="168" t="s">
        <v>218</v>
      </c>
      <c r="B268" s="455" t="s">
        <v>1553</v>
      </c>
      <c r="C268" s="455" t="s">
        <v>52</v>
      </c>
      <c r="D268" s="168" t="s">
        <v>1566</v>
      </c>
      <c r="E268" s="150">
        <v>8382.4</v>
      </c>
      <c r="F268" s="456">
        <v>10000</v>
      </c>
      <c r="G268" s="168">
        <v>30439.31</v>
      </c>
      <c r="H268" s="168">
        <v>30439</v>
      </c>
      <c r="N268" s="168" t="s">
        <v>218</v>
      </c>
      <c r="O268" s="455" t="s">
        <v>1553</v>
      </c>
      <c r="P268" s="455" t="s">
        <v>52</v>
      </c>
      <c r="Q268" s="455">
        <v>10967</v>
      </c>
      <c r="R268" s="455">
        <v>8000</v>
      </c>
      <c r="S268" s="168">
        <v>11141.1</v>
      </c>
      <c r="T268" s="523">
        <v>11141</v>
      </c>
      <c r="W268" s="168">
        <f t="shared" si="4"/>
        <v>0.1000000000003638</v>
      </c>
    </row>
    <row r="269" spans="1:23" ht="15.75" thickBot="1">
      <c r="A269" s="168" t="s">
        <v>219</v>
      </c>
      <c r="B269" s="455" t="s">
        <v>1553</v>
      </c>
      <c r="C269" s="455" t="s">
        <v>52</v>
      </c>
      <c r="D269" s="168" t="s">
        <v>1566</v>
      </c>
      <c r="E269" s="150">
        <v>0</v>
      </c>
      <c r="F269" s="456">
        <v>0</v>
      </c>
      <c r="G269" s="168">
        <v>0</v>
      </c>
      <c r="H269" s="168">
        <v>0</v>
      </c>
      <c r="N269" s="168" t="s">
        <v>219</v>
      </c>
      <c r="O269" s="455" t="s">
        <v>1553</v>
      </c>
      <c r="P269" s="455" t="s">
        <v>52</v>
      </c>
      <c r="Q269" s="455"/>
      <c r="R269" s="455"/>
      <c r="S269" s="168">
        <v>0</v>
      </c>
      <c r="T269" s="523">
        <v>0</v>
      </c>
      <c r="W269" s="168">
        <f t="shared" si="4"/>
        <v>0</v>
      </c>
    </row>
    <row r="270" spans="1:23" ht="16.5" thickTop="1" thickBot="1">
      <c r="A270" s="554" t="s">
        <v>2668</v>
      </c>
      <c r="B270" s="555"/>
      <c r="C270" s="555"/>
      <c r="D270" s="556"/>
      <c r="E270" s="560">
        <f>SUM(E248:E269)</f>
        <v>340892.48000000004</v>
      </c>
      <c r="F270" s="560">
        <f>SUM(F248:F269)</f>
        <v>355680</v>
      </c>
      <c r="G270" s="560">
        <f>SUM(G248:G269)</f>
        <v>387194.18000000005</v>
      </c>
      <c r="H270" s="560">
        <f>SUM(H248:H269)</f>
        <v>387192</v>
      </c>
      <c r="N270" s="554" t="s">
        <v>2668</v>
      </c>
      <c r="O270" s="555"/>
      <c r="P270" s="555"/>
      <c r="Q270" s="555">
        <f>SUM(Q248:Q269)</f>
        <v>748775</v>
      </c>
      <c r="R270" s="555">
        <f>SUM(R247:R269)</f>
        <v>632407</v>
      </c>
      <c r="S270" s="560">
        <f>SUM(S248:S269)</f>
        <v>303254.56999999995</v>
      </c>
      <c r="T270" s="558">
        <f>SUM(T248:T269)</f>
        <v>305949</v>
      </c>
      <c r="U270" s="603">
        <f>SUM(S270)</f>
        <v>303254.56999999995</v>
      </c>
      <c r="V270" s="603">
        <f>SUM(T270)</f>
        <v>305949</v>
      </c>
      <c r="W270" s="168">
        <f t="shared" si="4"/>
        <v>-2694.4300000000512</v>
      </c>
    </row>
    <row r="271" spans="1:23" ht="15.75" thickTop="1">
      <c r="B271" s="455"/>
      <c r="E271" s="150"/>
      <c r="O271" s="455"/>
      <c r="P271" s="455"/>
      <c r="Q271" s="455"/>
      <c r="R271" s="455"/>
      <c r="T271" s="523"/>
      <c r="W271" s="168">
        <f t="shared" si="4"/>
        <v>0</v>
      </c>
    </row>
    <row r="272" spans="1:23">
      <c r="A272" s="168" t="s">
        <v>220</v>
      </c>
      <c r="B272" s="455" t="s">
        <v>23</v>
      </c>
      <c r="C272" s="455" t="s">
        <v>221</v>
      </c>
      <c r="D272" s="168" t="s">
        <v>1567</v>
      </c>
      <c r="E272" s="150">
        <f>-552487.3+3442.8</f>
        <v>-549044.5</v>
      </c>
      <c r="F272" s="456">
        <v>0</v>
      </c>
      <c r="G272" s="168">
        <v>-259851.12</v>
      </c>
      <c r="H272" s="168">
        <v>-208145</v>
      </c>
      <c r="N272" s="168" t="s">
        <v>220</v>
      </c>
      <c r="O272" s="455" t="s">
        <v>23</v>
      </c>
      <c r="P272" s="455" t="s">
        <v>221</v>
      </c>
      <c r="Q272" s="455">
        <v>-210800</v>
      </c>
      <c r="R272" s="455">
        <v>-210800</v>
      </c>
      <c r="S272" s="168">
        <v>-67227.759999999995</v>
      </c>
      <c r="T272" s="523">
        <v>-210800</v>
      </c>
      <c r="W272" s="168">
        <f t="shared" si="4"/>
        <v>143572.24</v>
      </c>
    </row>
    <row r="273" spans="1:23">
      <c r="A273" s="168" t="s">
        <v>222</v>
      </c>
      <c r="B273" s="455" t="s">
        <v>24</v>
      </c>
      <c r="C273" s="455" t="s">
        <v>221</v>
      </c>
      <c r="D273" s="168" t="s">
        <v>1567</v>
      </c>
      <c r="E273" s="150">
        <f>-1044067.71-3442.8</f>
        <v>-1047510.51</v>
      </c>
      <c r="F273" s="456">
        <v>-931514</v>
      </c>
      <c r="G273" s="168">
        <f>-1472417.19+259851.12</f>
        <v>-1212566.0699999998</v>
      </c>
      <c r="H273" s="168">
        <v>-1352669</v>
      </c>
      <c r="N273" s="168" t="s">
        <v>222</v>
      </c>
      <c r="O273" s="455" t="s">
        <v>24</v>
      </c>
      <c r="P273" s="455" t="s">
        <v>221</v>
      </c>
      <c r="Q273" s="455">
        <v>-1317500</v>
      </c>
      <c r="R273" s="455">
        <v>-1250000</v>
      </c>
      <c r="S273" s="168">
        <v>-799677.8</v>
      </c>
      <c r="T273" s="523">
        <v>-1250000</v>
      </c>
      <c r="W273" s="168">
        <f t="shared" si="4"/>
        <v>450322.19999999995</v>
      </c>
    </row>
    <row r="274" spans="1:23">
      <c r="A274" s="168" t="s">
        <v>2697</v>
      </c>
      <c r="B274" s="455" t="s">
        <v>25</v>
      </c>
      <c r="C274" s="455" t="s">
        <v>191</v>
      </c>
      <c r="D274" s="168" t="s">
        <v>1567</v>
      </c>
      <c r="E274" s="150">
        <v>-25302.05</v>
      </c>
      <c r="F274" s="456">
        <v>-30020</v>
      </c>
      <c r="G274" s="168">
        <v>-17415.57</v>
      </c>
      <c r="H274" s="168">
        <v>-100997</v>
      </c>
      <c r="N274" s="168" t="s">
        <v>2697</v>
      </c>
      <c r="O274" s="455" t="s">
        <v>25</v>
      </c>
      <c r="P274" s="455" t="s">
        <v>191</v>
      </c>
      <c r="Q274" s="455">
        <v>-15810</v>
      </c>
      <c r="R274" s="455">
        <v>-15000</v>
      </c>
      <c r="S274" s="168">
        <v>-21038.45</v>
      </c>
      <c r="T274" s="523">
        <v>-15000</v>
      </c>
      <c r="W274" s="168">
        <f t="shared" si="4"/>
        <v>-6038.4500000000007</v>
      </c>
    </row>
    <row r="275" spans="1:23">
      <c r="A275" s="168" t="s">
        <v>2698</v>
      </c>
      <c r="B275" s="455" t="s">
        <v>27</v>
      </c>
      <c r="E275" s="150"/>
      <c r="G275" s="168">
        <v>-1250000</v>
      </c>
      <c r="H275" s="168">
        <v>-1250000</v>
      </c>
      <c r="N275" s="168" t="s">
        <v>2698</v>
      </c>
      <c r="O275" s="455" t="s">
        <v>27</v>
      </c>
      <c r="P275" s="455"/>
      <c r="Q275" s="455">
        <v>-2750000</v>
      </c>
      <c r="R275" s="455">
        <v>-2750000</v>
      </c>
      <c r="S275" s="168">
        <v>-2750000</v>
      </c>
      <c r="T275" s="523">
        <v>-2750000</v>
      </c>
      <c r="W275" s="168">
        <f t="shared" si="4"/>
        <v>0</v>
      </c>
    </row>
    <row r="276" spans="1:23" ht="15.75" thickBot="1">
      <c r="A276" s="168" t="s">
        <v>223</v>
      </c>
      <c r="B276" s="455" t="s">
        <v>26</v>
      </c>
      <c r="C276" s="455" t="s">
        <v>224</v>
      </c>
      <c r="D276" s="168" t="s">
        <v>1567</v>
      </c>
      <c r="E276" s="150">
        <v>-10665512</v>
      </c>
      <c r="F276" s="456">
        <v>-10665000</v>
      </c>
      <c r="G276" s="168">
        <v>-14647254</v>
      </c>
      <c r="H276" s="168">
        <v>-14647254</v>
      </c>
      <c r="N276" s="168" t="s">
        <v>3467</v>
      </c>
      <c r="O276" s="455" t="s">
        <v>26</v>
      </c>
      <c r="P276" s="455" t="s">
        <v>224</v>
      </c>
      <c r="Q276" s="455">
        <v>-18878000</v>
      </c>
      <c r="R276" s="455">
        <v>-19589000</v>
      </c>
      <c r="S276" s="168">
        <v>-19589329.829999998</v>
      </c>
      <c r="T276" s="523">
        <v>-19589000</v>
      </c>
      <c r="W276" s="168">
        <f t="shared" si="4"/>
        <v>-329.82999999821186</v>
      </c>
    </row>
    <row r="277" spans="1:23" ht="16.5" thickTop="1" thickBot="1">
      <c r="A277" s="554" t="s">
        <v>2668</v>
      </c>
      <c r="B277" s="555"/>
      <c r="C277" s="555"/>
      <c r="D277" s="556"/>
      <c r="E277" s="560">
        <f>SUM(E272:E276)</f>
        <v>-12287369.060000001</v>
      </c>
      <c r="F277" s="560">
        <f>SUM(F272:F276)</f>
        <v>-11626534</v>
      </c>
      <c r="G277" s="560">
        <f>SUM(G272:G276)</f>
        <v>-17387086.759999998</v>
      </c>
      <c r="H277" s="560">
        <f>SUM(H272:H276)</f>
        <v>-17559065</v>
      </c>
      <c r="I277" s="168">
        <v>17559065</v>
      </c>
      <c r="N277" s="554" t="s">
        <v>2668</v>
      </c>
      <c r="O277" s="555"/>
      <c r="P277" s="555"/>
      <c r="Q277" s="555">
        <f>SUM(Q272:Q276)</f>
        <v>-23172110</v>
      </c>
      <c r="R277" s="555">
        <f>SUM(R272:R276)</f>
        <v>-23814800</v>
      </c>
      <c r="S277" s="560">
        <f>SUM(S272:S276)</f>
        <v>-23227273.839999996</v>
      </c>
      <c r="T277" s="558">
        <f>SUM(T272:T276)</f>
        <v>-23814800</v>
      </c>
      <c r="U277" s="168">
        <f>SUM(S277)</f>
        <v>-23227273.839999996</v>
      </c>
      <c r="V277" s="168">
        <f>SUM(T277)</f>
        <v>-23814800</v>
      </c>
      <c r="W277" s="168">
        <f t="shared" si="4"/>
        <v>587526.16000000387</v>
      </c>
    </row>
    <row r="278" spans="1:23" ht="15.75" thickTop="1">
      <c r="B278" s="455"/>
      <c r="E278" s="150"/>
      <c r="O278" s="455"/>
      <c r="P278" s="455"/>
      <c r="Q278" s="455"/>
      <c r="R278" s="455"/>
      <c r="T278" s="523"/>
      <c r="W278" s="168">
        <f t="shared" si="4"/>
        <v>0</v>
      </c>
    </row>
    <row r="279" spans="1:23">
      <c r="A279" s="168" t="s">
        <v>225</v>
      </c>
      <c r="B279" s="455" t="s">
        <v>1549</v>
      </c>
      <c r="C279" s="455" t="s">
        <v>75</v>
      </c>
      <c r="D279" s="168" t="s">
        <v>1567</v>
      </c>
      <c r="E279" s="150">
        <v>1186517.93</v>
      </c>
      <c r="F279" s="456">
        <v>2500000</v>
      </c>
      <c r="G279" s="168">
        <v>1907109.85</v>
      </c>
      <c r="H279" s="168">
        <v>1907127</v>
      </c>
      <c r="N279" s="168" t="s">
        <v>225</v>
      </c>
      <c r="O279" s="455" t="s">
        <v>1549</v>
      </c>
      <c r="P279" s="455" t="s">
        <v>75</v>
      </c>
      <c r="Q279" s="455">
        <v>3177506</v>
      </c>
      <c r="R279" s="455">
        <v>3177506</v>
      </c>
      <c r="S279" s="168">
        <v>2272928.91</v>
      </c>
      <c r="T279" s="523">
        <v>2272929</v>
      </c>
      <c r="W279" s="168">
        <f t="shared" si="4"/>
        <v>-8.9999999850988388E-2</v>
      </c>
    </row>
    <row r="280" spans="1:23">
      <c r="A280" s="168" t="s">
        <v>226</v>
      </c>
      <c r="B280" s="455" t="s">
        <v>1549</v>
      </c>
      <c r="C280" s="455" t="s">
        <v>77</v>
      </c>
      <c r="D280" s="168" t="s">
        <v>1567</v>
      </c>
      <c r="E280" s="150">
        <v>113355.53</v>
      </c>
      <c r="F280" s="456">
        <v>114000</v>
      </c>
      <c r="G280" s="168">
        <v>439635.02</v>
      </c>
      <c r="H280" s="168">
        <v>439635</v>
      </c>
      <c r="N280" s="168" t="s">
        <v>226</v>
      </c>
      <c r="O280" s="455" t="s">
        <v>1549</v>
      </c>
      <c r="P280" s="455" t="s">
        <v>77</v>
      </c>
      <c r="Q280" s="455">
        <v>300000</v>
      </c>
      <c r="R280" s="455">
        <v>300000</v>
      </c>
      <c r="S280" s="168">
        <v>363117.5</v>
      </c>
      <c r="T280" s="523">
        <v>363117</v>
      </c>
      <c r="W280" s="168">
        <f t="shared" si="4"/>
        <v>0.5</v>
      </c>
    </row>
    <row r="281" spans="1:23">
      <c r="A281" s="168" t="s">
        <v>227</v>
      </c>
      <c r="B281" s="455" t="s">
        <v>1549</v>
      </c>
      <c r="C281" s="455" t="s">
        <v>60</v>
      </c>
      <c r="D281" s="168" t="s">
        <v>1567</v>
      </c>
      <c r="E281" s="150">
        <v>654638.66</v>
      </c>
      <c r="F281" s="456">
        <v>212394</v>
      </c>
      <c r="G281" s="168">
        <v>162995.56</v>
      </c>
      <c r="H281" s="168">
        <v>162996</v>
      </c>
      <c r="N281" s="168" t="s">
        <v>227</v>
      </c>
      <c r="O281" s="455" t="s">
        <v>1549</v>
      </c>
      <c r="P281" s="455" t="s">
        <v>60</v>
      </c>
      <c r="Q281" s="455">
        <v>239690</v>
      </c>
      <c r="R281" s="455">
        <v>239690</v>
      </c>
      <c r="S281" s="168">
        <v>194551.28</v>
      </c>
      <c r="T281" s="523">
        <v>194552</v>
      </c>
      <c r="W281" s="168">
        <f t="shared" si="4"/>
        <v>-0.72000000000116415</v>
      </c>
    </row>
    <row r="282" spans="1:23">
      <c r="B282" s="455"/>
      <c r="E282" s="150"/>
      <c r="N282" s="168" t="s">
        <v>3468</v>
      </c>
      <c r="O282" s="455"/>
      <c r="P282" s="455"/>
      <c r="Q282" s="455"/>
      <c r="R282" s="455"/>
      <c r="S282" s="168">
        <v>1693.64</v>
      </c>
      <c r="T282" s="523">
        <v>1693</v>
      </c>
      <c r="W282" s="168">
        <f t="shared" si="4"/>
        <v>0.64000000000010004</v>
      </c>
    </row>
    <row r="283" spans="1:23">
      <c r="B283" s="455"/>
      <c r="E283" s="150"/>
      <c r="N283" s="168" t="s">
        <v>3720</v>
      </c>
      <c r="O283" s="455"/>
      <c r="P283" s="455" t="s">
        <v>3721</v>
      </c>
      <c r="Q283" s="455">
        <v>60000</v>
      </c>
      <c r="R283" s="455">
        <v>60000</v>
      </c>
      <c r="T283" s="523"/>
      <c r="W283" s="168">
        <f t="shared" si="4"/>
        <v>0</v>
      </c>
    </row>
    <row r="284" spans="1:23">
      <c r="A284" s="168" t="s">
        <v>228</v>
      </c>
      <c r="B284" s="455" t="s">
        <v>1549</v>
      </c>
      <c r="C284" s="455" t="s">
        <v>515</v>
      </c>
      <c r="D284" s="168" t="s">
        <v>1567</v>
      </c>
      <c r="E284" s="150">
        <v>159134.39999999999</v>
      </c>
      <c r="F284" s="456">
        <v>190000</v>
      </c>
      <c r="G284" s="168">
        <v>115641.3</v>
      </c>
      <c r="H284" s="168">
        <v>115642</v>
      </c>
      <c r="N284" s="168" t="s">
        <v>228</v>
      </c>
      <c r="O284" s="455" t="s">
        <v>1549</v>
      </c>
      <c r="P284" s="455" t="s">
        <v>515</v>
      </c>
      <c r="Q284" s="455"/>
      <c r="R284" s="455"/>
      <c r="S284" s="168">
        <v>163706.31</v>
      </c>
      <c r="T284" s="523">
        <v>163706</v>
      </c>
      <c r="W284" s="168">
        <f t="shared" si="4"/>
        <v>0.30999999999767169</v>
      </c>
    </row>
    <row r="285" spans="1:23">
      <c r="A285" s="168" t="s">
        <v>229</v>
      </c>
      <c r="B285" s="455" t="s">
        <v>1549</v>
      </c>
      <c r="C285" s="455" t="s">
        <v>660</v>
      </c>
      <c r="D285" s="168" t="s">
        <v>1567</v>
      </c>
      <c r="E285" s="150">
        <v>0</v>
      </c>
      <c r="F285" s="456">
        <v>0</v>
      </c>
      <c r="G285" s="168">
        <v>0</v>
      </c>
      <c r="H285" s="168">
        <v>0</v>
      </c>
      <c r="N285" s="168" t="s">
        <v>229</v>
      </c>
      <c r="O285" s="455" t="s">
        <v>1549</v>
      </c>
      <c r="P285" s="455" t="s">
        <v>660</v>
      </c>
      <c r="Q285" s="455"/>
      <c r="R285" s="455"/>
      <c r="S285" s="168">
        <v>0</v>
      </c>
      <c r="T285" s="523">
        <v>0</v>
      </c>
      <c r="W285" s="168">
        <f t="shared" si="4"/>
        <v>0</v>
      </c>
    </row>
    <row r="286" spans="1:23">
      <c r="A286" s="168" t="s">
        <v>230</v>
      </c>
      <c r="B286" s="455" t="s">
        <v>1549</v>
      </c>
      <c r="C286" s="455" t="s">
        <v>767</v>
      </c>
      <c r="D286" s="168" t="s">
        <v>1567</v>
      </c>
      <c r="E286" s="150">
        <v>44380.95</v>
      </c>
      <c r="F286" s="456">
        <v>45000</v>
      </c>
      <c r="G286" s="168">
        <v>17754.84</v>
      </c>
      <c r="H286" s="168">
        <v>17755</v>
      </c>
      <c r="N286" s="168" t="s">
        <v>230</v>
      </c>
      <c r="O286" s="455" t="s">
        <v>1549</v>
      </c>
      <c r="P286" s="455" t="s">
        <v>767</v>
      </c>
      <c r="Q286" s="455">
        <v>77556</v>
      </c>
      <c r="R286" s="455">
        <v>77556</v>
      </c>
      <c r="S286" s="168">
        <v>8691.2000000000007</v>
      </c>
      <c r="T286" s="523">
        <v>8692</v>
      </c>
      <c r="W286" s="168">
        <f t="shared" si="4"/>
        <v>-0.7999999999992724</v>
      </c>
    </row>
    <row r="287" spans="1:23">
      <c r="A287" s="168" t="s">
        <v>231</v>
      </c>
      <c r="B287" s="455" t="s">
        <v>1549</v>
      </c>
      <c r="C287" s="455" t="s">
        <v>84</v>
      </c>
      <c r="D287" s="168" t="s">
        <v>1567</v>
      </c>
      <c r="E287" s="150">
        <v>260960.68</v>
      </c>
      <c r="F287" s="456">
        <v>261600</v>
      </c>
      <c r="G287" s="168">
        <v>379027.3</v>
      </c>
      <c r="H287" s="168">
        <v>379027</v>
      </c>
      <c r="N287" s="168" t="s">
        <v>231</v>
      </c>
      <c r="O287" s="455" t="s">
        <v>1549</v>
      </c>
      <c r="P287" s="455" t="s">
        <v>84</v>
      </c>
      <c r="Q287" s="455">
        <v>250897</v>
      </c>
      <c r="R287" s="455">
        <v>250897</v>
      </c>
      <c r="S287" s="168">
        <v>367900.64</v>
      </c>
      <c r="T287" s="523">
        <v>367900</v>
      </c>
      <c r="W287" s="168">
        <f t="shared" si="4"/>
        <v>0.64000000001396984</v>
      </c>
    </row>
    <row r="288" spans="1:23">
      <c r="A288" s="168" t="s">
        <v>232</v>
      </c>
      <c r="B288" s="455" t="s">
        <v>1549</v>
      </c>
      <c r="C288" s="455" t="s">
        <v>86</v>
      </c>
      <c r="D288" s="168" t="s">
        <v>1567</v>
      </c>
      <c r="E288" s="150">
        <v>11023.61</v>
      </c>
      <c r="F288" s="456">
        <v>12000</v>
      </c>
      <c r="G288" s="168">
        <v>70461.75</v>
      </c>
      <c r="H288" s="168">
        <v>70461</v>
      </c>
      <c r="N288" s="168" t="s">
        <v>232</v>
      </c>
      <c r="O288" s="455" t="s">
        <v>1549</v>
      </c>
      <c r="P288" s="455" t="s">
        <v>86</v>
      </c>
      <c r="Q288" s="455">
        <v>137229</v>
      </c>
      <c r="R288" s="455">
        <v>137229</v>
      </c>
      <c r="S288" s="168">
        <v>118160.92</v>
      </c>
      <c r="T288" s="523">
        <v>118161</v>
      </c>
      <c r="W288" s="168">
        <f t="shared" si="4"/>
        <v>-8.000000000174623E-2</v>
      </c>
    </row>
    <row r="289" spans="1:23">
      <c r="A289" s="168" t="s">
        <v>233</v>
      </c>
      <c r="B289" s="455" t="s">
        <v>1549</v>
      </c>
      <c r="C289" s="455" t="s">
        <v>590</v>
      </c>
      <c r="D289" s="168" t="s">
        <v>1567</v>
      </c>
      <c r="E289" s="150">
        <v>134936.4</v>
      </c>
      <c r="F289" s="456">
        <v>140000</v>
      </c>
      <c r="G289" s="168">
        <v>80877.88</v>
      </c>
      <c r="H289" s="168">
        <v>80878</v>
      </c>
      <c r="N289" s="168" t="s">
        <v>233</v>
      </c>
      <c r="O289" s="455" t="s">
        <v>1549</v>
      </c>
      <c r="P289" s="455" t="s">
        <v>590</v>
      </c>
      <c r="Q289" s="455">
        <v>447159</v>
      </c>
      <c r="R289" s="455">
        <v>447159</v>
      </c>
      <c r="S289" s="168">
        <v>93131.68</v>
      </c>
      <c r="T289" s="523">
        <v>93132</v>
      </c>
      <c r="W289" s="168">
        <f t="shared" si="4"/>
        <v>-0.32000000000698492</v>
      </c>
    </row>
    <row r="290" spans="1:23">
      <c r="A290" s="168" t="s">
        <v>234</v>
      </c>
      <c r="B290" s="455" t="s">
        <v>1549</v>
      </c>
      <c r="C290" s="455" t="s">
        <v>590</v>
      </c>
      <c r="D290" s="168" t="s">
        <v>1567</v>
      </c>
      <c r="E290" s="150">
        <v>469203.24</v>
      </c>
      <c r="F290" s="456">
        <v>469500</v>
      </c>
      <c r="G290" s="168">
        <v>361694.9</v>
      </c>
      <c r="H290" s="168">
        <v>361695</v>
      </c>
      <c r="N290" s="168" t="s">
        <v>234</v>
      </c>
      <c r="O290" s="455" t="s">
        <v>1549</v>
      </c>
      <c r="P290" s="455" t="s">
        <v>590</v>
      </c>
      <c r="Q290" s="455">
        <v>589263</v>
      </c>
      <c r="R290" s="455">
        <v>589263</v>
      </c>
      <c r="S290" s="168">
        <v>386427.94</v>
      </c>
      <c r="T290" s="523">
        <v>386428</v>
      </c>
      <c r="W290" s="168">
        <f t="shared" si="4"/>
        <v>-5.9999999997671694E-2</v>
      </c>
    </row>
    <row r="291" spans="1:23">
      <c r="A291" s="168" t="s">
        <v>235</v>
      </c>
      <c r="B291" s="455" t="s">
        <v>1549</v>
      </c>
      <c r="C291" s="455" t="s">
        <v>590</v>
      </c>
      <c r="D291" s="168" t="s">
        <v>1567</v>
      </c>
      <c r="E291" s="150">
        <v>25990.080000000002</v>
      </c>
      <c r="F291" s="456">
        <v>30000</v>
      </c>
      <c r="G291" s="168">
        <v>17270.650000000001</v>
      </c>
      <c r="H291" s="168">
        <v>17271</v>
      </c>
      <c r="N291" s="168" t="s">
        <v>235</v>
      </c>
      <c r="O291" s="455" t="s">
        <v>1549</v>
      </c>
      <c r="P291" s="455" t="s">
        <v>590</v>
      </c>
      <c r="Q291" s="455">
        <v>28763</v>
      </c>
      <c r="R291" s="455">
        <v>28763</v>
      </c>
      <c r="S291" s="168">
        <v>17416.64</v>
      </c>
      <c r="T291" s="523">
        <v>17417</v>
      </c>
      <c r="W291" s="168">
        <f t="shared" si="4"/>
        <v>-0.36000000000058208</v>
      </c>
    </row>
    <row r="292" spans="1:23">
      <c r="A292" s="168" t="s">
        <v>236</v>
      </c>
      <c r="B292" s="455" t="s">
        <v>1549</v>
      </c>
      <c r="C292" s="455" t="s">
        <v>590</v>
      </c>
      <c r="D292" s="168" t="s">
        <v>1567</v>
      </c>
      <c r="E292" s="150">
        <v>28361.99</v>
      </c>
      <c r="F292" s="456">
        <v>32000</v>
      </c>
      <c r="G292" s="168">
        <v>18825.23</v>
      </c>
      <c r="H292" s="168">
        <v>18826</v>
      </c>
      <c r="N292" s="168" t="s">
        <v>236</v>
      </c>
      <c r="O292" s="455" t="s">
        <v>1549</v>
      </c>
      <c r="P292" s="455" t="s">
        <v>590</v>
      </c>
      <c r="Q292" s="455">
        <v>44007</v>
      </c>
      <c r="R292" s="455">
        <v>44007</v>
      </c>
      <c r="S292" s="168">
        <v>19247.439999999999</v>
      </c>
      <c r="T292" s="523">
        <v>19248</v>
      </c>
      <c r="W292" s="168">
        <f t="shared" si="4"/>
        <v>-0.56000000000130967</v>
      </c>
    </row>
    <row r="293" spans="1:23">
      <c r="A293" s="168" t="s">
        <v>237</v>
      </c>
      <c r="B293" s="455" t="s">
        <v>1549</v>
      </c>
      <c r="C293" s="455" t="s">
        <v>1807</v>
      </c>
      <c r="D293" s="168" t="s">
        <v>1567</v>
      </c>
      <c r="E293" s="150">
        <v>982.4</v>
      </c>
      <c r="F293" s="456">
        <v>1200</v>
      </c>
      <c r="G293" s="168">
        <v>767.28</v>
      </c>
      <c r="H293" s="168">
        <v>768</v>
      </c>
      <c r="N293" s="168" t="s">
        <v>237</v>
      </c>
      <c r="O293" s="455" t="s">
        <v>1549</v>
      </c>
      <c r="P293" s="455" t="s">
        <v>1807</v>
      </c>
      <c r="Q293" s="455">
        <v>994</v>
      </c>
      <c r="R293" s="455">
        <v>994</v>
      </c>
      <c r="S293" s="168">
        <v>808.23</v>
      </c>
      <c r="T293" s="523">
        <v>809</v>
      </c>
      <c r="W293" s="168">
        <f t="shared" si="4"/>
        <v>-0.76999999999998181</v>
      </c>
    </row>
    <row r="294" spans="1:23" s="458" customFormat="1">
      <c r="A294" s="458" t="s">
        <v>238</v>
      </c>
      <c r="B294" s="455" t="s">
        <v>1554</v>
      </c>
      <c r="C294" s="455" t="s">
        <v>592</v>
      </c>
      <c r="D294" s="458" t="s">
        <v>1567</v>
      </c>
      <c r="E294" s="150">
        <v>82519.28</v>
      </c>
      <c r="F294" s="456">
        <v>500000</v>
      </c>
      <c r="G294" s="168">
        <v>0</v>
      </c>
      <c r="H294" s="168">
        <v>0</v>
      </c>
      <c r="N294" s="458" t="s">
        <v>3469</v>
      </c>
      <c r="O294" s="455" t="s">
        <v>1554</v>
      </c>
      <c r="P294" s="455" t="s">
        <v>592</v>
      </c>
      <c r="Q294" s="455">
        <v>100000</v>
      </c>
      <c r="R294" s="455">
        <v>100000</v>
      </c>
      <c r="S294" s="168">
        <v>58520.71</v>
      </c>
      <c r="T294" s="523">
        <v>58521</v>
      </c>
      <c r="W294" s="168">
        <f t="shared" si="4"/>
        <v>-0.29000000000087311</v>
      </c>
    </row>
    <row r="295" spans="1:23">
      <c r="A295" s="168" t="s">
        <v>239</v>
      </c>
      <c r="B295" s="455" t="s">
        <v>1551</v>
      </c>
      <c r="C295" s="455" t="s">
        <v>592</v>
      </c>
      <c r="D295" s="168" t="s">
        <v>1567</v>
      </c>
      <c r="E295" s="150">
        <v>3528914.18</v>
      </c>
      <c r="F295" s="456">
        <v>78232</v>
      </c>
      <c r="G295" s="168">
        <v>366315</v>
      </c>
      <c r="H295" s="168">
        <v>483220</v>
      </c>
      <c r="I295" s="168">
        <v>-451044.29</v>
      </c>
      <c r="N295" s="168" t="s">
        <v>239</v>
      </c>
      <c r="O295" s="455" t="s">
        <v>1551</v>
      </c>
      <c r="P295" s="455" t="s">
        <v>592</v>
      </c>
      <c r="Q295" s="455">
        <v>132089</v>
      </c>
      <c r="R295" s="455">
        <v>132089</v>
      </c>
      <c r="S295" s="168">
        <v>243139.08</v>
      </c>
      <c r="T295" s="523">
        <v>132089</v>
      </c>
      <c r="W295" s="462">
        <f t="shared" si="4"/>
        <v>111050.07999999999</v>
      </c>
    </row>
    <row r="296" spans="1:23">
      <c r="A296" s="168" t="s">
        <v>2699</v>
      </c>
      <c r="B296" s="455"/>
      <c r="E296" s="150"/>
      <c r="G296" s="168">
        <v>834.23</v>
      </c>
      <c r="H296" s="168">
        <v>834</v>
      </c>
      <c r="N296" s="168" t="s">
        <v>2699</v>
      </c>
      <c r="O296" s="455"/>
      <c r="P296" s="455"/>
      <c r="Q296" s="455"/>
      <c r="R296" s="455"/>
      <c r="S296" s="168">
        <v>0</v>
      </c>
      <c r="T296" s="523">
        <v>0</v>
      </c>
      <c r="W296" s="168">
        <f t="shared" si="4"/>
        <v>0</v>
      </c>
    </row>
    <row r="297" spans="1:23">
      <c r="A297" s="168" t="s">
        <v>240</v>
      </c>
      <c r="B297" s="455" t="s">
        <v>1552</v>
      </c>
      <c r="C297" s="455" t="s">
        <v>2326</v>
      </c>
      <c r="D297" s="168" t="s">
        <v>1567</v>
      </c>
      <c r="E297" s="150">
        <v>478.86</v>
      </c>
      <c r="F297" s="456">
        <v>700</v>
      </c>
      <c r="G297" s="168">
        <v>390</v>
      </c>
      <c r="H297" s="168">
        <v>390</v>
      </c>
      <c r="N297" s="168" t="s">
        <v>240</v>
      </c>
      <c r="O297" s="455" t="s">
        <v>1552</v>
      </c>
      <c r="P297" s="455" t="s">
        <v>2326</v>
      </c>
      <c r="Q297" s="455"/>
      <c r="R297" s="455">
        <v>28200</v>
      </c>
      <c r="S297" s="168">
        <v>3411.66</v>
      </c>
      <c r="T297" s="523">
        <v>3412</v>
      </c>
      <c r="W297" s="168">
        <f t="shared" si="4"/>
        <v>-0.34000000000014552</v>
      </c>
    </row>
    <row r="298" spans="1:23">
      <c r="B298" s="455"/>
      <c r="E298" s="150"/>
      <c r="N298" s="168" t="s">
        <v>3722</v>
      </c>
      <c r="O298" s="455"/>
      <c r="P298" s="455" t="s">
        <v>3723</v>
      </c>
      <c r="Q298" s="455">
        <v>2943</v>
      </c>
      <c r="R298" s="455">
        <v>1000</v>
      </c>
      <c r="T298" s="523"/>
      <c r="W298" s="168">
        <f t="shared" si="4"/>
        <v>0</v>
      </c>
    </row>
    <row r="299" spans="1:23">
      <c r="A299" s="168" t="s">
        <v>241</v>
      </c>
      <c r="B299" s="455" t="s">
        <v>1553</v>
      </c>
      <c r="C299" s="455" t="s">
        <v>242</v>
      </c>
      <c r="D299" s="168" t="s">
        <v>1567</v>
      </c>
      <c r="E299" s="150">
        <v>0</v>
      </c>
      <c r="F299" s="456">
        <v>0</v>
      </c>
      <c r="G299" s="168">
        <v>761353.2</v>
      </c>
      <c r="H299" s="168">
        <v>761353</v>
      </c>
      <c r="N299" s="168" t="s">
        <v>241</v>
      </c>
      <c r="O299" s="455" t="s">
        <v>1553</v>
      </c>
      <c r="P299" s="455" t="s">
        <v>242</v>
      </c>
      <c r="Q299" s="455">
        <v>1500000</v>
      </c>
      <c r="R299" s="455">
        <v>750000</v>
      </c>
      <c r="S299" s="168">
        <v>1436790.58</v>
      </c>
      <c r="T299" s="523">
        <v>1436790</v>
      </c>
      <c r="W299" s="168">
        <f t="shared" si="4"/>
        <v>0.58000000007450581</v>
      </c>
    </row>
    <row r="300" spans="1:23">
      <c r="A300" s="168" t="s">
        <v>243</v>
      </c>
      <c r="B300" s="455" t="s">
        <v>1553</v>
      </c>
      <c r="C300" s="455" t="s">
        <v>597</v>
      </c>
      <c r="D300" s="168" t="s">
        <v>1567</v>
      </c>
      <c r="E300" s="150">
        <v>870002.64</v>
      </c>
      <c r="F300" s="456">
        <v>908000</v>
      </c>
      <c r="G300" s="168">
        <v>630719.16</v>
      </c>
      <c r="H300" s="168">
        <v>630720</v>
      </c>
      <c r="N300" s="168" t="s">
        <v>243</v>
      </c>
      <c r="O300" s="455" t="s">
        <v>1553</v>
      </c>
      <c r="P300" s="455" t="s">
        <v>597</v>
      </c>
      <c r="Q300" s="455">
        <v>957003</v>
      </c>
      <c r="R300" s="455">
        <v>300000</v>
      </c>
      <c r="S300" s="168">
        <v>728360.41</v>
      </c>
      <c r="T300" s="523">
        <v>728360</v>
      </c>
      <c r="W300" s="168">
        <f t="shared" si="4"/>
        <v>0.41000000003259629</v>
      </c>
    </row>
    <row r="301" spans="1:23">
      <c r="A301" s="168" t="s">
        <v>244</v>
      </c>
      <c r="B301" s="455" t="s">
        <v>1553</v>
      </c>
      <c r="C301" s="455" t="s">
        <v>2450</v>
      </c>
      <c r="D301" s="168" t="s">
        <v>1567</v>
      </c>
      <c r="E301" s="150">
        <v>445744.32</v>
      </c>
      <c r="F301" s="456">
        <v>320000</v>
      </c>
      <c r="G301" s="168">
        <v>235827.09</v>
      </c>
      <c r="H301" s="168">
        <v>235827</v>
      </c>
      <c r="N301" s="168" t="s">
        <v>244</v>
      </c>
      <c r="O301" s="455" t="s">
        <v>1553</v>
      </c>
      <c r="P301" s="455" t="s">
        <v>2450</v>
      </c>
      <c r="Q301" s="455">
        <v>865000</v>
      </c>
      <c r="R301" s="455">
        <v>250000</v>
      </c>
      <c r="S301" s="168">
        <v>355338.47</v>
      </c>
      <c r="T301" s="523">
        <v>355338</v>
      </c>
      <c r="W301" s="168">
        <f t="shared" si="4"/>
        <v>0.46999999997206032</v>
      </c>
    </row>
    <row r="302" spans="1:23">
      <c r="A302" s="168" t="s">
        <v>245</v>
      </c>
      <c r="B302" s="455" t="s">
        <v>1553</v>
      </c>
      <c r="C302" s="455" t="s">
        <v>612</v>
      </c>
      <c r="D302" s="168" t="s">
        <v>1567</v>
      </c>
      <c r="E302" s="150">
        <v>92573.11</v>
      </c>
      <c r="F302" s="456">
        <v>93200</v>
      </c>
      <c r="G302" s="168">
        <v>36703.61</v>
      </c>
      <c r="H302" s="168">
        <v>36703</v>
      </c>
      <c r="N302" s="168" t="s">
        <v>245</v>
      </c>
      <c r="O302" s="455" t="s">
        <v>1553</v>
      </c>
      <c r="P302" s="455" t="s">
        <v>612</v>
      </c>
      <c r="Q302" s="455">
        <v>101830</v>
      </c>
      <c r="R302" s="455">
        <v>50000</v>
      </c>
      <c r="S302" s="168">
        <v>24569.34</v>
      </c>
      <c r="T302" s="523">
        <v>24570</v>
      </c>
      <c r="W302" s="168">
        <f t="shared" si="4"/>
        <v>-0.65999999999985448</v>
      </c>
    </row>
    <row r="303" spans="1:23">
      <c r="A303" s="168" t="s">
        <v>246</v>
      </c>
      <c r="B303" s="455" t="s">
        <v>1553</v>
      </c>
      <c r="C303" s="455" t="s">
        <v>99</v>
      </c>
      <c r="D303" s="168" t="s">
        <v>1567</v>
      </c>
      <c r="E303" s="150">
        <v>122737</v>
      </c>
      <c r="F303" s="456">
        <v>123600</v>
      </c>
      <c r="G303" s="168">
        <f>1405998.54-71620.56-817359.29</f>
        <v>517018.68999999994</v>
      </c>
      <c r="H303" s="168">
        <v>1405999</v>
      </c>
      <c r="I303" s="168">
        <v>1334377.98</v>
      </c>
      <c r="N303" s="168" t="s">
        <v>246</v>
      </c>
      <c r="O303" s="455" t="s">
        <v>1553</v>
      </c>
      <c r="P303" s="455" t="s">
        <v>99</v>
      </c>
      <c r="Q303" s="455">
        <v>186000</v>
      </c>
      <c r="R303" s="455">
        <v>489584</v>
      </c>
      <c r="S303" s="168">
        <v>104024.89</v>
      </c>
      <c r="T303" s="523">
        <v>104025</v>
      </c>
      <c r="W303" s="168">
        <f t="shared" si="4"/>
        <v>-0.11000000000058208</v>
      </c>
    </row>
    <row r="304" spans="1:23">
      <c r="A304" s="168" t="s">
        <v>247</v>
      </c>
      <c r="B304" s="455" t="s">
        <v>1553</v>
      </c>
      <c r="C304" s="455" t="s">
        <v>2322</v>
      </c>
      <c r="D304" s="168" t="s">
        <v>1567</v>
      </c>
      <c r="E304" s="150">
        <v>353663.78</v>
      </c>
      <c r="F304" s="456">
        <v>354000</v>
      </c>
      <c r="G304" s="168">
        <v>695507.64</v>
      </c>
      <c r="H304" s="168">
        <v>695507</v>
      </c>
      <c r="N304" s="168" t="s">
        <v>247</v>
      </c>
      <c r="O304" s="455" t="s">
        <v>1553</v>
      </c>
      <c r="P304" s="455" t="s">
        <v>2322</v>
      </c>
      <c r="Q304" s="455">
        <v>461389</v>
      </c>
      <c r="R304" s="455">
        <v>461389</v>
      </c>
      <c r="S304" s="168">
        <v>266024.94</v>
      </c>
      <c r="T304" s="523">
        <v>266025</v>
      </c>
      <c r="W304" s="168">
        <f t="shared" si="4"/>
        <v>-5.9999999997671694E-2</v>
      </c>
    </row>
    <row r="305" spans="1:23">
      <c r="A305" s="168" t="s">
        <v>248</v>
      </c>
      <c r="B305" s="455" t="s">
        <v>20</v>
      </c>
      <c r="C305" s="455" t="s">
        <v>1668</v>
      </c>
      <c r="D305" s="168" t="s">
        <v>1567</v>
      </c>
      <c r="E305" s="150">
        <v>6881.66</v>
      </c>
      <c r="F305" s="456">
        <v>15000</v>
      </c>
      <c r="G305" s="168">
        <v>15341.03</v>
      </c>
      <c r="H305" s="168">
        <v>15342</v>
      </c>
      <c r="N305" s="168" t="s">
        <v>248</v>
      </c>
      <c r="O305" s="455" t="s">
        <v>20</v>
      </c>
      <c r="P305" s="455" t="s">
        <v>1668</v>
      </c>
      <c r="Q305" s="455"/>
      <c r="R305" s="455"/>
      <c r="S305" s="168">
        <v>31338.05</v>
      </c>
      <c r="T305" s="523">
        <v>52604</v>
      </c>
      <c r="W305" s="462">
        <f t="shared" si="4"/>
        <v>-21265.95</v>
      </c>
    </row>
    <row r="306" spans="1:23">
      <c r="A306" s="168" t="s">
        <v>249</v>
      </c>
      <c r="B306" s="455" t="s">
        <v>1553</v>
      </c>
      <c r="C306" s="455" t="s">
        <v>624</v>
      </c>
      <c r="D306" s="168" t="s">
        <v>1567</v>
      </c>
      <c r="E306" s="150">
        <v>0</v>
      </c>
      <c r="F306" s="456">
        <v>0</v>
      </c>
      <c r="G306" s="168">
        <v>0</v>
      </c>
      <c r="H306" s="168">
        <v>0</v>
      </c>
      <c r="N306" s="168" t="s">
        <v>249</v>
      </c>
      <c r="O306" s="455" t="s">
        <v>1553</v>
      </c>
      <c r="P306" s="455" t="s">
        <v>624</v>
      </c>
      <c r="Q306" s="455"/>
      <c r="R306" s="455"/>
      <c r="S306" s="168">
        <v>0</v>
      </c>
      <c r="T306" s="523">
        <v>0</v>
      </c>
      <c r="W306" s="168">
        <f t="shared" si="4"/>
        <v>0</v>
      </c>
    </row>
    <row r="307" spans="1:23">
      <c r="A307" s="168" t="s">
        <v>250</v>
      </c>
      <c r="B307" s="455" t="s">
        <v>1553</v>
      </c>
      <c r="C307" s="455" t="s">
        <v>631</v>
      </c>
      <c r="D307" s="168" t="s">
        <v>1567</v>
      </c>
      <c r="E307" s="150">
        <v>91601.62</v>
      </c>
      <c r="F307" s="456">
        <v>100000</v>
      </c>
      <c r="G307" s="168">
        <v>106960.21</v>
      </c>
      <c r="H307" s="168">
        <v>106961</v>
      </c>
      <c r="N307" s="168" t="s">
        <v>250</v>
      </c>
      <c r="O307" s="455" t="s">
        <v>1553</v>
      </c>
      <c r="P307" s="455" t="s">
        <v>631</v>
      </c>
      <c r="Q307" s="455">
        <v>53918</v>
      </c>
      <c r="R307" s="455">
        <v>90000</v>
      </c>
      <c r="S307" s="168">
        <v>92644.67</v>
      </c>
      <c r="T307" s="523">
        <v>92644</v>
      </c>
      <c r="W307" s="168">
        <f t="shared" si="4"/>
        <v>0.66999999999825377</v>
      </c>
    </row>
    <row r="308" spans="1:23">
      <c r="A308" s="168" t="s">
        <v>251</v>
      </c>
      <c r="B308" s="455" t="s">
        <v>1553</v>
      </c>
      <c r="C308" s="455" t="s">
        <v>633</v>
      </c>
      <c r="D308" s="168" t="s">
        <v>1567</v>
      </c>
      <c r="E308" s="150">
        <v>628505.38</v>
      </c>
      <c r="F308" s="456">
        <v>630000</v>
      </c>
      <c r="G308" s="168">
        <v>199457.77</v>
      </c>
      <c r="H308" s="168">
        <v>199457</v>
      </c>
      <c r="N308" s="168" t="s">
        <v>251</v>
      </c>
      <c r="O308" s="455" t="s">
        <v>1553</v>
      </c>
      <c r="P308" s="455" t="s">
        <v>633</v>
      </c>
      <c r="Q308" s="455">
        <v>369949</v>
      </c>
      <c r="R308" s="455">
        <v>252800</v>
      </c>
      <c r="S308" s="168">
        <v>195454.9</v>
      </c>
      <c r="T308" s="523">
        <v>192470</v>
      </c>
      <c r="W308" s="462">
        <f t="shared" si="4"/>
        <v>2984.8999999999942</v>
      </c>
    </row>
    <row r="309" spans="1:23">
      <c r="A309" s="168" t="s">
        <v>252</v>
      </c>
      <c r="B309" s="455" t="s">
        <v>1553</v>
      </c>
      <c r="C309" s="455" t="s">
        <v>253</v>
      </c>
      <c r="D309" s="168" t="s">
        <v>1567</v>
      </c>
      <c r="E309" s="150">
        <v>807.46</v>
      </c>
      <c r="F309" s="456">
        <v>850</v>
      </c>
      <c r="G309" s="168">
        <v>0</v>
      </c>
      <c r="H309" s="168">
        <v>0</v>
      </c>
      <c r="N309" s="168" t="s">
        <v>252</v>
      </c>
      <c r="O309" s="455" t="s">
        <v>1553</v>
      </c>
      <c r="P309" s="455" t="s">
        <v>253</v>
      </c>
      <c r="Q309" s="455">
        <v>475</v>
      </c>
      <c r="R309" s="455">
        <v>2460</v>
      </c>
      <c r="S309" s="168">
        <v>2460</v>
      </c>
      <c r="T309" s="523">
        <v>2460</v>
      </c>
      <c r="W309" s="168">
        <f t="shared" si="4"/>
        <v>0</v>
      </c>
    </row>
    <row r="310" spans="1:23">
      <c r="A310" s="168" t="s">
        <v>254</v>
      </c>
      <c r="B310" s="455" t="s">
        <v>1553</v>
      </c>
      <c r="C310" s="455" t="s">
        <v>255</v>
      </c>
      <c r="D310" s="168" t="s">
        <v>1567</v>
      </c>
      <c r="E310" s="150">
        <v>0</v>
      </c>
      <c r="F310" s="456">
        <v>0</v>
      </c>
      <c r="G310" s="168">
        <v>0</v>
      </c>
      <c r="H310" s="168">
        <v>0</v>
      </c>
      <c r="N310" s="168" t="s">
        <v>254</v>
      </c>
      <c r="O310" s="455" t="s">
        <v>1553</v>
      </c>
      <c r="P310" s="455" t="s">
        <v>255</v>
      </c>
      <c r="Q310" s="455">
        <v>1129232</v>
      </c>
      <c r="R310" s="455">
        <v>846924</v>
      </c>
      <c r="S310" s="168">
        <v>0</v>
      </c>
      <c r="T310" s="523">
        <v>125406</v>
      </c>
      <c r="W310" s="462">
        <f t="shared" si="4"/>
        <v>-125406</v>
      </c>
    </row>
    <row r="311" spans="1:23">
      <c r="A311" s="168" t="s">
        <v>256</v>
      </c>
      <c r="B311" s="455" t="s">
        <v>1553</v>
      </c>
      <c r="C311" s="455" t="s">
        <v>2325</v>
      </c>
      <c r="D311" s="168" t="s">
        <v>1567</v>
      </c>
      <c r="E311" s="150">
        <v>48315.7</v>
      </c>
      <c r="F311" s="456">
        <v>51000</v>
      </c>
      <c r="G311" s="168">
        <v>28180.55</v>
      </c>
      <c r="H311" s="168">
        <v>28180</v>
      </c>
      <c r="N311" s="168" t="s">
        <v>256</v>
      </c>
      <c r="O311" s="455" t="s">
        <v>1553</v>
      </c>
      <c r="P311" s="455" t="s">
        <v>2325</v>
      </c>
      <c r="Q311" s="455">
        <v>53147</v>
      </c>
      <c r="R311" s="455">
        <v>48316</v>
      </c>
      <c r="S311" s="168">
        <v>14956.5</v>
      </c>
      <c r="T311" s="523">
        <v>14957</v>
      </c>
      <c r="W311" s="168">
        <f t="shared" si="4"/>
        <v>-0.5</v>
      </c>
    </row>
    <row r="312" spans="1:23">
      <c r="A312" s="168" t="s">
        <v>257</v>
      </c>
      <c r="B312" s="455" t="s">
        <v>1553</v>
      </c>
      <c r="C312" s="455" t="s">
        <v>50</v>
      </c>
      <c r="D312" s="168" t="s">
        <v>1567</v>
      </c>
      <c r="E312" s="150">
        <v>211415.76</v>
      </c>
      <c r="F312" s="456">
        <v>212000</v>
      </c>
      <c r="G312" s="168">
        <v>97657.11</v>
      </c>
      <c r="H312" s="168">
        <v>97658</v>
      </c>
      <c r="N312" s="168" t="s">
        <v>257</v>
      </c>
      <c r="O312" s="455" t="s">
        <v>1553</v>
      </c>
      <c r="P312" s="455" t="s">
        <v>50</v>
      </c>
      <c r="Q312" s="455">
        <v>232557</v>
      </c>
      <c r="R312" s="455">
        <v>232557</v>
      </c>
      <c r="S312" s="168">
        <v>302144.07</v>
      </c>
      <c r="T312" s="523">
        <v>302144</v>
      </c>
      <c r="W312" s="168">
        <f t="shared" si="4"/>
        <v>7.0000000006984919E-2</v>
      </c>
    </row>
    <row r="313" spans="1:23">
      <c r="A313" s="168" t="s">
        <v>258</v>
      </c>
      <c r="B313" s="455" t="s">
        <v>1553</v>
      </c>
      <c r="C313" s="455" t="s">
        <v>52</v>
      </c>
      <c r="D313" s="168" t="s">
        <v>1567</v>
      </c>
      <c r="E313" s="150">
        <v>2921.51</v>
      </c>
      <c r="F313" s="456">
        <v>4000</v>
      </c>
      <c r="G313" s="168">
        <v>12642.75</v>
      </c>
      <c r="H313" s="168">
        <v>12642</v>
      </c>
      <c r="N313" s="168" t="s">
        <v>258</v>
      </c>
      <c r="O313" s="455" t="s">
        <v>1553</v>
      </c>
      <c r="P313" s="455" t="s">
        <v>52</v>
      </c>
      <c r="Q313" s="455">
        <v>2385</v>
      </c>
      <c r="R313" s="455">
        <v>1315</v>
      </c>
      <c r="S313" s="168">
        <v>2213.64</v>
      </c>
      <c r="T313" s="523">
        <v>2213</v>
      </c>
      <c r="W313" s="168">
        <f t="shared" si="4"/>
        <v>0.63999999999987267</v>
      </c>
    </row>
    <row r="314" spans="1:23">
      <c r="A314" s="168" t="s">
        <v>259</v>
      </c>
      <c r="B314" s="455" t="s">
        <v>1553</v>
      </c>
      <c r="C314" s="455" t="s">
        <v>52</v>
      </c>
      <c r="D314" s="168" t="s">
        <v>1567</v>
      </c>
      <c r="E314" s="150">
        <v>32892.71</v>
      </c>
      <c r="F314" s="456">
        <v>35000</v>
      </c>
      <c r="G314" s="168">
        <v>3153.57</v>
      </c>
      <c r="H314" s="168">
        <v>3154</v>
      </c>
      <c r="N314" s="168" t="s">
        <v>259</v>
      </c>
      <c r="O314" s="455" t="s">
        <v>1553</v>
      </c>
      <c r="P314" s="455" t="s">
        <v>52</v>
      </c>
      <c r="Q314" s="455">
        <v>26857</v>
      </c>
      <c r="R314" s="455">
        <v>14805</v>
      </c>
      <c r="S314" s="168">
        <v>19603.02</v>
      </c>
      <c r="T314" s="523">
        <v>19603</v>
      </c>
      <c r="W314" s="168">
        <f t="shared" si="4"/>
        <v>2.0000000000436557E-2</v>
      </c>
    </row>
    <row r="315" spans="1:23">
      <c r="A315" s="168" t="s">
        <v>260</v>
      </c>
      <c r="B315" s="455" t="s">
        <v>1553</v>
      </c>
      <c r="C315" s="455" t="s">
        <v>261</v>
      </c>
      <c r="D315" s="168" t="s">
        <v>1567</v>
      </c>
      <c r="E315" s="150">
        <v>1547675.29</v>
      </c>
      <c r="F315" s="456">
        <v>1557600</v>
      </c>
      <c r="G315" s="168">
        <v>0</v>
      </c>
      <c r="H315" s="168">
        <v>0</v>
      </c>
      <c r="N315" s="168" t="s">
        <v>260</v>
      </c>
      <c r="O315" s="455" t="s">
        <v>1553</v>
      </c>
      <c r="P315" s="455" t="s">
        <v>261</v>
      </c>
      <c r="Q315" s="455"/>
      <c r="R315" s="455"/>
      <c r="S315" s="168">
        <v>0</v>
      </c>
      <c r="T315" s="523">
        <v>0</v>
      </c>
      <c r="W315" s="168">
        <f t="shared" si="4"/>
        <v>0</v>
      </c>
    </row>
    <row r="316" spans="1:23">
      <c r="A316" s="168" t="s">
        <v>262</v>
      </c>
      <c r="B316" s="455" t="s">
        <v>1553</v>
      </c>
      <c r="C316" s="455" t="s">
        <v>263</v>
      </c>
      <c r="D316" s="168" t="s">
        <v>1567</v>
      </c>
      <c r="E316" s="150">
        <v>206265.08</v>
      </c>
      <c r="F316" s="456">
        <v>210000</v>
      </c>
      <c r="G316" s="168">
        <v>0</v>
      </c>
      <c r="H316" s="168">
        <v>0</v>
      </c>
      <c r="N316" s="168" t="s">
        <v>262</v>
      </c>
      <c r="O316" s="455" t="s">
        <v>1553</v>
      </c>
      <c r="P316" s="455" t="s">
        <v>263</v>
      </c>
      <c r="Q316" s="455"/>
      <c r="R316" s="455"/>
      <c r="S316" s="168">
        <v>0</v>
      </c>
      <c r="T316" s="523">
        <v>0</v>
      </c>
      <c r="W316" s="168">
        <f t="shared" si="4"/>
        <v>0</v>
      </c>
    </row>
    <row r="317" spans="1:23">
      <c r="A317" s="168" t="s">
        <v>264</v>
      </c>
      <c r="B317" s="455" t="s">
        <v>1553</v>
      </c>
      <c r="C317" s="455" t="s">
        <v>263</v>
      </c>
      <c r="D317" s="168" t="s">
        <v>1567</v>
      </c>
      <c r="E317" s="150">
        <v>0</v>
      </c>
      <c r="F317" s="456">
        <v>0</v>
      </c>
      <c r="G317" s="168">
        <v>0</v>
      </c>
      <c r="H317" s="168">
        <v>0</v>
      </c>
      <c r="N317" s="168" t="s">
        <v>264</v>
      </c>
      <c r="O317" s="455" t="s">
        <v>1553</v>
      </c>
      <c r="P317" s="455" t="s">
        <v>263</v>
      </c>
      <c r="Q317" s="455"/>
      <c r="R317" s="455"/>
      <c r="S317" s="168">
        <v>0</v>
      </c>
      <c r="T317" s="523">
        <v>0</v>
      </c>
      <c r="W317" s="168">
        <f t="shared" si="4"/>
        <v>0</v>
      </c>
    </row>
    <row r="318" spans="1:23">
      <c r="A318" s="168" t="s">
        <v>2962</v>
      </c>
      <c r="B318" s="455"/>
      <c r="E318" s="150"/>
      <c r="G318" s="168">
        <v>1249846.3500000001</v>
      </c>
      <c r="H318" s="168">
        <v>1249846</v>
      </c>
      <c r="N318" s="168" t="s">
        <v>2962</v>
      </c>
      <c r="O318" s="455"/>
      <c r="P318" s="455"/>
      <c r="Q318" s="455"/>
      <c r="R318" s="455"/>
      <c r="S318" s="168">
        <v>2750000</v>
      </c>
      <c r="T318" s="523">
        <v>2750000</v>
      </c>
      <c r="W318" s="168">
        <f t="shared" si="4"/>
        <v>0</v>
      </c>
    </row>
    <row r="319" spans="1:23">
      <c r="A319" s="168" t="s">
        <v>266</v>
      </c>
      <c r="B319" s="455" t="s">
        <v>1553</v>
      </c>
      <c r="C319" s="455" t="s">
        <v>59</v>
      </c>
      <c r="D319" s="168" t="s">
        <v>1567</v>
      </c>
      <c r="E319" s="150">
        <v>0</v>
      </c>
      <c r="F319" s="456">
        <v>0</v>
      </c>
      <c r="G319" s="168">
        <v>0</v>
      </c>
      <c r="H319" s="168">
        <v>0</v>
      </c>
      <c r="N319" s="168" t="s">
        <v>266</v>
      </c>
      <c r="O319" s="455" t="s">
        <v>1553</v>
      </c>
      <c r="P319" s="455" t="s">
        <v>59</v>
      </c>
      <c r="Q319" s="455"/>
      <c r="R319" s="455"/>
      <c r="S319" s="168">
        <v>0</v>
      </c>
      <c r="T319" s="523">
        <v>0</v>
      </c>
      <c r="W319" s="168">
        <f t="shared" si="4"/>
        <v>0</v>
      </c>
    </row>
    <row r="320" spans="1:23">
      <c r="A320" s="168" t="s">
        <v>2700</v>
      </c>
      <c r="B320" s="455"/>
      <c r="E320" s="150"/>
      <c r="G320" s="168">
        <v>1344487.74</v>
      </c>
      <c r="H320" s="168">
        <v>1344488</v>
      </c>
      <c r="N320" s="168" t="s">
        <v>2700</v>
      </c>
      <c r="O320" s="455"/>
      <c r="P320" s="455"/>
      <c r="Q320" s="455">
        <v>2000000</v>
      </c>
      <c r="R320" s="455">
        <v>1200000</v>
      </c>
      <c r="S320" s="168">
        <v>1432846.15</v>
      </c>
      <c r="T320" s="523">
        <v>1432846</v>
      </c>
      <c r="W320" s="168">
        <f t="shared" si="4"/>
        <v>0.14999999990686774</v>
      </c>
    </row>
    <row r="321" spans="1:23">
      <c r="A321" s="168" t="s">
        <v>2701</v>
      </c>
      <c r="B321" s="455"/>
      <c r="E321" s="150"/>
      <c r="G321" s="168">
        <v>86572.97</v>
      </c>
      <c r="H321" s="168">
        <v>86573</v>
      </c>
      <c r="N321" s="168" t="s">
        <v>2701</v>
      </c>
      <c r="O321" s="455"/>
      <c r="P321" s="455"/>
      <c r="Q321" s="455">
        <v>470000</v>
      </c>
      <c r="R321" s="455">
        <v>250700</v>
      </c>
      <c r="S321" s="168">
        <v>166191.37</v>
      </c>
      <c r="T321" s="523">
        <v>166192</v>
      </c>
      <c r="W321" s="168">
        <f t="shared" si="4"/>
        <v>-0.63000000000465661</v>
      </c>
    </row>
    <row r="322" spans="1:23">
      <c r="A322" s="168" t="s">
        <v>267</v>
      </c>
      <c r="B322" s="455" t="s">
        <v>1553</v>
      </c>
      <c r="C322" s="455" t="s">
        <v>592</v>
      </c>
      <c r="D322" s="168" t="s">
        <v>1567</v>
      </c>
      <c r="E322" s="150">
        <v>155041.21</v>
      </c>
      <c r="F322" s="456">
        <v>599000</v>
      </c>
      <c r="G322" s="168">
        <v>1389216.85</v>
      </c>
      <c r="H322" s="168">
        <v>1320523</v>
      </c>
      <c r="N322" s="598" t="s">
        <v>267</v>
      </c>
      <c r="O322" s="599" t="s">
        <v>1553</v>
      </c>
      <c r="P322" s="599" t="s">
        <v>592</v>
      </c>
      <c r="Q322" s="599">
        <v>119270</v>
      </c>
      <c r="R322" s="599">
        <v>119270</v>
      </c>
      <c r="S322" s="598">
        <v>1634831.65</v>
      </c>
      <c r="T322" s="600">
        <v>155227</v>
      </c>
      <c r="W322" s="462">
        <f t="shared" si="4"/>
        <v>1479604.65</v>
      </c>
    </row>
    <row r="323" spans="1:23">
      <c r="A323" s="168" t="s">
        <v>268</v>
      </c>
      <c r="B323" s="455" t="s">
        <v>1553</v>
      </c>
      <c r="C323" s="455" t="s">
        <v>592</v>
      </c>
      <c r="D323" s="168" t="s">
        <v>1567</v>
      </c>
      <c r="E323" s="150">
        <v>283102.09999999998</v>
      </c>
      <c r="F323" s="456">
        <v>283776</v>
      </c>
      <c r="G323" s="168">
        <v>212265.77</v>
      </c>
      <c r="H323" s="168">
        <v>266632</v>
      </c>
      <c r="N323" s="598" t="s">
        <v>268</v>
      </c>
      <c r="O323" s="599" t="s">
        <v>1553</v>
      </c>
      <c r="P323" s="599" t="s">
        <v>592</v>
      </c>
      <c r="Q323" s="599">
        <v>239431</v>
      </c>
      <c r="R323" s="599">
        <v>239431</v>
      </c>
      <c r="S323" s="598">
        <v>258065.09</v>
      </c>
      <c r="T323" s="600">
        <v>258065</v>
      </c>
      <c r="W323" s="168">
        <f t="shared" si="4"/>
        <v>8.999999999650754E-2</v>
      </c>
    </row>
    <row r="324" spans="1:23">
      <c r="A324" s="168" t="s">
        <v>3392</v>
      </c>
      <c r="B324" s="455"/>
      <c r="E324" s="150"/>
      <c r="G324" s="168">
        <v>3223927.54</v>
      </c>
      <c r="N324" s="598" t="s">
        <v>3392</v>
      </c>
      <c r="O324" s="599"/>
      <c r="P324" s="599"/>
      <c r="Q324" s="599"/>
      <c r="R324" s="599"/>
      <c r="S324" s="598">
        <f>37670.76+374648.14</f>
        <v>412318.9</v>
      </c>
      <c r="T324" s="600"/>
      <c r="W324" s="462">
        <f t="shared" ref="W324:W387" si="5">S324-T324</f>
        <v>412318.9</v>
      </c>
    </row>
    <row r="325" spans="1:23" s="147" customFormat="1">
      <c r="A325" s="147" t="s">
        <v>269</v>
      </c>
      <c r="B325" s="148" t="s">
        <v>1553</v>
      </c>
      <c r="C325" s="148" t="s">
        <v>575</v>
      </c>
      <c r="D325" s="147" t="s">
        <v>1567</v>
      </c>
      <c r="E325" s="151">
        <v>0</v>
      </c>
      <c r="F325" s="149">
        <v>1306511</v>
      </c>
      <c r="G325" s="168">
        <v>0</v>
      </c>
      <c r="H325" s="168">
        <v>1402881</v>
      </c>
      <c r="N325" s="601" t="s">
        <v>269</v>
      </c>
      <c r="O325" s="602" t="s">
        <v>1553</v>
      </c>
      <c r="P325" s="602" t="s">
        <v>575</v>
      </c>
      <c r="Q325" s="602">
        <v>1500000</v>
      </c>
      <c r="R325" s="602">
        <v>1000000</v>
      </c>
      <c r="S325" s="598">
        <f>2974.67-2974.67</f>
        <v>0</v>
      </c>
      <c r="T325" s="600">
        <v>552227</v>
      </c>
      <c r="W325" s="462">
        <f t="shared" si="5"/>
        <v>-552227</v>
      </c>
    </row>
    <row r="326" spans="1:23">
      <c r="A326" s="168" t="s">
        <v>270</v>
      </c>
      <c r="B326" s="455" t="s">
        <v>1555</v>
      </c>
      <c r="C326" s="455" t="s">
        <v>592</v>
      </c>
      <c r="D326" s="168" t="s">
        <v>1567</v>
      </c>
      <c r="E326" s="150">
        <v>0</v>
      </c>
      <c r="F326" s="456">
        <v>3576581</v>
      </c>
      <c r="G326" s="168">
        <v>1901816.35</v>
      </c>
      <c r="H326" s="168">
        <v>1277748</v>
      </c>
      <c r="N326" s="598" t="s">
        <v>270</v>
      </c>
      <c r="O326" s="599" t="s">
        <v>1555</v>
      </c>
      <c r="P326" s="599" t="s">
        <v>592</v>
      </c>
      <c r="Q326" s="599"/>
      <c r="R326" s="599"/>
      <c r="S326" s="598">
        <v>0</v>
      </c>
      <c r="T326" s="600">
        <v>0</v>
      </c>
      <c r="W326" s="168">
        <f t="shared" si="5"/>
        <v>0</v>
      </c>
    </row>
    <row r="327" spans="1:23">
      <c r="A327" s="168" t="s">
        <v>271</v>
      </c>
      <c r="B327" s="455" t="s">
        <v>1553</v>
      </c>
      <c r="C327" s="455">
        <v>2</v>
      </c>
      <c r="D327" s="168" t="s">
        <v>1567</v>
      </c>
      <c r="E327" s="150">
        <v>0</v>
      </c>
      <c r="F327" s="456">
        <v>0</v>
      </c>
      <c r="G327" s="168">
        <v>0</v>
      </c>
      <c r="H327" s="168">
        <v>0</v>
      </c>
      <c r="N327" s="168" t="s">
        <v>271</v>
      </c>
      <c r="O327" s="455" t="s">
        <v>1553</v>
      </c>
      <c r="P327" s="455">
        <v>2</v>
      </c>
      <c r="Q327" s="455"/>
      <c r="R327" s="455"/>
      <c r="S327" s="168">
        <v>0</v>
      </c>
      <c r="T327" s="523">
        <v>0</v>
      </c>
      <c r="W327" s="168">
        <f t="shared" si="5"/>
        <v>0</v>
      </c>
    </row>
    <row r="328" spans="1:23" ht="15.75" thickBot="1">
      <c r="A328" s="168" t="s">
        <v>272</v>
      </c>
      <c r="B328" s="455" t="s">
        <v>1553</v>
      </c>
      <c r="C328" s="455" t="s">
        <v>2326</v>
      </c>
      <c r="D328" s="168" t="s">
        <v>1567</v>
      </c>
      <c r="E328" s="150">
        <v>0</v>
      </c>
      <c r="F328" s="456">
        <v>0</v>
      </c>
      <c r="G328" s="168">
        <v>0</v>
      </c>
      <c r="H328" s="168">
        <v>0</v>
      </c>
      <c r="N328" s="168" t="s">
        <v>272</v>
      </c>
      <c r="O328" s="455" t="s">
        <v>1553</v>
      </c>
      <c r="P328" s="455" t="s">
        <v>2326</v>
      </c>
      <c r="Q328" s="455"/>
      <c r="R328" s="455"/>
      <c r="S328" s="168">
        <v>0</v>
      </c>
      <c r="T328" s="523">
        <v>0</v>
      </c>
      <c r="W328" s="168">
        <f t="shared" si="5"/>
        <v>0</v>
      </c>
    </row>
    <row r="329" spans="1:23" ht="16.5" thickTop="1" thickBot="1">
      <c r="A329" s="554" t="s">
        <v>2668</v>
      </c>
      <c r="B329" s="555"/>
      <c r="C329" s="555"/>
      <c r="D329" s="556"/>
      <c r="E329" s="560">
        <f>SUM(E279:E328)</f>
        <v>11801544.520000003</v>
      </c>
      <c r="F329" s="560">
        <f>SUM(F279:F328)</f>
        <v>14966744</v>
      </c>
      <c r="G329" s="560">
        <f>SUM(G279:G328)</f>
        <v>16688256.74</v>
      </c>
      <c r="H329" s="560">
        <f>SUM(H279:H328)</f>
        <v>15234719</v>
      </c>
      <c r="N329" s="554" t="s">
        <v>2668</v>
      </c>
      <c r="O329" s="555"/>
      <c r="P329" s="555"/>
      <c r="Q329" s="555">
        <f>SUM(Q279:Q328)</f>
        <v>15856539</v>
      </c>
      <c r="R329" s="555">
        <f>SUM(R279:R328)</f>
        <v>12213904</v>
      </c>
      <c r="S329" s="560">
        <f>SUM(S279:S328)</f>
        <v>14543030.42</v>
      </c>
      <c r="T329" s="558">
        <f>SUM(T279:T328)</f>
        <v>13235972</v>
      </c>
      <c r="U329" s="168">
        <f>SUM(S329)</f>
        <v>14543030.42</v>
      </c>
      <c r="V329" s="168">
        <f>SUM(T329)</f>
        <v>13235972</v>
      </c>
      <c r="W329" s="168">
        <f t="shared" si="5"/>
        <v>1307058.42</v>
      </c>
    </row>
    <row r="330" spans="1:23" ht="15.75" thickTop="1">
      <c r="B330" s="455"/>
      <c r="E330" s="150"/>
      <c r="O330" s="455"/>
      <c r="P330" s="455"/>
      <c r="Q330" s="455"/>
      <c r="R330" s="455"/>
      <c r="T330" s="523"/>
      <c r="U330" s="603">
        <f>SUM(U277:U329)</f>
        <v>-8684243.4199999962</v>
      </c>
      <c r="V330" s="603">
        <f>SUM(V277:V329)</f>
        <v>-10578828</v>
      </c>
      <c r="W330" s="168">
        <f t="shared" si="5"/>
        <v>0</v>
      </c>
    </row>
    <row r="331" spans="1:23">
      <c r="A331" s="168" t="s">
        <v>274</v>
      </c>
      <c r="B331" s="455" t="s">
        <v>1549</v>
      </c>
      <c r="C331" s="455" t="s">
        <v>75</v>
      </c>
      <c r="D331" s="168" t="s">
        <v>1990</v>
      </c>
      <c r="E331" s="150">
        <v>45677.760000000002</v>
      </c>
      <c r="F331" s="456">
        <v>72500</v>
      </c>
      <c r="G331" s="168">
        <v>52834</v>
      </c>
      <c r="H331" s="168">
        <v>52834</v>
      </c>
      <c r="N331" s="168" t="s">
        <v>274</v>
      </c>
      <c r="O331" s="455" t="s">
        <v>1549</v>
      </c>
      <c r="P331" s="455" t="s">
        <v>75</v>
      </c>
      <c r="Q331" s="455">
        <v>85571</v>
      </c>
      <c r="R331" s="455">
        <v>85571</v>
      </c>
      <c r="S331" s="168">
        <v>61563.79</v>
      </c>
      <c r="T331" s="523">
        <v>61564</v>
      </c>
      <c r="W331" s="168">
        <f t="shared" si="5"/>
        <v>-0.20999999999912689</v>
      </c>
    </row>
    <row r="332" spans="1:23">
      <c r="A332" s="168" t="s">
        <v>275</v>
      </c>
      <c r="B332" s="455" t="s">
        <v>1549</v>
      </c>
      <c r="C332" s="455" t="s">
        <v>77</v>
      </c>
      <c r="D332" s="168" t="s">
        <v>1990</v>
      </c>
      <c r="E332" s="150">
        <v>922.31</v>
      </c>
      <c r="F332" s="456">
        <v>1300</v>
      </c>
      <c r="G332" s="168">
        <v>27927.58</v>
      </c>
      <c r="H332" s="168">
        <v>27927</v>
      </c>
      <c r="N332" s="168" t="s">
        <v>275</v>
      </c>
      <c r="O332" s="455" t="s">
        <v>1549</v>
      </c>
      <c r="P332" s="455" t="s">
        <v>77</v>
      </c>
      <c r="Q332" s="455">
        <v>25000</v>
      </c>
      <c r="R332" s="455">
        <v>25000</v>
      </c>
      <c r="S332" s="168">
        <v>37416.22</v>
      </c>
      <c r="T332" s="523">
        <v>37416</v>
      </c>
      <c r="W332" s="168">
        <f t="shared" si="5"/>
        <v>0.22000000000116415</v>
      </c>
    </row>
    <row r="333" spans="1:23">
      <c r="A333" s="168" t="s">
        <v>276</v>
      </c>
      <c r="B333" s="455" t="s">
        <v>1549</v>
      </c>
      <c r="C333" s="455" t="s">
        <v>60</v>
      </c>
      <c r="D333" s="168" t="s">
        <v>1990</v>
      </c>
      <c r="E333" s="150">
        <v>6040.72</v>
      </c>
      <c r="F333" s="456">
        <v>6041</v>
      </c>
      <c r="G333" s="168">
        <v>4402.83</v>
      </c>
      <c r="H333" s="168">
        <v>4403</v>
      </c>
      <c r="N333" s="168" t="s">
        <v>276</v>
      </c>
      <c r="O333" s="455" t="s">
        <v>1549</v>
      </c>
      <c r="P333" s="455" t="s">
        <v>60</v>
      </c>
      <c r="Q333" s="455">
        <v>7131</v>
      </c>
      <c r="R333" s="455">
        <v>7131</v>
      </c>
      <c r="S333" s="168">
        <v>5011.25</v>
      </c>
      <c r="T333" s="523">
        <v>5012</v>
      </c>
      <c r="W333" s="168">
        <f t="shared" si="5"/>
        <v>-0.75</v>
      </c>
    </row>
    <row r="334" spans="1:23">
      <c r="A334" s="168" t="s">
        <v>2702</v>
      </c>
      <c r="B334" s="455"/>
      <c r="E334" s="150"/>
      <c r="G334" s="168">
        <v>18213.3</v>
      </c>
      <c r="H334" s="168">
        <v>18214</v>
      </c>
      <c r="N334" s="168" t="s">
        <v>2702</v>
      </c>
      <c r="O334" s="455"/>
      <c r="P334" s="455" t="s">
        <v>3724</v>
      </c>
      <c r="Q334" s="455">
        <v>17247</v>
      </c>
      <c r="R334" s="455">
        <v>17247</v>
      </c>
      <c r="S334" s="168">
        <v>17142.38</v>
      </c>
      <c r="T334" s="523">
        <v>17143</v>
      </c>
      <c r="W334" s="168">
        <f t="shared" si="5"/>
        <v>-0.61999999999898137</v>
      </c>
    </row>
    <row r="335" spans="1:23">
      <c r="A335" s="168" t="s">
        <v>277</v>
      </c>
      <c r="B335" s="455" t="s">
        <v>1549</v>
      </c>
      <c r="C335" s="455" t="s">
        <v>575</v>
      </c>
      <c r="D335" s="168" t="s">
        <v>1990</v>
      </c>
      <c r="E335" s="150">
        <v>0</v>
      </c>
      <c r="F335" s="456">
        <v>24000</v>
      </c>
      <c r="G335" s="168">
        <v>0</v>
      </c>
      <c r="H335" s="168">
        <v>0</v>
      </c>
      <c r="N335" s="168" t="s">
        <v>277</v>
      </c>
      <c r="O335" s="455" t="s">
        <v>1549</v>
      </c>
      <c r="P335" s="455" t="s">
        <v>575</v>
      </c>
      <c r="Q335" s="455">
        <v>30016</v>
      </c>
      <c r="R335" s="455">
        <v>30016</v>
      </c>
      <c r="S335" s="168">
        <v>0</v>
      </c>
      <c r="T335" s="523">
        <v>0</v>
      </c>
      <c r="W335" s="168">
        <f t="shared" si="5"/>
        <v>0</v>
      </c>
    </row>
    <row r="336" spans="1:23">
      <c r="A336" s="168" t="s">
        <v>278</v>
      </c>
      <c r="B336" s="455" t="s">
        <v>1549</v>
      </c>
      <c r="C336" s="455" t="s">
        <v>590</v>
      </c>
      <c r="D336" s="168" t="s">
        <v>1990</v>
      </c>
      <c r="E336" s="150">
        <v>13098.72</v>
      </c>
      <c r="F336" s="456">
        <v>13100</v>
      </c>
      <c r="G336" s="168">
        <v>8024.84</v>
      </c>
      <c r="H336" s="168">
        <v>8025</v>
      </c>
      <c r="N336" s="168" t="s">
        <v>278</v>
      </c>
      <c r="O336" s="455" t="s">
        <v>1549</v>
      </c>
      <c r="P336" s="455" t="s">
        <v>590</v>
      </c>
      <c r="Q336" s="455">
        <v>18826</v>
      </c>
      <c r="R336" s="455">
        <v>18826</v>
      </c>
      <c r="S336" s="168">
        <v>9820.4500000000007</v>
      </c>
      <c r="T336" s="523">
        <v>9821</v>
      </c>
      <c r="W336" s="168">
        <f t="shared" si="5"/>
        <v>-0.5499999999992724</v>
      </c>
    </row>
    <row r="337" spans="1:23">
      <c r="A337" s="168" t="s">
        <v>279</v>
      </c>
      <c r="B337" s="455" t="s">
        <v>1549</v>
      </c>
      <c r="C337" s="455" t="s">
        <v>590</v>
      </c>
      <c r="D337" s="168" t="s">
        <v>1990</v>
      </c>
      <c r="E337" s="150">
        <v>790.35</v>
      </c>
      <c r="F337" s="456">
        <v>900</v>
      </c>
      <c r="G337" s="168">
        <v>992.4</v>
      </c>
      <c r="H337" s="168">
        <v>993</v>
      </c>
      <c r="N337" s="168" t="s">
        <v>279</v>
      </c>
      <c r="O337" s="455" t="s">
        <v>1549</v>
      </c>
      <c r="P337" s="455" t="s">
        <v>590</v>
      </c>
      <c r="Q337" s="455">
        <v>856</v>
      </c>
      <c r="R337" s="455">
        <v>856</v>
      </c>
      <c r="S337" s="168">
        <v>1122.1300000000001</v>
      </c>
      <c r="T337" s="523">
        <v>1122</v>
      </c>
      <c r="W337" s="168">
        <f t="shared" si="5"/>
        <v>0.13000000000010914</v>
      </c>
    </row>
    <row r="338" spans="1:23">
      <c r="A338" s="168" t="s">
        <v>280</v>
      </c>
      <c r="B338" s="455" t="s">
        <v>1549</v>
      </c>
      <c r="C338" s="455" t="s">
        <v>590</v>
      </c>
      <c r="D338" s="168" t="s">
        <v>1990</v>
      </c>
      <c r="E338" s="150">
        <v>0</v>
      </c>
      <c r="F338" s="456">
        <v>0</v>
      </c>
      <c r="G338" s="168">
        <v>0</v>
      </c>
      <c r="H338" s="168">
        <v>0</v>
      </c>
      <c r="N338" s="168" t="s">
        <v>280</v>
      </c>
      <c r="O338" s="455" t="s">
        <v>1549</v>
      </c>
      <c r="P338" s="455" t="s">
        <v>590</v>
      </c>
      <c r="Q338" s="455">
        <v>1309</v>
      </c>
      <c r="R338" s="455">
        <v>1309</v>
      </c>
      <c r="S338" s="168">
        <v>532.27</v>
      </c>
      <c r="T338" s="523">
        <v>533</v>
      </c>
      <c r="W338" s="168">
        <f t="shared" si="5"/>
        <v>-0.73000000000001819</v>
      </c>
    </row>
    <row r="339" spans="1:23">
      <c r="A339" s="168" t="s">
        <v>281</v>
      </c>
      <c r="B339" s="455" t="s">
        <v>1549</v>
      </c>
      <c r="C339" s="455" t="s">
        <v>1807</v>
      </c>
      <c r="D339" s="168" t="s">
        <v>1990</v>
      </c>
      <c r="E339" s="150">
        <v>38.4</v>
      </c>
      <c r="F339" s="456">
        <v>40</v>
      </c>
      <c r="G339" s="168">
        <v>28.98</v>
      </c>
      <c r="H339" s="168">
        <v>29</v>
      </c>
      <c r="N339" s="168" t="s">
        <v>281</v>
      </c>
      <c r="O339" s="455" t="s">
        <v>1549</v>
      </c>
      <c r="P339" s="455" t="s">
        <v>1807</v>
      </c>
      <c r="Q339" s="455">
        <v>41</v>
      </c>
      <c r="R339" s="455">
        <v>41</v>
      </c>
      <c r="S339" s="168">
        <v>32.58</v>
      </c>
      <c r="T339" s="523">
        <v>33</v>
      </c>
      <c r="W339" s="168">
        <f t="shared" si="5"/>
        <v>-0.42000000000000171</v>
      </c>
    </row>
    <row r="340" spans="1:23">
      <c r="A340" s="168" t="s">
        <v>282</v>
      </c>
      <c r="B340" s="455" t="s">
        <v>1551</v>
      </c>
      <c r="C340" s="455" t="s">
        <v>592</v>
      </c>
      <c r="D340" s="168" t="s">
        <v>1990</v>
      </c>
      <c r="E340" s="150">
        <v>0</v>
      </c>
      <c r="F340" s="456">
        <v>139</v>
      </c>
      <c r="G340" s="168">
        <v>0</v>
      </c>
      <c r="H340" s="168">
        <v>0</v>
      </c>
      <c r="N340" s="168" t="s">
        <v>282</v>
      </c>
      <c r="O340" s="455" t="s">
        <v>1551</v>
      </c>
      <c r="P340" s="455" t="s">
        <v>592</v>
      </c>
      <c r="Q340" s="455">
        <v>351</v>
      </c>
      <c r="R340" s="455">
        <v>351</v>
      </c>
      <c r="S340" s="168">
        <v>0</v>
      </c>
      <c r="T340" s="523">
        <v>0</v>
      </c>
      <c r="W340" s="168">
        <f t="shared" si="5"/>
        <v>0</v>
      </c>
    </row>
    <row r="341" spans="1:23" ht="15.75" thickBot="1">
      <c r="A341" s="168" t="s">
        <v>283</v>
      </c>
      <c r="B341" s="455" t="s">
        <v>1553</v>
      </c>
      <c r="C341" s="455" t="s">
        <v>2322</v>
      </c>
      <c r="D341" s="168" t="s">
        <v>1990</v>
      </c>
      <c r="E341" s="150">
        <v>2573.96</v>
      </c>
      <c r="F341" s="456">
        <v>2600</v>
      </c>
      <c r="G341" s="168">
        <v>0</v>
      </c>
      <c r="H341" s="168">
        <v>0</v>
      </c>
      <c r="N341" s="168" t="s">
        <v>283</v>
      </c>
      <c r="O341" s="455" t="s">
        <v>1553</v>
      </c>
      <c r="P341" s="455" t="s">
        <v>2322</v>
      </c>
      <c r="Q341" s="455">
        <v>2831</v>
      </c>
      <c r="R341" s="455">
        <v>2831</v>
      </c>
      <c r="S341" s="168">
        <v>0</v>
      </c>
      <c r="T341" s="523">
        <v>0</v>
      </c>
      <c r="W341" s="168">
        <f t="shared" si="5"/>
        <v>0</v>
      </c>
    </row>
    <row r="342" spans="1:23" ht="16.5" thickTop="1" thickBot="1">
      <c r="A342" s="554" t="s">
        <v>2668</v>
      </c>
      <c r="B342" s="555"/>
      <c r="C342" s="555"/>
      <c r="D342" s="556"/>
      <c r="E342" s="560">
        <f>SUM(E331:E341)</f>
        <v>69142.22</v>
      </c>
      <c r="F342" s="560">
        <f>SUM(F331:F341)</f>
        <v>120620</v>
      </c>
      <c r="G342" s="560">
        <f>SUM(G331:G341)</f>
        <v>112423.93</v>
      </c>
      <c r="H342" s="560">
        <f>SUM(H331:H341)</f>
        <v>112425</v>
      </c>
      <c r="N342" s="554" t="s">
        <v>2668</v>
      </c>
      <c r="O342" s="555"/>
      <c r="P342" s="555"/>
      <c r="Q342" s="555">
        <f>SUM(Q331:Q341)</f>
        <v>189179</v>
      </c>
      <c r="R342" s="555">
        <f>SUM(R331:R341)</f>
        <v>189179</v>
      </c>
      <c r="S342" s="560">
        <f>SUM(S331:S341)</f>
        <v>132641.06999999998</v>
      </c>
      <c r="T342" s="558">
        <f>SUM(T331:T341)</f>
        <v>132644</v>
      </c>
      <c r="U342" s="603">
        <f>SUM(S342)</f>
        <v>132641.06999999998</v>
      </c>
      <c r="V342" s="603">
        <f>SUM(T342)</f>
        <v>132644</v>
      </c>
      <c r="W342" s="168">
        <f t="shared" si="5"/>
        <v>-2.9300000000221189</v>
      </c>
    </row>
    <row r="343" spans="1:23" ht="15.75" thickTop="1">
      <c r="B343" s="455"/>
      <c r="E343" s="150"/>
      <c r="O343" s="455"/>
      <c r="P343" s="455"/>
      <c r="Q343" s="455"/>
      <c r="R343" s="455"/>
      <c r="T343" s="523"/>
      <c r="W343" s="168">
        <f t="shared" si="5"/>
        <v>0</v>
      </c>
    </row>
    <row r="344" spans="1:23">
      <c r="A344" s="168" t="s">
        <v>2703</v>
      </c>
      <c r="B344" s="455" t="s">
        <v>27</v>
      </c>
      <c r="C344" s="455" t="s">
        <v>1021</v>
      </c>
      <c r="D344" s="168" t="s">
        <v>1568</v>
      </c>
      <c r="E344" s="150">
        <v>-500000</v>
      </c>
      <c r="F344" s="456">
        <v>-500000</v>
      </c>
      <c r="G344" s="168">
        <v>0</v>
      </c>
      <c r="H344" s="168">
        <v>0</v>
      </c>
      <c r="N344" s="168" t="s">
        <v>2703</v>
      </c>
      <c r="O344" s="455" t="s">
        <v>27</v>
      </c>
      <c r="P344" s="455" t="s">
        <v>1021</v>
      </c>
      <c r="Q344" s="455">
        <v>-735000</v>
      </c>
      <c r="R344" s="455">
        <v>-735000</v>
      </c>
      <c r="S344" s="168">
        <v>-735000</v>
      </c>
      <c r="T344" s="523">
        <v>-735000</v>
      </c>
      <c r="W344" s="168">
        <f t="shared" si="5"/>
        <v>0</v>
      </c>
    </row>
    <row r="345" spans="1:23" ht="15.75" thickBot="1">
      <c r="A345" s="168" t="s">
        <v>285</v>
      </c>
      <c r="B345" s="455" t="s">
        <v>28</v>
      </c>
      <c r="C345" s="455" t="s">
        <v>568</v>
      </c>
      <c r="D345" s="168" t="s">
        <v>1568</v>
      </c>
      <c r="E345" s="150">
        <v>-734000</v>
      </c>
      <c r="F345" s="456">
        <v>-734000</v>
      </c>
      <c r="G345" s="168">
        <v>-735000</v>
      </c>
      <c r="H345" s="168">
        <v>-735000</v>
      </c>
      <c r="N345" s="168" t="s">
        <v>285</v>
      </c>
      <c r="O345" s="455" t="s">
        <v>28</v>
      </c>
      <c r="P345" s="455" t="s">
        <v>568</v>
      </c>
      <c r="Q345" s="455"/>
      <c r="R345" s="455"/>
      <c r="S345" s="168">
        <v>0</v>
      </c>
      <c r="T345" s="523">
        <v>0</v>
      </c>
      <c r="W345" s="168">
        <f t="shared" si="5"/>
        <v>0</v>
      </c>
    </row>
    <row r="346" spans="1:23" ht="16.5" thickTop="1" thickBot="1">
      <c r="A346" s="554" t="s">
        <v>2668</v>
      </c>
      <c r="B346" s="555"/>
      <c r="C346" s="555"/>
      <c r="D346" s="556"/>
      <c r="E346" s="560">
        <f>SUM(E344:E345)</f>
        <v>-1234000</v>
      </c>
      <c r="F346" s="560">
        <f>SUM(F344:F345)</f>
        <v>-1234000</v>
      </c>
      <c r="G346" s="560">
        <f>SUM(G344:G345)</f>
        <v>-735000</v>
      </c>
      <c r="H346" s="560">
        <f>SUM(H344:H345)</f>
        <v>-735000</v>
      </c>
      <c r="I346" s="168">
        <v>735000</v>
      </c>
      <c r="N346" s="554" t="s">
        <v>2668</v>
      </c>
      <c r="O346" s="555"/>
      <c r="P346" s="555"/>
      <c r="Q346" s="555">
        <f>SUM(Q344:Q345)</f>
        <v>-735000</v>
      </c>
      <c r="R346" s="555">
        <f>SUM(R344:R345)</f>
        <v>-735000</v>
      </c>
      <c r="S346" s="560">
        <f>SUM(S344:S345)</f>
        <v>-735000</v>
      </c>
      <c r="T346" s="558">
        <f>SUM(T344:T345)</f>
        <v>-735000</v>
      </c>
      <c r="U346" s="168">
        <f>SUM(S346)</f>
        <v>-735000</v>
      </c>
      <c r="V346" s="168">
        <f>SUM(T346)</f>
        <v>-735000</v>
      </c>
      <c r="W346" s="168">
        <f t="shared" si="5"/>
        <v>0</v>
      </c>
    </row>
    <row r="347" spans="1:23" ht="15.75" thickTop="1">
      <c r="B347" s="455"/>
      <c r="E347" s="150"/>
      <c r="O347" s="455"/>
      <c r="P347" s="455"/>
      <c r="Q347" s="455"/>
      <c r="R347" s="455"/>
      <c r="T347" s="523"/>
      <c r="W347" s="168">
        <f t="shared" si="5"/>
        <v>0</v>
      </c>
    </row>
    <row r="348" spans="1:23">
      <c r="A348" s="168" t="s">
        <v>286</v>
      </c>
      <c r="B348" s="455" t="s">
        <v>1549</v>
      </c>
      <c r="C348" s="455" t="s">
        <v>75</v>
      </c>
      <c r="D348" s="168" t="s">
        <v>1568</v>
      </c>
      <c r="E348" s="150">
        <v>140833.68</v>
      </c>
      <c r="F348" s="456">
        <v>141000</v>
      </c>
      <c r="G348" s="168">
        <v>152578.07999999999</v>
      </c>
      <c r="H348" s="168">
        <v>152578</v>
      </c>
      <c r="N348" s="168" t="s">
        <v>286</v>
      </c>
      <c r="O348" s="455" t="s">
        <v>1549</v>
      </c>
      <c r="P348" s="455" t="s">
        <v>75</v>
      </c>
      <c r="Q348" s="455">
        <v>166310</v>
      </c>
      <c r="R348" s="455">
        <v>166310</v>
      </c>
      <c r="S348" s="168">
        <v>172413.24</v>
      </c>
      <c r="T348" s="523">
        <v>172413</v>
      </c>
      <c r="W348" s="168">
        <f t="shared" si="5"/>
        <v>0.23999999999068677</v>
      </c>
    </row>
    <row r="349" spans="1:23">
      <c r="A349" s="168" t="s">
        <v>287</v>
      </c>
      <c r="B349" s="455" t="s">
        <v>1549</v>
      </c>
      <c r="C349" s="455" t="s">
        <v>77</v>
      </c>
      <c r="D349" s="168" t="s">
        <v>1568</v>
      </c>
      <c r="E349" s="150">
        <v>0</v>
      </c>
      <c r="F349" s="456">
        <v>0</v>
      </c>
      <c r="G349" s="168">
        <v>4939.96</v>
      </c>
      <c r="H349" s="168">
        <v>4940</v>
      </c>
      <c r="N349" s="168" t="s">
        <v>287</v>
      </c>
      <c r="O349" s="455" t="s">
        <v>1549</v>
      </c>
      <c r="P349" s="455" t="s">
        <v>77</v>
      </c>
      <c r="Q349" s="455">
        <v>10000</v>
      </c>
      <c r="R349" s="455">
        <v>10000</v>
      </c>
      <c r="S349" s="168">
        <v>0</v>
      </c>
      <c r="T349" s="523">
        <v>0</v>
      </c>
      <c r="W349" s="168">
        <f t="shared" si="5"/>
        <v>0</v>
      </c>
    </row>
    <row r="350" spans="1:23">
      <c r="A350" s="168" t="s">
        <v>288</v>
      </c>
      <c r="B350" s="455" t="s">
        <v>1549</v>
      </c>
      <c r="C350" s="455" t="s">
        <v>60</v>
      </c>
      <c r="D350" s="168" t="s">
        <v>1568</v>
      </c>
      <c r="E350" s="150">
        <v>11740.39</v>
      </c>
      <c r="F350" s="456">
        <v>11840</v>
      </c>
      <c r="G350" s="168">
        <v>12714.84</v>
      </c>
      <c r="H350" s="168">
        <v>12715</v>
      </c>
      <c r="N350" s="168" t="s">
        <v>288</v>
      </c>
      <c r="O350" s="455" t="s">
        <v>1549</v>
      </c>
      <c r="P350" s="455" t="s">
        <v>60</v>
      </c>
      <c r="Q350" s="455">
        <v>13859</v>
      </c>
      <c r="R350" s="455">
        <v>13859</v>
      </c>
      <c r="S350" s="168">
        <v>14049.9</v>
      </c>
      <c r="T350" s="523">
        <v>14049</v>
      </c>
      <c r="W350" s="168">
        <f t="shared" si="5"/>
        <v>0.8999999999996362</v>
      </c>
    </row>
    <row r="351" spans="1:23">
      <c r="A351" s="168" t="s">
        <v>289</v>
      </c>
      <c r="B351" s="455" t="s">
        <v>1549</v>
      </c>
      <c r="C351" s="455" t="s">
        <v>767</v>
      </c>
      <c r="D351" s="168" t="s">
        <v>1568</v>
      </c>
      <c r="E351" s="150">
        <v>0</v>
      </c>
      <c r="F351" s="456">
        <v>0</v>
      </c>
      <c r="G351" s="168">
        <v>0</v>
      </c>
      <c r="H351" s="168">
        <v>0</v>
      </c>
      <c r="N351" s="168" t="s">
        <v>289</v>
      </c>
      <c r="O351" s="455" t="s">
        <v>1549</v>
      </c>
      <c r="P351" s="455" t="s">
        <v>767</v>
      </c>
      <c r="Q351" s="455">
        <v>8244</v>
      </c>
      <c r="R351" s="455">
        <v>8244</v>
      </c>
      <c r="S351" s="168">
        <v>0</v>
      </c>
      <c r="T351" s="523">
        <v>0</v>
      </c>
      <c r="W351" s="168">
        <f t="shared" si="5"/>
        <v>0</v>
      </c>
    </row>
    <row r="352" spans="1:23">
      <c r="A352" s="168" t="s">
        <v>290</v>
      </c>
      <c r="B352" s="455" t="s">
        <v>1549</v>
      </c>
      <c r="C352" s="455" t="s">
        <v>84</v>
      </c>
      <c r="D352" s="168" t="s">
        <v>1568</v>
      </c>
      <c r="E352" s="150">
        <v>44295</v>
      </c>
      <c r="F352" s="456">
        <v>44295</v>
      </c>
      <c r="G352" s="168">
        <v>49618</v>
      </c>
      <c r="H352" s="168">
        <v>49618</v>
      </c>
      <c r="N352" s="168" t="s">
        <v>290</v>
      </c>
      <c r="O352" s="455" t="s">
        <v>1549</v>
      </c>
      <c r="P352" s="455" t="s">
        <v>84</v>
      </c>
      <c r="Q352" s="455">
        <v>44295</v>
      </c>
      <c r="R352" s="455">
        <v>44295</v>
      </c>
      <c r="S352" s="168">
        <v>47668.06</v>
      </c>
      <c r="T352" s="523">
        <v>47668</v>
      </c>
      <c r="W352" s="168">
        <f t="shared" si="5"/>
        <v>5.9999999997671694E-2</v>
      </c>
    </row>
    <row r="353" spans="1:23">
      <c r="A353" s="168" t="s">
        <v>291</v>
      </c>
      <c r="B353" s="455" t="s">
        <v>1549</v>
      </c>
      <c r="C353" s="455" t="s">
        <v>575</v>
      </c>
      <c r="D353" s="168" t="s">
        <v>1568</v>
      </c>
      <c r="E353" s="150">
        <v>8902.7999999999993</v>
      </c>
      <c r="F353" s="456">
        <v>9000</v>
      </c>
      <c r="G353" s="168">
        <v>9871.2000000000007</v>
      </c>
      <c r="H353" s="168">
        <v>9871</v>
      </c>
      <c r="N353" s="168" t="s">
        <v>291</v>
      </c>
      <c r="O353" s="455" t="s">
        <v>1549</v>
      </c>
      <c r="P353" s="455" t="s">
        <v>575</v>
      </c>
      <c r="Q353" s="455">
        <v>24842</v>
      </c>
      <c r="R353" s="455">
        <v>24842</v>
      </c>
      <c r="S353" s="168">
        <v>10929.6</v>
      </c>
      <c r="T353" s="523">
        <v>10930</v>
      </c>
      <c r="W353" s="168">
        <f t="shared" si="5"/>
        <v>-0.3999999999996362</v>
      </c>
    </row>
    <row r="354" spans="1:23">
      <c r="A354" s="168" t="s">
        <v>292</v>
      </c>
      <c r="B354" s="455" t="s">
        <v>1549</v>
      </c>
      <c r="C354" s="455" t="s">
        <v>575</v>
      </c>
      <c r="D354" s="168" t="s">
        <v>1568</v>
      </c>
      <c r="E354" s="150">
        <v>30994.68</v>
      </c>
      <c r="F354" s="456">
        <v>31000</v>
      </c>
      <c r="G354" s="168">
        <v>33567.120000000003</v>
      </c>
      <c r="H354" s="168">
        <v>33567</v>
      </c>
      <c r="N354" s="168" t="s">
        <v>292</v>
      </c>
      <c r="O354" s="455" t="s">
        <v>1549</v>
      </c>
      <c r="P354" s="455" t="s">
        <v>575</v>
      </c>
      <c r="Q354" s="455">
        <v>36588</v>
      </c>
      <c r="R354" s="455">
        <v>36588</v>
      </c>
      <c r="S354" s="168">
        <v>37091.75</v>
      </c>
      <c r="T354" s="523">
        <v>37091</v>
      </c>
      <c r="W354" s="168">
        <f t="shared" si="5"/>
        <v>0.75</v>
      </c>
    </row>
    <row r="355" spans="1:23">
      <c r="A355" s="168" t="s">
        <v>293</v>
      </c>
      <c r="B355" s="455" t="s">
        <v>1549</v>
      </c>
      <c r="C355" s="455" t="s">
        <v>575</v>
      </c>
      <c r="D355" s="168" t="s">
        <v>1568</v>
      </c>
      <c r="E355" s="150">
        <v>1472.88</v>
      </c>
      <c r="F355" s="456">
        <v>1500</v>
      </c>
      <c r="G355" s="168">
        <v>1497.36</v>
      </c>
      <c r="H355" s="168">
        <v>1497</v>
      </c>
      <c r="N355" s="168" t="s">
        <v>293</v>
      </c>
      <c r="O355" s="455" t="s">
        <v>1549</v>
      </c>
      <c r="P355" s="455" t="s">
        <v>575</v>
      </c>
      <c r="Q355" s="455">
        <v>1663</v>
      </c>
      <c r="R355" s="455">
        <v>1663</v>
      </c>
      <c r="S355" s="168">
        <v>1497.36</v>
      </c>
      <c r="T355" s="523">
        <v>1498</v>
      </c>
      <c r="W355" s="168">
        <f t="shared" si="5"/>
        <v>-0.64000000000010004</v>
      </c>
    </row>
    <row r="356" spans="1:23">
      <c r="A356" s="168" t="s">
        <v>294</v>
      </c>
      <c r="B356" s="455" t="s">
        <v>1549</v>
      </c>
      <c r="C356" s="455" t="s">
        <v>575</v>
      </c>
      <c r="D356" s="168" t="s">
        <v>1568</v>
      </c>
      <c r="E356" s="150">
        <v>2141.4</v>
      </c>
      <c r="F356" s="456">
        <v>2200</v>
      </c>
      <c r="G356" s="168">
        <v>2319.2399999999998</v>
      </c>
      <c r="H356" s="168">
        <v>2319</v>
      </c>
      <c r="N356" s="168" t="s">
        <v>294</v>
      </c>
      <c r="O356" s="455" t="s">
        <v>1549</v>
      </c>
      <c r="P356" s="455" t="s">
        <v>575</v>
      </c>
      <c r="Q356" s="455">
        <v>2545</v>
      </c>
      <c r="R356" s="455">
        <v>2545</v>
      </c>
      <c r="S356" s="168">
        <v>2542.4299999999998</v>
      </c>
      <c r="T356" s="523">
        <v>2543</v>
      </c>
      <c r="W356" s="168">
        <f t="shared" si="5"/>
        <v>-0.57000000000016371</v>
      </c>
    </row>
    <row r="357" spans="1:23">
      <c r="A357" s="168" t="s">
        <v>1139</v>
      </c>
      <c r="B357" s="455" t="s">
        <v>1549</v>
      </c>
      <c r="C357" s="455" t="s">
        <v>1807</v>
      </c>
      <c r="D357" s="168" t="s">
        <v>1568</v>
      </c>
      <c r="E357" s="150">
        <v>38.4</v>
      </c>
      <c r="F357" s="456">
        <v>40</v>
      </c>
      <c r="G357" s="168">
        <v>41.4</v>
      </c>
      <c r="H357" s="168">
        <v>41</v>
      </c>
      <c r="N357" s="168" t="s">
        <v>1139</v>
      </c>
      <c r="O357" s="455" t="s">
        <v>1549</v>
      </c>
      <c r="P357" s="455" t="s">
        <v>1807</v>
      </c>
      <c r="Q357" s="455">
        <v>41</v>
      </c>
      <c r="R357" s="455">
        <v>41</v>
      </c>
      <c r="S357" s="168">
        <v>45</v>
      </c>
      <c r="T357" s="523">
        <v>45</v>
      </c>
      <c r="W357" s="168">
        <f t="shared" si="5"/>
        <v>0</v>
      </c>
    </row>
    <row r="358" spans="1:23">
      <c r="A358" s="168" t="s">
        <v>1140</v>
      </c>
      <c r="B358" s="455" t="s">
        <v>1551</v>
      </c>
      <c r="C358" s="455" t="s">
        <v>592</v>
      </c>
      <c r="D358" s="168" t="s">
        <v>1568</v>
      </c>
      <c r="E358" s="150">
        <v>0</v>
      </c>
      <c r="F358" s="456">
        <v>2599</v>
      </c>
      <c r="G358" s="168">
        <v>0</v>
      </c>
      <c r="H358" s="168">
        <v>0</v>
      </c>
      <c r="N358" s="168" t="s">
        <v>1140</v>
      </c>
      <c r="O358" s="455" t="s">
        <v>1551</v>
      </c>
      <c r="P358" s="455" t="s">
        <v>592</v>
      </c>
      <c r="Q358" s="455">
        <v>515312</v>
      </c>
      <c r="R358" s="455">
        <v>515312</v>
      </c>
      <c r="S358" s="168">
        <v>1273518.8999999999</v>
      </c>
      <c r="T358" s="523">
        <v>515312</v>
      </c>
      <c r="W358" s="462">
        <f t="shared" si="5"/>
        <v>758206.89999999991</v>
      </c>
    </row>
    <row r="359" spans="1:23">
      <c r="A359" s="168" t="s">
        <v>1141</v>
      </c>
      <c r="B359" s="455" t="s">
        <v>1552</v>
      </c>
      <c r="C359" s="455" t="s">
        <v>1142</v>
      </c>
      <c r="D359" s="168" t="s">
        <v>1568</v>
      </c>
      <c r="E359" s="150">
        <v>18517.95</v>
      </c>
      <c r="F359" s="456">
        <v>20020</v>
      </c>
      <c r="G359" s="168">
        <v>16809.41</v>
      </c>
      <c r="H359" s="168">
        <v>16809</v>
      </c>
      <c r="N359" s="168" t="s">
        <v>1141</v>
      </c>
      <c r="O359" s="455" t="s">
        <v>1552</v>
      </c>
      <c r="P359" s="455" t="s">
        <v>1142</v>
      </c>
      <c r="Q359" s="455">
        <v>18518</v>
      </c>
      <c r="R359" s="455">
        <v>10000</v>
      </c>
      <c r="S359" s="168">
        <v>14385.51</v>
      </c>
      <c r="T359" s="523">
        <v>16283</v>
      </c>
      <c r="W359" s="168">
        <f t="shared" si="5"/>
        <v>-1897.4899999999998</v>
      </c>
    </row>
    <row r="360" spans="1:23">
      <c r="B360" s="455"/>
      <c r="E360" s="150"/>
      <c r="N360" s="168" t="s">
        <v>3725</v>
      </c>
      <c r="O360" s="455"/>
      <c r="P360" s="455"/>
      <c r="Q360" s="455">
        <v>2625</v>
      </c>
      <c r="R360" s="455"/>
      <c r="T360" s="523"/>
      <c r="W360" s="168">
        <f t="shared" si="5"/>
        <v>0</v>
      </c>
    </row>
    <row r="361" spans="1:23">
      <c r="A361" s="168" t="s">
        <v>1143</v>
      </c>
      <c r="B361" s="455" t="s">
        <v>1553</v>
      </c>
      <c r="C361" s="455" t="s">
        <v>612</v>
      </c>
      <c r="D361" s="168" t="s">
        <v>1568</v>
      </c>
      <c r="E361" s="150">
        <v>250</v>
      </c>
      <c r="F361" s="456">
        <v>250</v>
      </c>
      <c r="G361" s="168">
        <v>280384.13</v>
      </c>
      <c r="H361" s="168">
        <v>280384</v>
      </c>
      <c r="N361" s="168" t="s">
        <v>1143</v>
      </c>
      <c r="O361" s="455" t="s">
        <v>1553</v>
      </c>
      <c r="P361" s="455" t="s">
        <v>612</v>
      </c>
      <c r="Q361" s="455">
        <v>33873</v>
      </c>
      <c r="R361" s="455">
        <v>10000</v>
      </c>
      <c r="S361" s="168">
        <v>166</v>
      </c>
      <c r="T361" s="523">
        <v>167</v>
      </c>
      <c r="W361" s="168">
        <f t="shared" si="5"/>
        <v>-1</v>
      </c>
    </row>
    <row r="362" spans="1:23">
      <c r="A362" s="168" t="s">
        <v>1144</v>
      </c>
      <c r="B362" s="455" t="s">
        <v>1553</v>
      </c>
      <c r="C362" s="455" t="s">
        <v>99</v>
      </c>
      <c r="D362" s="168" t="s">
        <v>1568</v>
      </c>
      <c r="E362" s="150">
        <v>862585.77</v>
      </c>
      <c r="F362" s="456">
        <v>1196366</v>
      </c>
      <c r="G362" s="168">
        <v>275560.19</v>
      </c>
      <c r="H362" s="168">
        <v>179980</v>
      </c>
      <c r="N362" s="168" t="s">
        <v>1144</v>
      </c>
      <c r="O362" s="455" t="s">
        <v>1553</v>
      </c>
      <c r="P362" s="455" t="s">
        <v>99</v>
      </c>
      <c r="Q362" s="455">
        <v>767336</v>
      </c>
      <c r="R362" s="455">
        <v>300000</v>
      </c>
      <c r="S362" s="168">
        <v>443424.65</v>
      </c>
      <c r="T362" s="523">
        <v>443424</v>
      </c>
      <c r="W362" s="168">
        <f t="shared" si="5"/>
        <v>0.65000000002328306</v>
      </c>
    </row>
    <row r="363" spans="1:23">
      <c r="A363" s="168" t="s">
        <v>1145</v>
      </c>
      <c r="B363" s="455" t="s">
        <v>1553</v>
      </c>
      <c r="C363" s="455" t="s">
        <v>190</v>
      </c>
      <c r="D363" s="168" t="s">
        <v>1568</v>
      </c>
      <c r="E363" s="150">
        <v>181641.19</v>
      </c>
      <c r="F363" s="456">
        <v>182000</v>
      </c>
      <c r="G363" s="168">
        <v>289115.05</v>
      </c>
      <c r="H363" s="168">
        <v>289115</v>
      </c>
      <c r="N363" s="168" t="s">
        <v>1145</v>
      </c>
      <c r="O363" s="455" t="s">
        <v>1553</v>
      </c>
      <c r="P363" s="455" t="s">
        <v>190</v>
      </c>
      <c r="Q363" s="455">
        <v>144181</v>
      </c>
      <c r="R363" s="455">
        <v>87000</v>
      </c>
      <c r="S363" s="168">
        <v>94581.62</v>
      </c>
      <c r="T363" s="523">
        <v>95438</v>
      </c>
      <c r="W363" s="168">
        <f t="shared" si="5"/>
        <v>-856.38000000000466</v>
      </c>
    </row>
    <row r="364" spans="1:23">
      <c r="A364" s="168" t="s">
        <v>1146</v>
      </c>
      <c r="B364" s="455" t="s">
        <v>1553</v>
      </c>
      <c r="C364" s="455" t="s">
        <v>1147</v>
      </c>
      <c r="D364" s="168" t="s">
        <v>1568</v>
      </c>
      <c r="E364" s="150">
        <v>0</v>
      </c>
      <c r="F364" s="456">
        <v>0</v>
      </c>
      <c r="G364" s="168">
        <v>1401.84</v>
      </c>
      <c r="H364" s="168">
        <v>1401</v>
      </c>
      <c r="N364" s="168" t="s">
        <v>1146</v>
      </c>
      <c r="O364" s="455" t="s">
        <v>1553</v>
      </c>
      <c r="P364" s="455" t="s">
        <v>1147</v>
      </c>
      <c r="Q364" s="455">
        <v>22860</v>
      </c>
      <c r="R364" s="455">
        <v>22860</v>
      </c>
      <c r="S364" s="168">
        <v>268532.88</v>
      </c>
      <c r="T364" s="523">
        <v>511862</v>
      </c>
      <c r="W364" s="168">
        <f t="shared" si="5"/>
        <v>-243329.12</v>
      </c>
    </row>
    <row r="365" spans="1:23">
      <c r="A365" s="168" t="s">
        <v>1148</v>
      </c>
      <c r="B365" s="455" t="s">
        <v>1553</v>
      </c>
      <c r="C365" s="455" t="s">
        <v>1149</v>
      </c>
      <c r="D365" s="168" t="s">
        <v>1568</v>
      </c>
      <c r="E365" s="150">
        <v>105213.69</v>
      </c>
      <c r="F365" s="456">
        <v>106000</v>
      </c>
      <c r="G365" s="168">
        <v>172786.65</v>
      </c>
      <c r="H365" s="168">
        <v>172787</v>
      </c>
      <c r="N365" s="168" t="s">
        <v>1148</v>
      </c>
      <c r="O365" s="455" t="s">
        <v>1553</v>
      </c>
      <c r="P365" s="455" t="s">
        <v>1149</v>
      </c>
      <c r="Q365" s="455">
        <v>1413947</v>
      </c>
      <c r="R365" s="455">
        <v>1413947</v>
      </c>
      <c r="S365" s="168">
        <f>-532134.27+237738.64+294395.63</f>
        <v>0</v>
      </c>
      <c r="T365" s="523">
        <v>783341</v>
      </c>
      <c r="W365" s="462">
        <f t="shared" si="5"/>
        <v>-783341</v>
      </c>
    </row>
    <row r="366" spans="1:23">
      <c r="A366" s="168" t="s">
        <v>1150</v>
      </c>
      <c r="B366" s="455" t="s">
        <v>1553</v>
      </c>
      <c r="C366" s="455" t="s">
        <v>50</v>
      </c>
      <c r="D366" s="168" t="s">
        <v>1568</v>
      </c>
      <c r="E366" s="150">
        <v>15385.03</v>
      </c>
      <c r="F366" s="456">
        <v>18750</v>
      </c>
      <c r="G366" s="168">
        <v>15200.25</v>
      </c>
      <c r="H366" s="168">
        <v>15200</v>
      </c>
      <c r="N366" s="168" t="s">
        <v>1150</v>
      </c>
      <c r="O366" s="455" t="s">
        <v>1553</v>
      </c>
      <c r="P366" s="455" t="s">
        <v>50</v>
      </c>
      <c r="Q366" s="455">
        <v>25000</v>
      </c>
      <c r="R366" s="455">
        <v>5000</v>
      </c>
      <c r="S366" s="168">
        <v>1195.33</v>
      </c>
      <c r="T366" s="523">
        <v>1196</v>
      </c>
      <c r="W366" s="168">
        <f t="shared" si="5"/>
        <v>-0.67000000000007276</v>
      </c>
    </row>
    <row r="367" spans="1:23">
      <c r="A367" s="168" t="s">
        <v>1151</v>
      </c>
      <c r="B367" s="455" t="s">
        <v>1553</v>
      </c>
      <c r="C367" s="455" t="s">
        <v>52</v>
      </c>
      <c r="D367" s="168" t="s">
        <v>1568</v>
      </c>
      <c r="E367" s="150">
        <v>9097.61</v>
      </c>
      <c r="F367" s="456">
        <v>16000</v>
      </c>
      <c r="G367" s="168">
        <v>0</v>
      </c>
      <c r="H367" s="168">
        <v>0</v>
      </c>
      <c r="N367" s="168" t="s">
        <v>1151</v>
      </c>
      <c r="O367" s="455" t="s">
        <v>1553</v>
      </c>
      <c r="P367" s="455" t="s">
        <v>52</v>
      </c>
      <c r="Q367" s="455">
        <v>29796</v>
      </c>
      <c r="R367" s="455">
        <v>3708</v>
      </c>
      <c r="S367" s="168">
        <v>0</v>
      </c>
      <c r="T367" s="523">
        <v>0</v>
      </c>
      <c r="W367" s="168">
        <f t="shared" si="5"/>
        <v>0</v>
      </c>
    </row>
    <row r="368" spans="1:23">
      <c r="B368" s="455"/>
      <c r="E368" s="150"/>
      <c r="N368" s="168" t="s">
        <v>3726</v>
      </c>
      <c r="O368" s="455"/>
      <c r="P368" s="455"/>
      <c r="Q368" s="455">
        <v>3708</v>
      </c>
      <c r="R368" s="455">
        <v>5000</v>
      </c>
      <c r="T368" s="523"/>
      <c r="W368" s="168">
        <f t="shared" si="5"/>
        <v>0</v>
      </c>
    </row>
    <row r="369" spans="1:24">
      <c r="A369" s="168" t="s">
        <v>2704</v>
      </c>
      <c r="B369" s="455"/>
      <c r="E369" s="150"/>
      <c r="G369" s="168">
        <v>22.06</v>
      </c>
      <c r="H369" s="168">
        <v>23</v>
      </c>
      <c r="N369" s="168" t="s">
        <v>2704</v>
      </c>
      <c r="O369" s="455"/>
      <c r="P369" s="455"/>
      <c r="Q369" s="455"/>
      <c r="R369" s="455"/>
      <c r="S369" s="168">
        <v>20386.37</v>
      </c>
      <c r="T369" s="523">
        <v>20386</v>
      </c>
      <c r="W369" s="168">
        <f t="shared" si="5"/>
        <v>0.36999999999898137</v>
      </c>
    </row>
    <row r="370" spans="1:24">
      <c r="A370" s="168" t="s">
        <v>2705</v>
      </c>
      <c r="B370" s="455"/>
      <c r="E370" s="150"/>
      <c r="G370" s="168">
        <v>735000</v>
      </c>
      <c r="H370" s="168">
        <v>735000</v>
      </c>
      <c r="N370" s="168" t="s">
        <v>2705</v>
      </c>
      <c r="O370" s="455"/>
      <c r="P370" s="455"/>
      <c r="Q370" s="455"/>
      <c r="R370" s="455"/>
      <c r="S370" s="168">
        <v>735000</v>
      </c>
      <c r="T370" s="523">
        <v>735000</v>
      </c>
      <c r="W370" s="168">
        <f t="shared" si="5"/>
        <v>0</v>
      </c>
    </row>
    <row r="371" spans="1:24" ht="15.75" thickBot="1">
      <c r="A371" s="168" t="s">
        <v>1152</v>
      </c>
      <c r="B371" s="455" t="s">
        <v>1553</v>
      </c>
      <c r="C371" s="455" t="s">
        <v>1153</v>
      </c>
      <c r="D371" s="168" t="s">
        <v>1568</v>
      </c>
      <c r="E371" s="150">
        <v>0</v>
      </c>
      <c r="F371" s="456">
        <v>0</v>
      </c>
      <c r="G371" s="168">
        <v>0</v>
      </c>
      <c r="H371" s="168">
        <v>0</v>
      </c>
      <c r="N371" s="168" t="s">
        <v>1152</v>
      </c>
      <c r="O371" s="455" t="s">
        <v>1553</v>
      </c>
      <c r="P371" s="455" t="s">
        <v>1153</v>
      </c>
      <c r="Q371" s="455"/>
      <c r="R371" s="455"/>
      <c r="S371" s="168">
        <v>0</v>
      </c>
      <c r="T371" s="523">
        <v>0</v>
      </c>
      <c r="W371" s="168">
        <f t="shared" si="5"/>
        <v>0</v>
      </c>
    </row>
    <row r="372" spans="1:24" ht="16.5" thickTop="1" thickBot="1">
      <c r="A372" s="554" t="s">
        <v>2668</v>
      </c>
      <c r="B372" s="555"/>
      <c r="C372" s="555"/>
      <c r="D372" s="556"/>
      <c r="E372" s="560">
        <f>SUM(E348:E371)</f>
        <v>1433110.47</v>
      </c>
      <c r="F372" s="560">
        <f>SUM(F348:F371)</f>
        <v>1782860</v>
      </c>
      <c r="G372" s="560">
        <f>SUM(G348:G371)</f>
        <v>2053426.78</v>
      </c>
      <c r="H372" s="560">
        <f>SUM(H348:H371)</f>
        <v>1957845</v>
      </c>
      <c r="N372" s="554" t="s">
        <v>2668</v>
      </c>
      <c r="O372" s="555"/>
      <c r="P372" s="555"/>
      <c r="Q372" s="555">
        <f>SUM(Q348:Q371)</f>
        <v>3285543</v>
      </c>
      <c r="R372" s="555">
        <f>SUM(R348:R371)</f>
        <v>2681214</v>
      </c>
      <c r="S372" s="560">
        <f>SUM(S348:S371)</f>
        <v>3137428.6</v>
      </c>
      <c r="T372" s="558">
        <f>SUM(T348:T371)</f>
        <v>3408646</v>
      </c>
      <c r="U372" s="168">
        <f>SUM(S372)</f>
        <v>3137428.6</v>
      </c>
      <c r="V372" s="168">
        <f>SUM(T372)</f>
        <v>3408646</v>
      </c>
      <c r="W372" s="168">
        <f t="shared" si="5"/>
        <v>-271217.39999999991</v>
      </c>
    </row>
    <row r="373" spans="1:24" ht="15.75" thickTop="1">
      <c r="B373" s="455"/>
      <c r="E373" s="150"/>
      <c r="O373" s="455"/>
      <c r="P373" s="455"/>
      <c r="Q373" s="455"/>
      <c r="R373" s="455"/>
      <c r="T373" s="523"/>
      <c r="U373" s="462">
        <f>SUM(U346:U372)</f>
        <v>2402428.6</v>
      </c>
      <c r="V373" s="168">
        <f>SUM(V346:V372)</f>
        <v>2673646</v>
      </c>
      <c r="W373" s="168">
        <f t="shared" si="5"/>
        <v>0</v>
      </c>
      <c r="X373" s="168">
        <f>2304538.74-2304351.48</f>
        <v>187.26000000024214</v>
      </c>
    </row>
    <row r="374" spans="1:24">
      <c r="A374" s="168" t="s">
        <v>1154</v>
      </c>
      <c r="B374" s="455" t="s">
        <v>1549</v>
      </c>
      <c r="C374" s="455" t="s">
        <v>75</v>
      </c>
      <c r="D374" s="168" t="s">
        <v>1229</v>
      </c>
      <c r="E374" s="150">
        <v>176421.36</v>
      </c>
      <c r="F374" s="456">
        <v>177000</v>
      </c>
      <c r="G374" s="168">
        <v>31853.26</v>
      </c>
      <c r="H374" s="168">
        <v>31853</v>
      </c>
      <c r="N374" s="168" t="s">
        <v>1154</v>
      </c>
      <c r="O374" s="455" t="s">
        <v>1549</v>
      </c>
      <c r="P374" s="455" t="s">
        <v>75</v>
      </c>
      <c r="Q374" s="455">
        <v>134181</v>
      </c>
      <c r="R374" s="455"/>
      <c r="S374" s="168">
        <v>0</v>
      </c>
      <c r="T374" s="523">
        <v>0</v>
      </c>
      <c r="W374" s="168">
        <f t="shared" si="5"/>
        <v>0</v>
      </c>
    </row>
    <row r="375" spans="1:24">
      <c r="A375" s="168" t="s">
        <v>1155</v>
      </c>
      <c r="B375" s="455" t="s">
        <v>1549</v>
      </c>
      <c r="C375" s="455" t="s">
        <v>60</v>
      </c>
      <c r="D375" s="168" t="s">
        <v>1229</v>
      </c>
      <c r="E375" s="150">
        <v>14706.03</v>
      </c>
      <c r="F375" s="456">
        <v>14806</v>
      </c>
      <c r="G375" s="168">
        <v>15926.63</v>
      </c>
      <c r="H375" s="168">
        <v>15927</v>
      </c>
      <c r="N375" s="168" t="s">
        <v>1155</v>
      </c>
      <c r="O375" s="455" t="s">
        <v>1549</v>
      </c>
      <c r="P375" s="455" t="s">
        <v>60</v>
      </c>
      <c r="Q375" s="455">
        <v>23749</v>
      </c>
      <c r="R375" s="455"/>
      <c r="S375" s="168">
        <v>0</v>
      </c>
      <c r="T375" s="523">
        <v>0</v>
      </c>
      <c r="W375" s="168">
        <f t="shared" si="5"/>
        <v>0</v>
      </c>
    </row>
    <row r="376" spans="1:24">
      <c r="A376" s="168" t="s">
        <v>1156</v>
      </c>
      <c r="B376" s="455" t="s">
        <v>1549</v>
      </c>
      <c r="C376" s="455" t="s">
        <v>515</v>
      </c>
      <c r="D376" s="168" t="s">
        <v>1229</v>
      </c>
      <c r="E376" s="150">
        <v>24504.48</v>
      </c>
      <c r="F376" s="456">
        <v>24604</v>
      </c>
      <c r="G376" s="168">
        <v>4084.08</v>
      </c>
      <c r="H376" s="168">
        <v>4084</v>
      </c>
      <c r="N376" s="168" t="s">
        <v>1156</v>
      </c>
      <c r="O376" s="455" t="s">
        <v>1549</v>
      </c>
      <c r="P376" s="455" t="s">
        <v>515</v>
      </c>
      <c r="Q376" s="455"/>
      <c r="R376" s="455"/>
      <c r="S376" s="168">
        <v>0</v>
      </c>
      <c r="T376" s="523">
        <v>0</v>
      </c>
      <c r="W376" s="168">
        <f t="shared" si="5"/>
        <v>0</v>
      </c>
    </row>
    <row r="377" spans="1:24">
      <c r="A377" s="168" t="s">
        <v>1157</v>
      </c>
      <c r="B377" s="455" t="s">
        <v>1549</v>
      </c>
      <c r="C377" s="455" t="s">
        <v>660</v>
      </c>
      <c r="D377" s="168" t="s">
        <v>1229</v>
      </c>
      <c r="E377" s="150">
        <v>0</v>
      </c>
      <c r="F377" s="456">
        <v>0</v>
      </c>
      <c r="G377" s="168">
        <v>0</v>
      </c>
      <c r="H377" s="168">
        <v>0</v>
      </c>
      <c r="N377" s="168" t="s">
        <v>1157</v>
      </c>
      <c r="O377" s="455" t="s">
        <v>1549</v>
      </c>
      <c r="P377" s="455" t="s">
        <v>660</v>
      </c>
      <c r="Q377" s="455"/>
      <c r="R377" s="455"/>
      <c r="S377" s="168">
        <v>0</v>
      </c>
      <c r="T377" s="523">
        <v>0</v>
      </c>
      <c r="W377" s="168">
        <f t="shared" si="5"/>
        <v>0</v>
      </c>
    </row>
    <row r="378" spans="1:24">
      <c r="A378" s="168" t="s">
        <v>1158</v>
      </c>
      <c r="B378" s="455" t="s">
        <v>1549</v>
      </c>
      <c r="C378" s="455" t="s">
        <v>767</v>
      </c>
      <c r="D378" s="168" t="s">
        <v>1229</v>
      </c>
      <c r="E378" s="150">
        <v>7068</v>
      </c>
      <c r="F378" s="456">
        <v>7000</v>
      </c>
      <c r="G378" s="168">
        <v>1248</v>
      </c>
      <c r="H378" s="168">
        <v>1248</v>
      </c>
      <c r="N378" s="168" t="s">
        <v>1158</v>
      </c>
      <c r="O378" s="455" t="s">
        <v>1549</v>
      </c>
      <c r="P378" s="455" t="s">
        <v>767</v>
      </c>
      <c r="Q378" s="455">
        <v>16488</v>
      </c>
      <c r="R378" s="455"/>
      <c r="S378" s="168">
        <v>0</v>
      </c>
      <c r="T378" s="523">
        <v>0</v>
      </c>
      <c r="W378" s="168">
        <f t="shared" si="5"/>
        <v>0</v>
      </c>
    </row>
    <row r="379" spans="1:24">
      <c r="A379" s="168" t="s">
        <v>1159</v>
      </c>
      <c r="B379" s="455" t="s">
        <v>1549</v>
      </c>
      <c r="C379" s="455" t="s">
        <v>84</v>
      </c>
      <c r="D379" s="168" t="s">
        <v>1229</v>
      </c>
      <c r="E379" s="150">
        <v>75065.759999999995</v>
      </c>
      <c r="F379" s="456">
        <v>75800</v>
      </c>
      <c r="G379" s="168">
        <v>12510.96</v>
      </c>
      <c r="H379" s="168">
        <v>12511</v>
      </c>
      <c r="N379" s="168" t="s">
        <v>1159</v>
      </c>
      <c r="O379" s="455" t="s">
        <v>1549</v>
      </c>
      <c r="P379" s="455" t="s">
        <v>84</v>
      </c>
      <c r="Q379" s="455">
        <v>60000</v>
      </c>
      <c r="R379" s="455"/>
      <c r="S379" s="168">
        <v>0</v>
      </c>
      <c r="T379" s="523">
        <v>0</v>
      </c>
      <c r="W379" s="168">
        <f t="shared" si="5"/>
        <v>0</v>
      </c>
    </row>
    <row r="380" spans="1:24">
      <c r="A380" s="168" t="s">
        <v>1160</v>
      </c>
      <c r="B380" s="455" t="s">
        <v>1549</v>
      </c>
      <c r="C380" s="455" t="s">
        <v>590</v>
      </c>
      <c r="D380" s="168" t="s">
        <v>1229</v>
      </c>
      <c r="E380" s="150">
        <v>22868.15</v>
      </c>
      <c r="F380" s="456">
        <v>22900</v>
      </c>
      <c r="G380" s="168">
        <v>4994.3999999999996</v>
      </c>
      <c r="H380" s="168">
        <v>4994</v>
      </c>
      <c r="N380" s="168" t="s">
        <v>1160</v>
      </c>
      <c r="O380" s="455" t="s">
        <v>1549</v>
      </c>
      <c r="P380" s="455" t="s">
        <v>590</v>
      </c>
      <c r="Q380" s="455">
        <v>29684</v>
      </c>
      <c r="R380" s="455"/>
      <c r="S380" s="168">
        <v>0</v>
      </c>
      <c r="T380" s="523">
        <v>0</v>
      </c>
      <c r="W380" s="168">
        <f t="shared" si="5"/>
        <v>0</v>
      </c>
    </row>
    <row r="381" spans="1:24">
      <c r="A381" s="168" t="s">
        <v>1161</v>
      </c>
      <c r="B381" s="455" t="s">
        <v>1549</v>
      </c>
      <c r="C381" s="455" t="s">
        <v>590</v>
      </c>
      <c r="D381" s="168" t="s">
        <v>1229</v>
      </c>
      <c r="E381" s="150">
        <v>38823.96</v>
      </c>
      <c r="F381" s="456">
        <v>39000</v>
      </c>
      <c r="G381" s="168">
        <v>7007.72</v>
      </c>
      <c r="H381" s="168">
        <v>7008</v>
      </c>
      <c r="N381" s="168" t="s">
        <v>1161</v>
      </c>
      <c r="O381" s="455" t="s">
        <v>1549</v>
      </c>
      <c r="P381" s="455" t="s">
        <v>590</v>
      </c>
      <c r="Q381" s="455">
        <v>42697</v>
      </c>
      <c r="R381" s="455"/>
      <c r="S381" s="168">
        <v>0</v>
      </c>
      <c r="T381" s="523">
        <v>0</v>
      </c>
      <c r="W381" s="168">
        <f t="shared" si="5"/>
        <v>0</v>
      </c>
    </row>
    <row r="382" spans="1:24">
      <c r="A382" s="168" t="s">
        <v>1162</v>
      </c>
      <c r="B382" s="455" t="s">
        <v>1549</v>
      </c>
      <c r="C382" s="455" t="s">
        <v>590</v>
      </c>
      <c r="D382" s="168" t="s">
        <v>1229</v>
      </c>
      <c r="E382" s="150">
        <v>1472.88</v>
      </c>
      <c r="F382" s="456">
        <v>1500</v>
      </c>
      <c r="G382" s="168">
        <v>249.56</v>
      </c>
      <c r="H382" s="168">
        <v>250</v>
      </c>
      <c r="N382" s="168" t="s">
        <v>1162</v>
      </c>
      <c r="O382" s="455" t="s">
        <v>1549</v>
      </c>
      <c r="P382" s="455" t="s">
        <v>590</v>
      </c>
      <c r="Q382" s="455">
        <v>2850</v>
      </c>
      <c r="R382" s="455"/>
      <c r="S382" s="168">
        <v>0</v>
      </c>
      <c r="T382" s="523">
        <v>0</v>
      </c>
      <c r="W382" s="168">
        <f t="shared" si="5"/>
        <v>0</v>
      </c>
    </row>
    <row r="383" spans="1:24">
      <c r="A383" s="168" t="s">
        <v>1306</v>
      </c>
      <c r="B383" s="455" t="s">
        <v>1549</v>
      </c>
      <c r="C383" s="455" t="s">
        <v>575</v>
      </c>
      <c r="D383" s="168" t="s">
        <v>1229</v>
      </c>
      <c r="E383" s="150">
        <v>4464.72</v>
      </c>
      <c r="F383" s="456">
        <v>4500</v>
      </c>
      <c r="G383" s="168">
        <v>805.88</v>
      </c>
      <c r="H383" s="168">
        <v>806</v>
      </c>
      <c r="N383" s="168" t="s">
        <v>1306</v>
      </c>
      <c r="O383" s="455" t="s">
        <v>1549</v>
      </c>
      <c r="P383" s="455" t="s">
        <v>575</v>
      </c>
      <c r="Q383" s="455">
        <v>4360</v>
      </c>
      <c r="R383" s="455"/>
      <c r="S383" s="168">
        <v>0</v>
      </c>
      <c r="T383" s="523">
        <v>0</v>
      </c>
      <c r="W383" s="168">
        <f t="shared" si="5"/>
        <v>0</v>
      </c>
    </row>
    <row r="384" spans="1:24">
      <c r="A384" s="168" t="s">
        <v>1307</v>
      </c>
      <c r="B384" s="455" t="s">
        <v>1549</v>
      </c>
      <c r="C384" s="455" t="s">
        <v>1807</v>
      </c>
      <c r="D384" s="168" t="s">
        <v>1229</v>
      </c>
      <c r="E384" s="150">
        <v>38.4</v>
      </c>
      <c r="F384" s="456">
        <v>40</v>
      </c>
      <c r="G384" s="168">
        <v>6.9</v>
      </c>
      <c r="H384" s="168">
        <v>7</v>
      </c>
      <c r="N384" s="168" t="s">
        <v>1307</v>
      </c>
      <c r="O384" s="455" t="s">
        <v>1549</v>
      </c>
      <c r="P384" s="455" t="s">
        <v>1807</v>
      </c>
      <c r="Q384" s="455">
        <v>83</v>
      </c>
      <c r="R384" s="455"/>
      <c r="S384" s="168">
        <v>0</v>
      </c>
      <c r="T384" s="523">
        <v>0</v>
      </c>
      <c r="W384" s="168">
        <f t="shared" si="5"/>
        <v>0</v>
      </c>
    </row>
    <row r="385" spans="1:23">
      <c r="A385" s="168" t="s">
        <v>1308</v>
      </c>
      <c r="B385" s="455" t="s">
        <v>1551</v>
      </c>
      <c r="C385" s="455" t="s">
        <v>592</v>
      </c>
      <c r="D385" s="168" t="s">
        <v>1229</v>
      </c>
      <c r="E385" s="150">
        <v>0</v>
      </c>
      <c r="F385" s="456">
        <v>5519</v>
      </c>
      <c r="G385" s="168">
        <v>21042</v>
      </c>
      <c r="H385" s="168">
        <v>13658</v>
      </c>
      <c r="N385" s="168" t="s">
        <v>1308</v>
      </c>
      <c r="O385" s="455" t="s">
        <v>1551</v>
      </c>
      <c r="P385" s="455" t="s">
        <v>592</v>
      </c>
      <c r="Q385" s="455">
        <v>11612</v>
      </c>
      <c r="R385" s="455">
        <v>11612</v>
      </c>
      <c r="S385" s="168">
        <v>16239.04</v>
      </c>
      <c r="T385" s="523">
        <v>11612</v>
      </c>
      <c r="W385" s="462">
        <f t="shared" si="5"/>
        <v>4627.0400000000009</v>
      </c>
    </row>
    <row r="386" spans="1:23">
      <c r="A386" s="168" t="s">
        <v>1309</v>
      </c>
      <c r="B386" s="455" t="s">
        <v>1552</v>
      </c>
      <c r="C386" s="455" t="s">
        <v>595</v>
      </c>
      <c r="D386" s="168" t="s">
        <v>1229</v>
      </c>
      <c r="E386" s="150">
        <v>0</v>
      </c>
      <c r="F386" s="456">
        <v>0</v>
      </c>
      <c r="G386" s="168">
        <v>0</v>
      </c>
      <c r="H386" s="168">
        <v>0</v>
      </c>
      <c r="N386" s="168" t="s">
        <v>1309</v>
      </c>
      <c r="O386" s="455" t="s">
        <v>1552</v>
      </c>
      <c r="P386" s="455" t="s">
        <v>595</v>
      </c>
      <c r="Q386" s="455">
        <v>4883</v>
      </c>
      <c r="R386" s="455">
        <v>4883</v>
      </c>
      <c r="S386" s="168">
        <v>0</v>
      </c>
      <c r="T386" s="523">
        <v>0</v>
      </c>
      <c r="W386" s="168">
        <f t="shared" si="5"/>
        <v>0</v>
      </c>
    </row>
    <row r="387" spans="1:23">
      <c r="A387" s="168" t="s">
        <v>1310</v>
      </c>
      <c r="B387" s="455" t="s">
        <v>1552</v>
      </c>
      <c r="C387" s="455" t="s">
        <v>545</v>
      </c>
      <c r="D387" s="168" t="s">
        <v>1229</v>
      </c>
      <c r="E387" s="150">
        <v>0</v>
      </c>
      <c r="F387" s="456">
        <v>0</v>
      </c>
      <c r="G387" s="168">
        <v>0</v>
      </c>
      <c r="H387" s="168">
        <v>0</v>
      </c>
      <c r="N387" s="168" t="s">
        <v>1310</v>
      </c>
      <c r="O387" s="455" t="s">
        <v>1552</v>
      </c>
      <c r="P387" s="455" t="s">
        <v>545</v>
      </c>
      <c r="Q387" s="455">
        <v>270</v>
      </c>
      <c r="R387" s="455">
        <v>270</v>
      </c>
      <c r="S387" s="168">
        <v>0</v>
      </c>
      <c r="T387" s="523">
        <v>0</v>
      </c>
      <c r="W387" s="168">
        <f t="shared" si="5"/>
        <v>0</v>
      </c>
    </row>
    <row r="388" spans="1:23">
      <c r="B388" s="455"/>
      <c r="E388" s="150"/>
      <c r="N388" s="168" t="s">
        <v>3727</v>
      </c>
      <c r="O388" s="455"/>
      <c r="P388" s="455"/>
      <c r="Q388" s="455">
        <v>2625</v>
      </c>
      <c r="R388" s="455">
        <v>2000</v>
      </c>
      <c r="T388" s="523"/>
      <c r="W388" s="168">
        <f t="shared" ref="W388:W451" si="6">S388-T388</f>
        <v>0</v>
      </c>
    </row>
    <row r="389" spans="1:23">
      <c r="A389" s="168" t="s">
        <v>1311</v>
      </c>
      <c r="B389" s="455" t="s">
        <v>1553</v>
      </c>
      <c r="C389" s="455" t="s">
        <v>612</v>
      </c>
      <c r="D389" s="168" t="s">
        <v>1229</v>
      </c>
      <c r="E389" s="150">
        <v>0</v>
      </c>
      <c r="F389" s="456">
        <v>0</v>
      </c>
      <c r="G389" s="168">
        <v>1099.3</v>
      </c>
      <c r="H389" s="168">
        <v>1100</v>
      </c>
      <c r="N389" s="168" t="s">
        <v>1311</v>
      </c>
      <c r="O389" s="455" t="s">
        <v>1553</v>
      </c>
      <c r="P389" s="455" t="s">
        <v>612</v>
      </c>
      <c r="Q389" s="455">
        <v>3043</v>
      </c>
      <c r="R389" s="455"/>
      <c r="S389" s="168">
        <v>0</v>
      </c>
      <c r="T389" s="523">
        <v>0</v>
      </c>
      <c r="W389" s="168">
        <f t="shared" si="6"/>
        <v>0</v>
      </c>
    </row>
    <row r="390" spans="1:23">
      <c r="A390" s="168" t="s">
        <v>1312</v>
      </c>
      <c r="B390" s="455" t="s">
        <v>1553</v>
      </c>
      <c r="C390" s="455" t="s">
        <v>616</v>
      </c>
      <c r="D390" s="168" t="s">
        <v>1229</v>
      </c>
      <c r="E390" s="150">
        <v>0</v>
      </c>
      <c r="F390" s="456">
        <v>0</v>
      </c>
      <c r="G390" s="168">
        <v>0</v>
      </c>
      <c r="H390" s="168">
        <v>0</v>
      </c>
      <c r="N390" s="168" t="s">
        <v>1312</v>
      </c>
      <c r="O390" s="455" t="s">
        <v>1553</v>
      </c>
      <c r="P390" s="455" t="s">
        <v>616</v>
      </c>
      <c r="Q390" s="455">
        <v>32584</v>
      </c>
      <c r="R390" s="455">
        <v>7500</v>
      </c>
      <c r="S390" s="168">
        <v>0</v>
      </c>
      <c r="T390" s="523">
        <v>0</v>
      </c>
      <c r="W390" s="168">
        <f t="shared" si="6"/>
        <v>0</v>
      </c>
    </row>
    <row r="391" spans="1:23">
      <c r="A391" s="168" t="s">
        <v>1313</v>
      </c>
      <c r="B391" s="455" t="s">
        <v>1553</v>
      </c>
      <c r="C391" s="455" t="s">
        <v>1314</v>
      </c>
      <c r="D391" s="168" t="s">
        <v>1229</v>
      </c>
      <c r="E391" s="150">
        <v>6430</v>
      </c>
      <c r="F391" s="456">
        <v>6450</v>
      </c>
      <c r="G391" s="168">
        <v>33951.17</v>
      </c>
      <c r="H391" s="168">
        <v>33951</v>
      </c>
      <c r="N391" s="168" t="s">
        <v>1313</v>
      </c>
      <c r="O391" s="455" t="s">
        <v>1553</v>
      </c>
      <c r="P391" s="455" t="s">
        <v>1314</v>
      </c>
      <c r="Q391" s="455">
        <v>39060</v>
      </c>
      <c r="R391" s="455">
        <v>39060</v>
      </c>
      <c r="S391" s="168">
        <v>4640.01</v>
      </c>
      <c r="T391" s="523">
        <v>4641</v>
      </c>
      <c r="W391" s="168">
        <f t="shared" si="6"/>
        <v>-0.98999999999978172</v>
      </c>
    </row>
    <row r="392" spans="1:23">
      <c r="A392" s="168" t="s">
        <v>1315</v>
      </c>
      <c r="B392" s="455" t="s">
        <v>1553</v>
      </c>
      <c r="C392" s="455" t="s">
        <v>1316</v>
      </c>
      <c r="D392" s="168" t="s">
        <v>1229</v>
      </c>
      <c r="E392" s="150">
        <v>43.98</v>
      </c>
      <c r="F392" s="456">
        <v>60</v>
      </c>
      <c r="G392" s="168">
        <v>0</v>
      </c>
      <c r="H392" s="168">
        <v>0</v>
      </c>
      <c r="N392" s="168" t="s">
        <v>1315</v>
      </c>
      <c r="O392" s="455" t="s">
        <v>1553</v>
      </c>
      <c r="P392" s="455" t="s">
        <v>1316</v>
      </c>
      <c r="Q392" s="455">
        <v>4650</v>
      </c>
      <c r="R392" s="455">
        <v>2000</v>
      </c>
      <c r="S392" s="168">
        <v>0</v>
      </c>
      <c r="T392" s="523">
        <v>0</v>
      </c>
      <c r="W392" s="168">
        <f t="shared" si="6"/>
        <v>0</v>
      </c>
    </row>
    <row r="393" spans="1:23">
      <c r="A393" s="168" t="s">
        <v>1317</v>
      </c>
      <c r="B393" s="455" t="s">
        <v>1553</v>
      </c>
      <c r="C393" s="455" t="s">
        <v>1318</v>
      </c>
      <c r="D393" s="168" t="s">
        <v>1229</v>
      </c>
      <c r="E393" s="150">
        <v>0</v>
      </c>
      <c r="F393" s="456">
        <v>0</v>
      </c>
      <c r="G393" s="168">
        <v>0</v>
      </c>
      <c r="H393" s="168">
        <v>0</v>
      </c>
      <c r="N393" s="168" t="s">
        <v>1317</v>
      </c>
      <c r="O393" s="455" t="s">
        <v>1553</v>
      </c>
      <c r="P393" s="455" t="s">
        <v>1318</v>
      </c>
      <c r="Q393" s="455">
        <v>383</v>
      </c>
      <c r="R393" s="455">
        <v>211</v>
      </c>
      <c r="S393" s="168">
        <v>0</v>
      </c>
      <c r="T393" s="523">
        <v>0</v>
      </c>
      <c r="W393" s="168">
        <f t="shared" si="6"/>
        <v>0</v>
      </c>
    </row>
    <row r="394" spans="1:23">
      <c r="A394" s="168" t="s">
        <v>1319</v>
      </c>
      <c r="B394" s="455" t="s">
        <v>1553</v>
      </c>
      <c r="C394" s="455" t="s">
        <v>1320</v>
      </c>
      <c r="D394" s="168" t="s">
        <v>1229</v>
      </c>
      <c r="E394" s="150">
        <v>8026.36</v>
      </c>
      <c r="F394" s="456">
        <v>8100</v>
      </c>
      <c r="G394" s="168">
        <v>2950</v>
      </c>
      <c r="H394" s="168">
        <v>2950</v>
      </c>
      <c r="N394" s="168" t="s">
        <v>1319</v>
      </c>
      <c r="O394" s="455" t="s">
        <v>1553</v>
      </c>
      <c r="P394" s="455" t="s">
        <v>1320</v>
      </c>
      <c r="Q394" s="455">
        <v>4724</v>
      </c>
      <c r="R394" s="455">
        <v>2604</v>
      </c>
      <c r="S394" s="168">
        <v>0</v>
      </c>
      <c r="T394" s="523">
        <v>0</v>
      </c>
      <c r="W394" s="168">
        <f t="shared" si="6"/>
        <v>0</v>
      </c>
    </row>
    <row r="395" spans="1:23">
      <c r="A395" s="168" t="s">
        <v>1322</v>
      </c>
      <c r="B395" s="455" t="s">
        <v>1553</v>
      </c>
      <c r="C395" s="455" t="s">
        <v>1323</v>
      </c>
      <c r="D395" s="168" t="s">
        <v>1229</v>
      </c>
      <c r="E395" s="150">
        <v>0</v>
      </c>
      <c r="F395" s="456">
        <v>0</v>
      </c>
      <c r="G395" s="168">
        <v>0</v>
      </c>
      <c r="H395" s="168">
        <v>0</v>
      </c>
      <c r="N395" s="168" t="s">
        <v>1322</v>
      </c>
      <c r="O395" s="455" t="s">
        <v>1553</v>
      </c>
      <c r="P395" s="455" t="s">
        <v>1323</v>
      </c>
      <c r="Q395" s="455">
        <v>4883</v>
      </c>
      <c r="R395" s="455"/>
      <c r="S395" s="168">
        <v>0</v>
      </c>
      <c r="T395" s="523">
        <v>0</v>
      </c>
      <c r="W395" s="168">
        <f t="shared" si="6"/>
        <v>0</v>
      </c>
    </row>
    <row r="396" spans="1:23">
      <c r="A396" s="168" t="s">
        <v>1324</v>
      </c>
      <c r="B396" s="455" t="s">
        <v>1553</v>
      </c>
      <c r="C396" s="455" t="s">
        <v>1325</v>
      </c>
      <c r="D396" s="168" t="s">
        <v>1229</v>
      </c>
      <c r="E396" s="150">
        <v>0</v>
      </c>
      <c r="F396" s="456">
        <v>0</v>
      </c>
      <c r="G396" s="168">
        <v>0</v>
      </c>
      <c r="H396" s="168">
        <v>0</v>
      </c>
      <c r="N396" s="168" t="s">
        <v>1324</v>
      </c>
      <c r="O396" s="455" t="s">
        <v>1553</v>
      </c>
      <c r="P396" s="455" t="s">
        <v>1325</v>
      </c>
      <c r="Q396" s="455">
        <v>7116</v>
      </c>
      <c r="R396" s="455"/>
      <c r="S396" s="168">
        <v>0</v>
      </c>
      <c r="T396" s="523">
        <v>0</v>
      </c>
      <c r="W396" s="168">
        <f t="shared" si="6"/>
        <v>0</v>
      </c>
    </row>
    <row r="397" spans="1:23">
      <c r="A397" s="168" t="s">
        <v>1326</v>
      </c>
      <c r="B397" s="455" t="s">
        <v>1553</v>
      </c>
      <c r="C397" s="455" t="s">
        <v>2322</v>
      </c>
      <c r="D397" s="168" t="s">
        <v>1229</v>
      </c>
      <c r="E397" s="150">
        <v>39615.4</v>
      </c>
      <c r="F397" s="456">
        <v>39650</v>
      </c>
      <c r="G397" s="168">
        <v>0</v>
      </c>
      <c r="H397" s="168">
        <v>0</v>
      </c>
      <c r="N397" s="168" t="s">
        <v>1326</v>
      </c>
      <c r="O397" s="455" t="s">
        <v>1553</v>
      </c>
      <c r="P397" s="455" t="s">
        <v>2322</v>
      </c>
      <c r="Q397" s="455">
        <v>43577</v>
      </c>
      <c r="R397" s="455">
        <v>43577</v>
      </c>
      <c r="S397" s="168">
        <v>0</v>
      </c>
      <c r="T397" s="523">
        <v>0</v>
      </c>
      <c r="W397" s="168">
        <f t="shared" si="6"/>
        <v>0</v>
      </c>
    </row>
    <row r="398" spans="1:23">
      <c r="A398" s="168" t="s">
        <v>1327</v>
      </c>
      <c r="B398" s="455" t="s">
        <v>1553</v>
      </c>
      <c r="C398" s="455" t="s">
        <v>631</v>
      </c>
      <c r="D398" s="168" t="s">
        <v>1229</v>
      </c>
      <c r="E398" s="150">
        <v>0</v>
      </c>
      <c r="F398" s="456">
        <v>0</v>
      </c>
      <c r="G398" s="168">
        <v>0</v>
      </c>
      <c r="H398" s="168">
        <v>0</v>
      </c>
      <c r="N398" s="168" t="s">
        <v>1327</v>
      </c>
      <c r="O398" s="455" t="s">
        <v>1553</v>
      </c>
      <c r="P398" s="455" t="s">
        <v>631</v>
      </c>
      <c r="Q398" s="455">
        <v>721</v>
      </c>
      <c r="R398" s="455">
        <v>721</v>
      </c>
      <c r="S398" s="168">
        <v>0</v>
      </c>
      <c r="T398" s="523">
        <v>0</v>
      </c>
      <c r="W398" s="168">
        <f t="shared" si="6"/>
        <v>0</v>
      </c>
    </row>
    <row r="399" spans="1:23">
      <c r="A399" s="168" t="s">
        <v>1328</v>
      </c>
      <c r="B399" s="455" t="s">
        <v>1553</v>
      </c>
      <c r="C399" s="455" t="s">
        <v>633</v>
      </c>
      <c r="D399" s="168" t="s">
        <v>1229</v>
      </c>
      <c r="E399" s="150">
        <v>4168.29</v>
      </c>
      <c r="F399" s="456">
        <v>4200</v>
      </c>
      <c r="G399" s="168">
        <v>1476.3</v>
      </c>
      <c r="H399" s="168">
        <v>1476</v>
      </c>
      <c r="N399" s="168" t="s">
        <v>1328</v>
      </c>
      <c r="O399" s="455" t="s">
        <v>1553</v>
      </c>
      <c r="P399" s="455" t="s">
        <v>633</v>
      </c>
      <c r="Q399" s="455">
        <v>5039</v>
      </c>
      <c r="R399" s="455">
        <v>1500</v>
      </c>
      <c r="S399" s="168">
        <v>0</v>
      </c>
      <c r="T399" s="523">
        <v>0</v>
      </c>
      <c r="W399" s="168">
        <f t="shared" si="6"/>
        <v>0</v>
      </c>
    </row>
    <row r="400" spans="1:23">
      <c r="A400" s="168" t="s">
        <v>1329</v>
      </c>
      <c r="B400" s="455" t="s">
        <v>1553</v>
      </c>
      <c r="C400" s="455" t="s">
        <v>253</v>
      </c>
      <c r="D400" s="168" t="s">
        <v>1229</v>
      </c>
      <c r="E400" s="150">
        <v>295.8</v>
      </c>
      <c r="F400" s="456">
        <v>400</v>
      </c>
      <c r="G400" s="168">
        <v>0</v>
      </c>
      <c r="H400" s="168">
        <v>0</v>
      </c>
      <c r="N400" s="168" t="s">
        <v>1329</v>
      </c>
      <c r="O400" s="455" t="s">
        <v>1553</v>
      </c>
      <c r="P400" s="455" t="s">
        <v>253</v>
      </c>
      <c r="Q400" s="455">
        <v>977</v>
      </c>
      <c r="R400" s="455"/>
      <c r="S400" s="168">
        <v>0</v>
      </c>
      <c r="T400" s="523">
        <v>0</v>
      </c>
      <c r="W400" s="168">
        <f t="shared" si="6"/>
        <v>0</v>
      </c>
    </row>
    <row r="401" spans="1:23">
      <c r="A401" s="168" t="s">
        <v>1330</v>
      </c>
      <c r="B401" s="455" t="s">
        <v>1553</v>
      </c>
      <c r="C401" s="455" t="s">
        <v>50</v>
      </c>
      <c r="D401" s="168" t="s">
        <v>1229</v>
      </c>
      <c r="E401" s="150">
        <v>30840.7</v>
      </c>
      <c r="F401" s="456">
        <v>30900</v>
      </c>
      <c r="G401" s="168">
        <v>4596.6899999999996</v>
      </c>
      <c r="H401" s="168">
        <v>4597</v>
      </c>
      <c r="N401" s="168" t="s">
        <v>1330</v>
      </c>
      <c r="O401" s="455" t="s">
        <v>1553</v>
      </c>
      <c r="P401" s="455" t="s">
        <v>50</v>
      </c>
      <c r="Q401" s="455">
        <v>30841</v>
      </c>
      <c r="R401" s="455"/>
      <c r="S401" s="168">
        <v>0</v>
      </c>
      <c r="T401" s="523">
        <v>0</v>
      </c>
      <c r="W401" s="168">
        <f t="shared" si="6"/>
        <v>0</v>
      </c>
    </row>
    <row r="402" spans="1:23">
      <c r="A402" s="168" t="s">
        <v>1331</v>
      </c>
      <c r="B402" s="455" t="s">
        <v>1553</v>
      </c>
      <c r="C402" s="455" t="s">
        <v>52</v>
      </c>
      <c r="D402" s="168" t="s">
        <v>1229</v>
      </c>
      <c r="E402" s="150">
        <v>0</v>
      </c>
      <c r="F402" s="456">
        <v>1300</v>
      </c>
      <c r="G402" s="168">
        <v>0</v>
      </c>
      <c r="H402" s="168">
        <v>0</v>
      </c>
      <c r="N402" s="168" t="s">
        <v>1331</v>
      </c>
      <c r="O402" s="455" t="s">
        <v>1553</v>
      </c>
      <c r="P402" s="455" t="s">
        <v>52</v>
      </c>
      <c r="Q402" s="455">
        <v>3465</v>
      </c>
      <c r="R402" s="455">
        <v>800</v>
      </c>
      <c r="S402" s="168">
        <v>0</v>
      </c>
      <c r="T402" s="523">
        <v>0</v>
      </c>
      <c r="W402" s="168">
        <f t="shared" si="6"/>
        <v>0</v>
      </c>
    </row>
    <row r="403" spans="1:23">
      <c r="A403" s="168" t="s">
        <v>1332</v>
      </c>
      <c r="B403" s="455" t="s">
        <v>1553</v>
      </c>
      <c r="C403" s="455" t="s">
        <v>52</v>
      </c>
      <c r="D403" s="168" t="s">
        <v>1229</v>
      </c>
      <c r="E403" s="150">
        <v>9628.0499999999993</v>
      </c>
      <c r="F403" s="456">
        <v>9924</v>
      </c>
      <c r="G403" s="168">
        <v>1727.93</v>
      </c>
      <c r="H403" s="168">
        <v>1727</v>
      </c>
      <c r="N403" s="168" t="s">
        <v>1332</v>
      </c>
      <c r="O403" s="455" t="s">
        <v>1553</v>
      </c>
      <c r="P403" s="455" t="s">
        <v>52</v>
      </c>
      <c r="Q403" s="455">
        <v>7861</v>
      </c>
      <c r="R403" s="455"/>
      <c r="S403" s="168">
        <v>0</v>
      </c>
      <c r="T403" s="523">
        <v>0</v>
      </c>
      <c r="W403" s="168">
        <f t="shared" si="6"/>
        <v>0</v>
      </c>
    </row>
    <row r="404" spans="1:23">
      <c r="A404" s="168" t="s">
        <v>1333</v>
      </c>
      <c r="B404" s="455" t="s">
        <v>1553</v>
      </c>
      <c r="C404" s="455" t="s">
        <v>60</v>
      </c>
      <c r="D404" s="168" t="s">
        <v>1229</v>
      </c>
      <c r="E404" s="150">
        <v>0</v>
      </c>
      <c r="F404" s="456">
        <v>0</v>
      </c>
      <c r="G404" s="168">
        <v>0</v>
      </c>
      <c r="H404" s="168">
        <v>0</v>
      </c>
      <c r="N404" s="168" t="s">
        <v>1333</v>
      </c>
      <c r="O404" s="455" t="s">
        <v>1553</v>
      </c>
      <c r="P404" s="455" t="s">
        <v>60</v>
      </c>
      <c r="Q404" s="455"/>
      <c r="R404" s="455"/>
      <c r="S404" s="168">
        <v>0</v>
      </c>
      <c r="T404" s="523">
        <v>0</v>
      </c>
      <c r="W404" s="168">
        <f t="shared" si="6"/>
        <v>0</v>
      </c>
    </row>
    <row r="405" spans="1:23">
      <c r="A405" s="168" t="s">
        <v>1334</v>
      </c>
      <c r="B405" s="455" t="s">
        <v>1553</v>
      </c>
      <c r="C405" s="455" t="s">
        <v>1335</v>
      </c>
      <c r="D405" s="168" t="s">
        <v>1229</v>
      </c>
      <c r="E405" s="150">
        <v>1255.3</v>
      </c>
      <c r="F405" s="456">
        <v>1300</v>
      </c>
      <c r="G405" s="168">
        <v>0</v>
      </c>
      <c r="H405" s="168">
        <v>0</v>
      </c>
      <c r="N405" s="168" t="s">
        <v>1334</v>
      </c>
      <c r="O405" s="455" t="s">
        <v>1553</v>
      </c>
      <c r="P405" s="455" t="s">
        <v>1335</v>
      </c>
      <c r="Q405" s="455">
        <v>739</v>
      </c>
      <c r="R405" s="455">
        <v>407</v>
      </c>
      <c r="S405" s="168">
        <v>0</v>
      </c>
      <c r="T405" s="523">
        <v>0</v>
      </c>
      <c r="W405" s="168">
        <f t="shared" si="6"/>
        <v>0</v>
      </c>
    </row>
    <row r="406" spans="1:23">
      <c r="A406" s="168" t="s">
        <v>1336</v>
      </c>
      <c r="B406" s="455" t="s">
        <v>1553</v>
      </c>
      <c r="C406" s="455" t="s">
        <v>1337</v>
      </c>
      <c r="D406" s="168" t="s">
        <v>1229</v>
      </c>
      <c r="E406" s="150">
        <v>3226</v>
      </c>
      <c r="F406" s="456">
        <v>3300</v>
      </c>
      <c r="G406" s="168">
        <v>0</v>
      </c>
      <c r="H406" s="168">
        <v>0</v>
      </c>
      <c r="N406" s="168" t="s">
        <v>1336</v>
      </c>
      <c r="O406" s="455" t="s">
        <v>1553</v>
      </c>
      <c r="P406" s="455" t="s">
        <v>1337</v>
      </c>
      <c r="Q406" s="455">
        <v>9300</v>
      </c>
      <c r="R406" s="455"/>
      <c r="S406" s="168">
        <v>750</v>
      </c>
      <c r="T406" s="523">
        <v>750</v>
      </c>
      <c r="W406" s="168">
        <f t="shared" si="6"/>
        <v>0</v>
      </c>
    </row>
    <row r="407" spans="1:23">
      <c r="A407" s="168" t="s">
        <v>1338</v>
      </c>
      <c r="B407" s="455" t="s">
        <v>1553</v>
      </c>
      <c r="C407" s="455" t="s">
        <v>1339</v>
      </c>
      <c r="D407" s="168" t="s">
        <v>1229</v>
      </c>
      <c r="E407" s="150">
        <v>0</v>
      </c>
      <c r="F407" s="456">
        <v>0</v>
      </c>
      <c r="G407" s="168">
        <v>0</v>
      </c>
      <c r="H407" s="168">
        <v>0</v>
      </c>
      <c r="N407" s="168" t="s">
        <v>1338</v>
      </c>
      <c r="O407" s="455" t="s">
        <v>1553</v>
      </c>
      <c r="P407" s="455" t="s">
        <v>1339</v>
      </c>
      <c r="Q407" s="455">
        <v>4883</v>
      </c>
      <c r="R407" s="455"/>
      <c r="S407" s="168">
        <v>0</v>
      </c>
      <c r="T407" s="523">
        <v>0</v>
      </c>
      <c r="W407" s="168">
        <f t="shared" si="6"/>
        <v>0</v>
      </c>
    </row>
    <row r="408" spans="1:23" ht="15.75" thickBot="1">
      <c r="A408" s="168" t="s">
        <v>1340</v>
      </c>
      <c r="B408" s="455" t="s">
        <v>1553</v>
      </c>
      <c r="C408" s="455" t="s">
        <v>62</v>
      </c>
      <c r="D408" s="168" t="s">
        <v>1229</v>
      </c>
      <c r="E408" s="150">
        <v>0</v>
      </c>
      <c r="F408" s="456">
        <v>0</v>
      </c>
      <c r="G408" s="168">
        <v>0</v>
      </c>
      <c r="H408" s="168">
        <v>0</v>
      </c>
      <c r="N408" s="168" t="s">
        <v>1340</v>
      </c>
      <c r="O408" s="455" t="s">
        <v>1553</v>
      </c>
      <c r="P408" s="455" t="s">
        <v>62</v>
      </c>
      <c r="Q408" s="455">
        <v>14648</v>
      </c>
      <c r="R408" s="455">
        <v>4000</v>
      </c>
      <c r="S408" s="168">
        <v>3325</v>
      </c>
      <c r="T408" s="523">
        <v>3325</v>
      </c>
      <c r="W408" s="168">
        <f t="shared" si="6"/>
        <v>0</v>
      </c>
    </row>
    <row r="409" spans="1:23" ht="16.5" thickTop="1" thickBot="1">
      <c r="A409" s="554" t="s">
        <v>2668</v>
      </c>
      <c r="B409" s="555"/>
      <c r="C409" s="555"/>
      <c r="D409" s="556"/>
      <c r="E409" s="560">
        <f>SUM(E374:E408)</f>
        <v>468963.62</v>
      </c>
      <c r="F409" s="560">
        <f>SUM(F374:F408)</f>
        <v>478253</v>
      </c>
      <c r="G409" s="560">
        <f>SUM(G374:G408)</f>
        <v>145530.77999999997</v>
      </c>
      <c r="H409" s="560">
        <f>SUM(H374:H408)</f>
        <v>138147</v>
      </c>
      <c r="N409" s="554" t="s">
        <v>2668</v>
      </c>
      <c r="O409" s="555"/>
      <c r="P409" s="555"/>
      <c r="Q409" s="555">
        <f>SUM(Q374:Q408)</f>
        <v>551976</v>
      </c>
      <c r="R409" s="555">
        <f>SUM(R374:R408)</f>
        <v>121145</v>
      </c>
      <c r="S409" s="560">
        <f>SUM(S374:S408)</f>
        <v>24954.050000000003</v>
      </c>
      <c r="T409" s="558">
        <f>SUM(T374:T408)</f>
        <v>20328</v>
      </c>
      <c r="U409" s="603">
        <f>SUM(S409)</f>
        <v>24954.050000000003</v>
      </c>
      <c r="V409" s="603">
        <f>SUM(T409)</f>
        <v>20328</v>
      </c>
      <c r="W409" s="168">
        <f t="shared" si="6"/>
        <v>4626.0500000000029</v>
      </c>
    </row>
    <row r="410" spans="1:23" ht="15.75" thickTop="1">
      <c r="B410" s="455"/>
      <c r="E410" s="150"/>
      <c r="O410" s="455"/>
      <c r="P410" s="455"/>
      <c r="Q410" s="455"/>
      <c r="R410" s="455"/>
      <c r="T410" s="523"/>
      <c r="W410" s="168">
        <f t="shared" si="6"/>
        <v>0</v>
      </c>
    </row>
    <row r="411" spans="1:23" ht="15.75" thickBot="1">
      <c r="A411" s="168" t="s">
        <v>1342</v>
      </c>
      <c r="B411" s="455" t="s">
        <v>1179</v>
      </c>
      <c r="C411" s="455" t="s">
        <v>1147</v>
      </c>
      <c r="D411" s="168" t="s">
        <v>1569</v>
      </c>
      <c r="E411" s="150">
        <v>-32312.2</v>
      </c>
      <c r="F411" s="456">
        <v>-30324</v>
      </c>
      <c r="G411" s="168">
        <v>0</v>
      </c>
      <c r="H411" s="168">
        <v>-16951</v>
      </c>
      <c r="I411" s="168">
        <v>16951</v>
      </c>
      <c r="N411" s="168" t="s">
        <v>1342</v>
      </c>
      <c r="O411" s="455" t="s">
        <v>1179</v>
      </c>
      <c r="P411" s="455" t="s">
        <v>1147</v>
      </c>
      <c r="Q411" s="455">
        <v>-23715</v>
      </c>
      <c r="R411" s="455">
        <v>-17786</v>
      </c>
      <c r="S411" s="168">
        <v>0</v>
      </c>
      <c r="T411" s="523">
        <v>-17786</v>
      </c>
      <c r="W411" s="168">
        <f t="shared" si="6"/>
        <v>17786</v>
      </c>
    </row>
    <row r="412" spans="1:23" ht="16.5" thickTop="1" thickBot="1">
      <c r="A412" s="554" t="s">
        <v>2668</v>
      </c>
      <c r="B412" s="555"/>
      <c r="C412" s="555"/>
      <c r="D412" s="556"/>
      <c r="E412" s="560">
        <f>SUM(E411:E411)</f>
        <v>-32312.2</v>
      </c>
      <c r="F412" s="560">
        <f>SUM(F411:F411)</f>
        <v>-30324</v>
      </c>
      <c r="G412" s="560">
        <f>SUM(G411:G411)</f>
        <v>0</v>
      </c>
      <c r="H412" s="560">
        <f>SUM(H411:H411)</f>
        <v>-16951</v>
      </c>
      <c r="N412" s="554" t="s">
        <v>2668</v>
      </c>
      <c r="O412" s="555"/>
      <c r="P412" s="555"/>
      <c r="Q412" s="555">
        <f>SUM(Q411)</f>
        <v>-23715</v>
      </c>
      <c r="R412" s="555">
        <f>SUM(R411)</f>
        <v>-17786</v>
      </c>
      <c r="S412" s="560">
        <f>SUM(S411:S411)</f>
        <v>0</v>
      </c>
      <c r="T412" s="558">
        <f>SUM(T411:T411)</f>
        <v>-17786</v>
      </c>
      <c r="V412" s="168">
        <f>SUM(T412)</f>
        <v>-17786</v>
      </c>
      <c r="W412" s="168">
        <f t="shared" si="6"/>
        <v>17786</v>
      </c>
    </row>
    <row r="413" spans="1:23" ht="15.75" thickTop="1">
      <c r="B413" s="455"/>
      <c r="E413" s="150"/>
      <c r="O413" s="455"/>
      <c r="P413" s="455"/>
      <c r="Q413" s="455"/>
      <c r="R413" s="455"/>
      <c r="T413" s="523"/>
      <c r="W413" s="168">
        <f t="shared" si="6"/>
        <v>0</v>
      </c>
    </row>
    <row r="414" spans="1:23">
      <c r="A414" s="168" t="s">
        <v>1343</v>
      </c>
      <c r="B414" s="455" t="s">
        <v>1549</v>
      </c>
      <c r="C414" s="455" t="s">
        <v>75</v>
      </c>
      <c r="D414" s="168" t="s">
        <v>1569</v>
      </c>
      <c r="E414" s="150">
        <v>1205204.58</v>
      </c>
      <c r="F414" s="456">
        <v>1243100</v>
      </c>
      <c r="G414" s="168">
        <v>1479666.04</v>
      </c>
      <c r="H414" s="168">
        <v>1479666</v>
      </c>
      <c r="N414" s="168" t="s">
        <v>1343</v>
      </c>
      <c r="O414" s="455" t="s">
        <v>1549</v>
      </c>
      <c r="P414" s="455" t="s">
        <v>75</v>
      </c>
      <c r="Q414" s="455">
        <v>1614175</v>
      </c>
      <c r="R414" s="455">
        <v>1614175</v>
      </c>
      <c r="S414" s="168">
        <v>1544001.96</v>
      </c>
      <c r="T414" s="523">
        <v>1544002</v>
      </c>
      <c r="W414" s="168">
        <f t="shared" si="6"/>
        <v>-4.0000000037252903E-2</v>
      </c>
    </row>
    <row r="415" spans="1:23">
      <c r="A415" s="168" t="s">
        <v>1344</v>
      </c>
      <c r="B415" s="455" t="s">
        <v>1549</v>
      </c>
      <c r="C415" s="455" t="s">
        <v>77</v>
      </c>
      <c r="D415" s="168" t="s">
        <v>1569</v>
      </c>
      <c r="E415" s="150">
        <v>161632.22</v>
      </c>
      <c r="F415" s="456">
        <v>161700</v>
      </c>
      <c r="G415" s="168">
        <v>516692.56</v>
      </c>
      <c r="H415" s="168">
        <v>516692</v>
      </c>
      <c r="N415" s="168" t="s">
        <v>1344</v>
      </c>
      <c r="O415" s="455" t="s">
        <v>1549</v>
      </c>
      <c r="P415" s="455" t="s">
        <v>77</v>
      </c>
      <c r="Q415" s="455">
        <v>310000</v>
      </c>
      <c r="R415" s="455">
        <v>310000</v>
      </c>
      <c r="S415" s="168">
        <v>360589.21</v>
      </c>
      <c r="T415" s="523">
        <v>360589</v>
      </c>
      <c r="W415" s="168">
        <f t="shared" si="6"/>
        <v>0.21000000002095476</v>
      </c>
    </row>
    <row r="416" spans="1:23">
      <c r="A416" s="168" t="s">
        <v>1345</v>
      </c>
      <c r="B416" s="455" t="s">
        <v>1549</v>
      </c>
      <c r="C416" s="455" t="s">
        <v>60</v>
      </c>
      <c r="D416" s="168" t="s">
        <v>1569</v>
      </c>
      <c r="E416" s="150">
        <v>90946.44</v>
      </c>
      <c r="F416" s="456">
        <v>105156</v>
      </c>
      <c r="G416" s="168">
        <v>125141.05</v>
      </c>
      <c r="H416" s="168">
        <v>125142</v>
      </c>
      <c r="N416" s="168" t="s">
        <v>1345</v>
      </c>
      <c r="O416" s="455" t="s">
        <v>1549</v>
      </c>
      <c r="P416" s="455" t="s">
        <v>60</v>
      </c>
      <c r="Q416" s="455">
        <v>134516</v>
      </c>
      <c r="R416" s="455">
        <v>134516</v>
      </c>
      <c r="S416" s="168">
        <v>132661.6</v>
      </c>
      <c r="T416" s="523">
        <v>132662</v>
      </c>
      <c r="W416" s="168">
        <f t="shared" si="6"/>
        <v>-0.39999999999417923</v>
      </c>
    </row>
    <row r="417" spans="1:23">
      <c r="A417" s="168" t="s">
        <v>1346</v>
      </c>
      <c r="B417" s="455" t="s">
        <v>1549</v>
      </c>
      <c r="C417" s="455" t="s">
        <v>515</v>
      </c>
      <c r="D417" s="168" t="s">
        <v>1569</v>
      </c>
      <c r="E417" s="150">
        <v>0</v>
      </c>
      <c r="F417" s="456">
        <v>0</v>
      </c>
      <c r="G417" s="168">
        <v>0</v>
      </c>
      <c r="H417" s="168">
        <v>0</v>
      </c>
      <c r="N417" s="168" t="s">
        <v>1346</v>
      </c>
      <c r="O417" s="455" t="s">
        <v>1549</v>
      </c>
      <c r="P417" s="455" t="s">
        <v>515</v>
      </c>
      <c r="Q417" s="455"/>
      <c r="R417" s="455"/>
      <c r="S417" s="168">
        <v>13621.57</v>
      </c>
      <c r="T417" s="523">
        <v>13621</v>
      </c>
      <c r="W417" s="168">
        <f t="shared" si="6"/>
        <v>0.56999999999970896</v>
      </c>
    </row>
    <row r="418" spans="1:23">
      <c r="A418" s="168" t="s">
        <v>1347</v>
      </c>
      <c r="B418" s="455" t="s">
        <v>1549</v>
      </c>
      <c r="C418" s="455" t="s">
        <v>660</v>
      </c>
      <c r="D418" s="168" t="s">
        <v>1569</v>
      </c>
      <c r="E418" s="150">
        <v>0</v>
      </c>
      <c r="F418" s="456">
        <v>0</v>
      </c>
      <c r="G418" s="168">
        <v>0</v>
      </c>
      <c r="H418" s="168">
        <v>0</v>
      </c>
      <c r="N418" s="168" t="s">
        <v>1347</v>
      </c>
      <c r="O418" s="455" t="s">
        <v>1549</v>
      </c>
      <c r="P418" s="455" t="s">
        <v>660</v>
      </c>
      <c r="Q418" s="455"/>
      <c r="R418" s="455"/>
      <c r="S418" s="168">
        <v>0</v>
      </c>
      <c r="T418" s="523">
        <v>0</v>
      </c>
      <c r="W418" s="168">
        <f t="shared" si="6"/>
        <v>0</v>
      </c>
    </row>
    <row r="419" spans="1:23">
      <c r="A419" s="168" t="s">
        <v>1348</v>
      </c>
      <c r="B419" s="455" t="s">
        <v>1549</v>
      </c>
      <c r="C419" s="455" t="s">
        <v>767</v>
      </c>
      <c r="D419" s="168" t="s">
        <v>1569</v>
      </c>
      <c r="E419" s="150">
        <v>0</v>
      </c>
      <c r="F419" s="456">
        <v>0</v>
      </c>
      <c r="G419" s="168">
        <v>0</v>
      </c>
      <c r="H419" s="168">
        <v>0</v>
      </c>
      <c r="N419" s="168" t="s">
        <v>1348</v>
      </c>
      <c r="O419" s="455" t="s">
        <v>1549</v>
      </c>
      <c r="P419" s="455" t="s">
        <v>767</v>
      </c>
      <c r="Q419" s="455">
        <v>22140</v>
      </c>
      <c r="R419" s="455">
        <v>22140</v>
      </c>
      <c r="S419" s="168">
        <v>0</v>
      </c>
      <c r="T419" s="523">
        <v>0</v>
      </c>
      <c r="W419" s="168">
        <f t="shared" si="6"/>
        <v>0</v>
      </c>
    </row>
    <row r="420" spans="1:23">
      <c r="B420" s="455"/>
      <c r="E420" s="150"/>
      <c r="N420" s="168" t="s">
        <v>3470</v>
      </c>
      <c r="O420" s="455"/>
      <c r="P420" s="455"/>
      <c r="Q420" s="455"/>
      <c r="R420" s="455"/>
      <c r="S420" s="168">
        <v>1260.8</v>
      </c>
      <c r="T420" s="523">
        <v>1260</v>
      </c>
      <c r="W420" s="168">
        <f t="shared" si="6"/>
        <v>0.79999999999995453</v>
      </c>
    </row>
    <row r="421" spans="1:23">
      <c r="A421" s="168" t="s">
        <v>1349</v>
      </c>
      <c r="B421" s="455" t="s">
        <v>1549</v>
      </c>
      <c r="C421" s="455" t="s">
        <v>575</v>
      </c>
      <c r="D421" s="168" t="s">
        <v>1569</v>
      </c>
      <c r="E421" s="150">
        <v>0</v>
      </c>
      <c r="F421" s="456">
        <v>0</v>
      </c>
      <c r="G421" s="168">
        <v>0</v>
      </c>
      <c r="H421" s="168">
        <v>0</v>
      </c>
      <c r="N421" s="168" t="s">
        <v>1349</v>
      </c>
      <c r="O421" s="455" t="s">
        <v>1549</v>
      </c>
      <c r="P421" s="455" t="s">
        <v>575</v>
      </c>
      <c r="Q421" s="455">
        <v>124211</v>
      </c>
      <c r="R421" s="455">
        <v>124211</v>
      </c>
      <c r="S421" s="168">
        <v>0</v>
      </c>
      <c r="T421" s="523">
        <v>0</v>
      </c>
      <c r="W421" s="168">
        <f t="shared" si="6"/>
        <v>0</v>
      </c>
    </row>
    <row r="422" spans="1:23">
      <c r="A422" s="168" t="s">
        <v>1350</v>
      </c>
      <c r="B422" s="455" t="s">
        <v>1549</v>
      </c>
      <c r="C422" s="455" t="s">
        <v>590</v>
      </c>
      <c r="D422" s="168" t="s">
        <v>1569</v>
      </c>
      <c r="E422" s="150">
        <v>263461.74</v>
      </c>
      <c r="F422" s="456">
        <v>263500</v>
      </c>
      <c r="G422" s="168">
        <v>317698.2</v>
      </c>
      <c r="H422" s="168">
        <v>317698</v>
      </c>
      <c r="N422" s="168" t="s">
        <v>1350</v>
      </c>
      <c r="O422" s="455" t="s">
        <v>1549</v>
      </c>
      <c r="P422" s="455" t="s">
        <v>590</v>
      </c>
      <c r="Q422" s="455">
        <v>355122</v>
      </c>
      <c r="R422" s="455">
        <v>355122</v>
      </c>
      <c r="S422" s="168">
        <v>339329.58</v>
      </c>
      <c r="T422" s="523">
        <v>339330</v>
      </c>
      <c r="W422" s="168">
        <f t="shared" si="6"/>
        <v>-0.41999999998370185</v>
      </c>
    </row>
    <row r="423" spans="1:23">
      <c r="A423" s="168" t="s">
        <v>1351</v>
      </c>
      <c r="B423" s="455" t="s">
        <v>1549</v>
      </c>
      <c r="C423" s="455" t="s">
        <v>590</v>
      </c>
      <c r="D423" s="168" t="s">
        <v>1569</v>
      </c>
      <c r="E423" s="150">
        <v>14673.55</v>
      </c>
      <c r="F423" s="456">
        <v>15000</v>
      </c>
      <c r="G423" s="168">
        <v>20239.91</v>
      </c>
      <c r="H423" s="168">
        <v>20232</v>
      </c>
      <c r="N423" s="168" t="s">
        <v>1351</v>
      </c>
      <c r="O423" s="455" t="s">
        <v>1549</v>
      </c>
      <c r="P423" s="455" t="s">
        <v>590</v>
      </c>
      <c r="Q423" s="455">
        <v>16142</v>
      </c>
      <c r="R423" s="455">
        <v>16142</v>
      </c>
      <c r="S423" s="168">
        <v>20180.32</v>
      </c>
      <c r="T423" s="523">
        <v>20180</v>
      </c>
      <c r="W423" s="168">
        <f t="shared" si="6"/>
        <v>0.31999999999970896</v>
      </c>
    </row>
    <row r="424" spans="1:23">
      <c r="A424" s="168" t="s">
        <v>1352</v>
      </c>
      <c r="B424" s="455" t="s">
        <v>1549</v>
      </c>
      <c r="C424" s="455" t="s">
        <v>575</v>
      </c>
      <c r="D424" s="168" t="s">
        <v>1569</v>
      </c>
      <c r="E424" s="150">
        <v>4534.01</v>
      </c>
      <c r="F424" s="456">
        <v>5000</v>
      </c>
      <c r="G424" s="168">
        <v>6591.24</v>
      </c>
      <c r="H424" s="168">
        <v>6591</v>
      </c>
      <c r="N424" s="168" t="s">
        <v>1352</v>
      </c>
      <c r="O424" s="455" t="s">
        <v>1549</v>
      </c>
      <c r="P424" s="455" t="s">
        <v>575</v>
      </c>
      <c r="Q424" s="455">
        <v>24697</v>
      </c>
      <c r="R424" s="455">
        <v>24697</v>
      </c>
      <c r="S424" s="168">
        <v>7212.02</v>
      </c>
      <c r="T424" s="523">
        <v>7213</v>
      </c>
      <c r="W424" s="168">
        <f t="shared" si="6"/>
        <v>-0.97999999999956344</v>
      </c>
    </row>
    <row r="425" spans="1:23">
      <c r="A425" s="168" t="s">
        <v>1353</v>
      </c>
      <c r="B425" s="455" t="s">
        <v>1549</v>
      </c>
      <c r="C425" s="455" t="s">
        <v>1807</v>
      </c>
      <c r="D425" s="168" t="s">
        <v>1569</v>
      </c>
      <c r="E425" s="150">
        <v>1129.5999999999999</v>
      </c>
      <c r="F425" s="456">
        <v>1150</v>
      </c>
      <c r="G425" s="168">
        <v>1366.2</v>
      </c>
      <c r="H425" s="168">
        <v>1366</v>
      </c>
      <c r="N425" s="168" t="s">
        <v>1353</v>
      </c>
      <c r="O425" s="455" t="s">
        <v>1549</v>
      </c>
      <c r="P425" s="455" t="s">
        <v>1807</v>
      </c>
      <c r="Q425" s="455">
        <v>1366</v>
      </c>
      <c r="R425" s="455">
        <v>1366</v>
      </c>
      <c r="S425" s="168">
        <v>1421.25</v>
      </c>
      <c r="T425" s="523">
        <v>1421</v>
      </c>
      <c r="W425" s="168">
        <f t="shared" si="6"/>
        <v>0.25</v>
      </c>
    </row>
    <row r="426" spans="1:23">
      <c r="A426" s="168" t="s">
        <v>1354</v>
      </c>
      <c r="B426" s="455" t="s">
        <v>1551</v>
      </c>
      <c r="C426" s="455" t="s">
        <v>592</v>
      </c>
      <c r="D426" s="168" t="s">
        <v>1569</v>
      </c>
      <c r="E426" s="150">
        <v>0</v>
      </c>
      <c r="F426" s="456">
        <v>2934</v>
      </c>
      <c r="G426" s="168">
        <v>73150</v>
      </c>
      <c r="H426" s="168">
        <v>0</v>
      </c>
      <c r="N426" s="168" t="s">
        <v>1354</v>
      </c>
      <c r="O426" s="455" t="s">
        <v>1551</v>
      </c>
      <c r="P426" s="455" t="s">
        <v>592</v>
      </c>
      <c r="Q426" s="455">
        <v>51763</v>
      </c>
      <c r="R426" s="455">
        <v>51763</v>
      </c>
      <c r="S426" s="168">
        <v>66726.42</v>
      </c>
      <c r="T426" s="523">
        <v>51763</v>
      </c>
      <c r="W426" s="462">
        <f t="shared" si="6"/>
        <v>14963.419999999998</v>
      </c>
    </row>
    <row r="427" spans="1:23">
      <c r="A427" s="168" t="s">
        <v>1355</v>
      </c>
      <c r="B427" s="455" t="s">
        <v>1552</v>
      </c>
      <c r="C427" s="455" t="s">
        <v>595</v>
      </c>
      <c r="D427" s="168" t="s">
        <v>1569</v>
      </c>
      <c r="E427" s="150">
        <v>10717.83</v>
      </c>
      <c r="F427" s="456">
        <v>12300</v>
      </c>
      <c r="G427" s="168">
        <v>43117.08</v>
      </c>
      <c r="H427" s="168">
        <v>43117</v>
      </c>
      <c r="N427" s="168" t="s">
        <v>1355</v>
      </c>
      <c r="O427" s="455" t="s">
        <v>1552</v>
      </c>
      <c r="P427" s="455" t="s">
        <v>595</v>
      </c>
      <c r="Q427" s="455">
        <v>95000</v>
      </c>
      <c r="R427" s="455">
        <v>10718</v>
      </c>
      <c r="S427" s="168">
        <v>13992.77</v>
      </c>
      <c r="T427" s="523">
        <v>13992</v>
      </c>
      <c r="W427" s="168">
        <f t="shared" si="6"/>
        <v>0.77000000000043656</v>
      </c>
    </row>
    <row r="428" spans="1:23">
      <c r="A428" s="168" t="s">
        <v>1356</v>
      </c>
      <c r="B428" s="455" t="s">
        <v>1552</v>
      </c>
      <c r="C428" s="455" t="s">
        <v>545</v>
      </c>
      <c r="D428" s="168" t="s">
        <v>1569</v>
      </c>
      <c r="E428" s="150">
        <v>761.95</v>
      </c>
      <c r="F428" s="456">
        <v>765</v>
      </c>
      <c r="G428" s="168">
        <v>0</v>
      </c>
      <c r="H428" s="168">
        <v>0</v>
      </c>
      <c r="N428" s="168" t="s">
        <v>1356</v>
      </c>
      <c r="O428" s="455" t="s">
        <v>1552</v>
      </c>
      <c r="P428" s="455" t="s">
        <v>545</v>
      </c>
      <c r="Q428" s="455">
        <v>15000</v>
      </c>
      <c r="R428" s="455">
        <v>1000</v>
      </c>
      <c r="S428" s="168">
        <v>0</v>
      </c>
      <c r="T428" s="523">
        <v>0</v>
      </c>
      <c r="W428" s="168">
        <f t="shared" si="6"/>
        <v>0</v>
      </c>
    </row>
    <row r="429" spans="1:23">
      <c r="A429" s="168" t="s">
        <v>1357</v>
      </c>
      <c r="B429" s="455" t="s">
        <v>1552</v>
      </c>
      <c r="C429" s="455" t="s">
        <v>545</v>
      </c>
      <c r="D429" s="168" t="s">
        <v>1569</v>
      </c>
      <c r="E429" s="150">
        <v>2501.7800000000002</v>
      </c>
      <c r="F429" s="456">
        <v>3400</v>
      </c>
      <c r="G429" s="168">
        <v>0</v>
      </c>
      <c r="H429" s="168">
        <v>0</v>
      </c>
      <c r="N429" s="168" t="s">
        <v>1357</v>
      </c>
      <c r="O429" s="455" t="s">
        <v>1552</v>
      </c>
      <c r="P429" s="455" t="s">
        <v>545</v>
      </c>
      <c r="Q429" s="455">
        <v>37500</v>
      </c>
      <c r="R429" s="455">
        <v>5000</v>
      </c>
      <c r="S429" s="168">
        <v>320</v>
      </c>
      <c r="T429" s="523">
        <v>320</v>
      </c>
      <c r="W429" s="168">
        <f t="shared" si="6"/>
        <v>0</v>
      </c>
    </row>
    <row r="430" spans="1:23">
      <c r="A430" s="168" t="s">
        <v>1358</v>
      </c>
      <c r="B430" s="455" t="s">
        <v>1553</v>
      </c>
      <c r="C430" s="455" t="s">
        <v>616</v>
      </c>
      <c r="D430" s="168" t="s">
        <v>1569</v>
      </c>
      <c r="E430" s="150">
        <v>4386.16</v>
      </c>
      <c r="F430" s="456">
        <v>4400</v>
      </c>
      <c r="G430" s="168">
        <v>737.58</v>
      </c>
      <c r="H430" s="168">
        <v>737</v>
      </c>
      <c r="N430" s="168" t="s">
        <v>1358</v>
      </c>
      <c r="O430" s="455" t="s">
        <v>1553</v>
      </c>
      <c r="P430" s="455" t="s">
        <v>616</v>
      </c>
      <c r="Q430" s="455">
        <v>4605</v>
      </c>
      <c r="R430" s="455">
        <v>3000</v>
      </c>
      <c r="S430" s="168">
        <v>1161.56</v>
      </c>
      <c r="T430" s="523">
        <v>1162</v>
      </c>
      <c r="W430" s="168">
        <f t="shared" si="6"/>
        <v>-0.44000000000005457</v>
      </c>
    </row>
    <row r="431" spans="1:23">
      <c r="A431" s="168" t="s">
        <v>1359</v>
      </c>
      <c r="B431" s="455" t="s">
        <v>1553</v>
      </c>
      <c r="C431" s="455" t="s">
        <v>622</v>
      </c>
      <c r="D431" s="168" t="s">
        <v>1569</v>
      </c>
      <c r="E431" s="150">
        <v>24648.79</v>
      </c>
      <c r="F431" s="456">
        <v>25000</v>
      </c>
      <c r="G431" s="168">
        <v>32500.32</v>
      </c>
      <c r="H431" s="168">
        <v>32500</v>
      </c>
      <c r="N431" s="168" t="s">
        <v>1359</v>
      </c>
      <c r="O431" s="455" t="s">
        <v>1553</v>
      </c>
      <c r="P431" s="455" t="s">
        <v>622</v>
      </c>
      <c r="Q431" s="455">
        <v>14509</v>
      </c>
      <c r="R431" s="455">
        <v>8000</v>
      </c>
      <c r="S431" s="168">
        <v>4594.92</v>
      </c>
      <c r="T431" s="523">
        <v>4595</v>
      </c>
      <c r="W431" s="168">
        <f t="shared" si="6"/>
        <v>-7.999999999992724E-2</v>
      </c>
    </row>
    <row r="432" spans="1:23">
      <c r="A432" s="168" t="s">
        <v>1360</v>
      </c>
      <c r="B432" s="455" t="s">
        <v>1553</v>
      </c>
      <c r="C432" s="455" t="s">
        <v>2322</v>
      </c>
      <c r="D432" s="168" t="s">
        <v>1569</v>
      </c>
      <c r="E432" s="150">
        <v>19924.759999999998</v>
      </c>
      <c r="F432" s="456">
        <v>20000</v>
      </c>
      <c r="G432" s="168">
        <v>0</v>
      </c>
      <c r="H432" s="168">
        <v>0</v>
      </c>
      <c r="N432" s="168" t="s">
        <v>1360</v>
      </c>
      <c r="O432" s="455" t="s">
        <v>1553</v>
      </c>
      <c r="P432" s="455" t="s">
        <v>2322</v>
      </c>
      <c r="Q432" s="455">
        <v>21917</v>
      </c>
      <c r="R432" s="455">
        <v>21917</v>
      </c>
      <c r="S432" s="168">
        <v>0</v>
      </c>
      <c r="T432" s="523">
        <v>0</v>
      </c>
      <c r="W432" s="168">
        <f t="shared" si="6"/>
        <v>0</v>
      </c>
    </row>
    <row r="433" spans="1:23">
      <c r="A433" s="168" t="s">
        <v>1361</v>
      </c>
      <c r="B433" s="455" t="s">
        <v>1553</v>
      </c>
      <c r="C433" s="455" t="s">
        <v>253</v>
      </c>
      <c r="D433" s="168" t="s">
        <v>1569</v>
      </c>
      <c r="E433" s="150">
        <v>2105.12</v>
      </c>
      <c r="F433" s="456">
        <v>2600</v>
      </c>
      <c r="G433" s="168">
        <v>0</v>
      </c>
      <c r="H433" s="168">
        <v>0</v>
      </c>
      <c r="N433" s="168" t="s">
        <v>1361</v>
      </c>
      <c r="O433" s="455" t="s">
        <v>1553</v>
      </c>
      <c r="P433" s="455" t="s">
        <v>253</v>
      </c>
      <c r="Q433" s="455">
        <v>1719</v>
      </c>
      <c r="R433" s="455">
        <v>948</v>
      </c>
      <c r="S433" s="168">
        <v>0</v>
      </c>
      <c r="T433" s="523">
        <v>0</v>
      </c>
      <c r="W433" s="168">
        <f t="shared" si="6"/>
        <v>0</v>
      </c>
    </row>
    <row r="434" spans="1:23">
      <c r="A434" s="168" t="s">
        <v>1362</v>
      </c>
      <c r="B434" s="455" t="s">
        <v>1553</v>
      </c>
      <c r="C434" s="455" t="s">
        <v>50</v>
      </c>
      <c r="D434" s="168" t="s">
        <v>1569</v>
      </c>
      <c r="E434" s="150">
        <v>38860.379999999997</v>
      </c>
      <c r="F434" s="456">
        <v>38900</v>
      </c>
      <c r="G434" s="168">
        <v>4719.62</v>
      </c>
      <c r="H434" s="168">
        <v>4720</v>
      </c>
      <c r="N434" s="168" t="s">
        <v>1362</v>
      </c>
      <c r="O434" s="455" t="s">
        <v>1553</v>
      </c>
      <c r="P434" s="455" t="s">
        <v>50</v>
      </c>
      <c r="Q434" s="455">
        <v>38860</v>
      </c>
      <c r="R434" s="455">
        <v>4790</v>
      </c>
      <c r="S434" s="168">
        <v>966.28</v>
      </c>
      <c r="T434" s="523">
        <v>967</v>
      </c>
      <c r="W434" s="168">
        <f t="shared" si="6"/>
        <v>-0.72000000000002728</v>
      </c>
    </row>
    <row r="435" spans="1:23">
      <c r="B435" s="455"/>
      <c r="E435" s="150"/>
      <c r="N435" s="168" t="s">
        <v>3731</v>
      </c>
      <c r="O435" s="455"/>
      <c r="P435" s="455" t="s">
        <v>3732</v>
      </c>
      <c r="Q435" s="455">
        <v>2772</v>
      </c>
      <c r="R435" s="455"/>
      <c r="T435" s="523"/>
      <c r="W435" s="168">
        <f t="shared" si="6"/>
        <v>0</v>
      </c>
    </row>
    <row r="436" spans="1:23">
      <c r="A436" s="168" t="s">
        <v>1363</v>
      </c>
      <c r="B436" s="455" t="s">
        <v>1553</v>
      </c>
      <c r="C436" s="455" t="s">
        <v>1364</v>
      </c>
      <c r="D436" s="168" t="s">
        <v>1569</v>
      </c>
      <c r="E436" s="150">
        <v>0</v>
      </c>
      <c r="F436" s="456">
        <v>0</v>
      </c>
      <c r="G436" s="168">
        <v>0</v>
      </c>
      <c r="H436" s="168">
        <v>0</v>
      </c>
      <c r="N436" s="168" t="s">
        <v>1363</v>
      </c>
      <c r="O436" s="455" t="s">
        <v>1553</v>
      </c>
      <c r="P436" s="455" t="s">
        <v>1364</v>
      </c>
      <c r="Q436" s="455"/>
      <c r="R436" s="455"/>
      <c r="S436" s="168">
        <v>0</v>
      </c>
      <c r="T436" s="523">
        <v>0</v>
      </c>
      <c r="W436" s="168">
        <f t="shared" si="6"/>
        <v>0</v>
      </c>
    </row>
    <row r="437" spans="1:23">
      <c r="A437" s="168" t="s">
        <v>1365</v>
      </c>
      <c r="B437" s="455" t="s">
        <v>1553</v>
      </c>
      <c r="C437" s="455" t="s">
        <v>273</v>
      </c>
      <c r="D437" s="168" t="s">
        <v>1569</v>
      </c>
      <c r="E437" s="150">
        <v>0</v>
      </c>
      <c r="F437" s="456">
        <v>0</v>
      </c>
      <c r="G437" s="168">
        <v>0</v>
      </c>
      <c r="H437" s="168">
        <v>0</v>
      </c>
      <c r="N437" s="168" t="s">
        <v>1365</v>
      </c>
      <c r="O437" s="455" t="s">
        <v>1553</v>
      </c>
      <c r="P437" s="455" t="s">
        <v>273</v>
      </c>
      <c r="Q437" s="455"/>
      <c r="R437" s="455"/>
      <c r="S437" s="168">
        <v>0</v>
      </c>
      <c r="T437" s="523">
        <v>0</v>
      </c>
      <c r="W437" s="168">
        <f t="shared" si="6"/>
        <v>0</v>
      </c>
    </row>
    <row r="438" spans="1:23" ht="15.75" thickBot="1">
      <c r="A438" s="168" t="s">
        <v>1366</v>
      </c>
      <c r="B438" s="455" t="s">
        <v>1553</v>
      </c>
      <c r="C438" s="455">
        <v>2</v>
      </c>
      <c r="D438" s="168" t="s">
        <v>1569</v>
      </c>
      <c r="E438" s="150">
        <v>0</v>
      </c>
      <c r="F438" s="456">
        <v>0</v>
      </c>
      <c r="G438" s="168">
        <v>0</v>
      </c>
      <c r="H438" s="168">
        <v>0</v>
      </c>
      <c r="N438" s="168" t="s">
        <v>1366</v>
      </c>
      <c r="O438" s="455" t="s">
        <v>1553</v>
      </c>
      <c r="P438" s="455">
        <v>2</v>
      </c>
      <c r="Q438" s="455"/>
      <c r="R438" s="455"/>
      <c r="S438" s="168">
        <v>0</v>
      </c>
      <c r="T438" s="523">
        <v>0</v>
      </c>
      <c r="W438" s="168">
        <f t="shared" si="6"/>
        <v>0</v>
      </c>
    </row>
    <row r="439" spans="1:23" ht="16.5" thickTop="1" thickBot="1">
      <c r="A439" s="554" t="s">
        <v>2668</v>
      </c>
      <c r="B439" s="555"/>
      <c r="C439" s="555"/>
      <c r="D439" s="556"/>
      <c r="E439" s="560">
        <f>SUM(E414:E438)</f>
        <v>1845488.9100000001</v>
      </c>
      <c r="F439" s="560">
        <f>SUM(F414:F438)</f>
        <v>1904905</v>
      </c>
      <c r="G439" s="560">
        <f>SUM(G414:G438)</f>
        <v>2621619.8000000007</v>
      </c>
      <c r="H439" s="560">
        <f>SUM(H414:H438)</f>
        <v>2548461</v>
      </c>
      <c r="N439" s="554" t="s">
        <v>2668</v>
      </c>
      <c r="O439" s="555"/>
      <c r="P439" s="555"/>
      <c r="Q439" s="555">
        <f>SUM(Q414:Q438)</f>
        <v>2886014</v>
      </c>
      <c r="R439" s="555">
        <f>SUM(R414:R438)</f>
        <v>2709505</v>
      </c>
      <c r="S439" s="560">
        <f>SUM(S414:S438)</f>
        <v>2508040.2599999998</v>
      </c>
      <c r="T439" s="558">
        <f>SUM(T414:T438)</f>
        <v>2493077</v>
      </c>
      <c r="U439" s="603">
        <f>SUM(S439)</f>
        <v>2508040.2599999998</v>
      </c>
      <c r="V439" s="168">
        <f>SUM(T439)</f>
        <v>2493077</v>
      </c>
      <c r="W439" s="168">
        <f t="shared" si="6"/>
        <v>14963.259999999776</v>
      </c>
    </row>
    <row r="440" spans="1:23" ht="15.75" thickTop="1">
      <c r="B440" s="455"/>
      <c r="E440" s="150"/>
      <c r="O440" s="455"/>
      <c r="P440" s="455"/>
      <c r="Q440" s="455"/>
      <c r="R440" s="455"/>
      <c r="T440" s="523"/>
      <c r="V440" s="603">
        <f>SUM(V411:V439)</f>
        <v>2475291</v>
      </c>
      <c r="W440" s="168">
        <f t="shared" si="6"/>
        <v>0</v>
      </c>
    </row>
    <row r="441" spans="1:23">
      <c r="A441" s="168" t="s">
        <v>2706</v>
      </c>
      <c r="B441" s="455" t="s">
        <v>431</v>
      </c>
      <c r="C441" s="455" t="s">
        <v>1368</v>
      </c>
      <c r="D441" s="168" t="s">
        <v>1570</v>
      </c>
      <c r="E441" s="150">
        <v>-81850.44</v>
      </c>
      <c r="F441" s="456">
        <v>-85049</v>
      </c>
      <c r="G441" s="168">
        <v>-94387.76</v>
      </c>
      <c r="H441" s="168">
        <v>-106081</v>
      </c>
      <c r="N441" s="168" t="s">
        <v>2706</v>
      </c>
      <c r="O441" s="455" t="s">
        <v>431</v>
      </c>
      <c r="P441" s="455" t="s">
        <v>1368</v>
      </c>
      <c r="Q441" s="455">
        <v>-94860</v>
      </c>
      <c r="R441" s="455">
        <v>-80000</v>
      </c>
      <c r="S441" s="168">
        <v>-104622.56</v>
      </c>
      <c r="T441" s="523">
        <v>-80000</v>
      </c>
      <c r="W441" s="168">
        <f t="shared" si="6"/>
        <v>-24622.559999999998</v>
      </c>
    </row>
    <row r="442" spans="1:23" ht="15.75" thickBot="1">
      <c r="A442" s="168" t="s">
        <v>1367</v>
      </c>
      <c r="B442" s="455" t="s">
        <v>1730</v>
      </c>
      <c r="C442" s="455" t="s">
        <v>2707</v>
      </c>
      <c r="D442" s="168" t="s">
        <v>1570</v>
      </c>
      <c r="E442" s="150">
        <v>-556645.17000000004</v>
      </c>
      <c r="F442" s="456">
        <v>0</v>
      </c>
      <c r="G442" s="168">
        <v>0</v>
      </c>
      <c r="H442" s="168">
        <v>-1500000</v>
      </c>
      <c r="N442" s="168" t="s">
        <v>1367</v>
      </c>
      <c r="O442" s="455" t="s">
        <v>1730</v>
      </c>
      <c r="P442" s="455" t="s">
        <v>2707</v>
      </c>
      <c r="Q442" s="455">
        <v>-2500000</v>
      </c>
      <c r="R442" s="455">
        <v>-2500000</v>
      </c>
      <c r="S442" s="168">
        <v>0</v>
      </c>
      <c r="T442" s="523">
        <v>-2500000</v>
      </c>
      <c r="W442" s="168">
        <f t="shared" si="6"/>
        <v>2500000</v>
      </c>
    </row>
    <row r="443" spans="1:23" ht="16.5" thickTop="1" thickBot="1">
      <c r="A443" s="554" t="s">
        <v>2668</v>
      </c>
      <c r="B443" s="555"/>
      <c r="C443" s="555"/>
      <c r="D443" s="556"/>
      <c r="E443" s="560">
        <f>SUM(E441:E442)</f>
        <v>-638495.6100000001</v>
      </c>
      <c r="F443" s="560">
        <f>SUM(F441:F442)</f>
        <v>-85049</v>
      </c>
      <c r="G443" s="560">
        <f>SUM(G441:G442)</f>
        <v>-94387.76</v>
      </c>
      <c r="H443" s="560">
        <f>SUM(H441:H442)</f>
        <v>-1606081</v>
      </c>
      <c r="I443" s="168">
        <v>1606081</v>
      </c>
      <c r="N443" s="554" t="s">
        <v>2668</v>
      </c>
      <c r="O443" s="555"/>
      <c r="P443" s="555"/>
      <c r="Q443" s="555">
        <f>SUM(Q441:Q442)</f>
        <v>-2594860</v>
      </c>
      <c r="R443" s="555">
        <f>SUM(R441:R442)</f>
        <v>-2580000</v>
      </c>
      <c r="S443" s="560">
        <f>SUM(S441:S442)</f>
        <v>-104622.56</v>
      </c>
      <c r="T443" s="558">
        <f>SUM(T441:T442)</f>
        <v>-2580000</v>
      </c>
      <c r="U443" s="168">
        <f>SUM(S443)</f>
        <v>-104622.56</v>
      </c>
      <c r="V443" s="168">
        <f>SUM(T443)</f>
        <v>-2580000</v>
      </c>
      <c r="W443" s="168">
        <f t="shared" si="6"/>
        <v>2475377.44</v>
      </c>
    </row>
    <row r="444" spans="1:23" ht="15.75" thickTop="1">
      <c r="B444" s="455"/>
      <c r="E444" s="150"/>
      <c r="O444" s="455"/>
      <c r="P444" s="455"/>
      <c r="Q444" s="455"/>
      <c r="R444" s="455"/>
      <c r="T444" s="523"/>
      <c r="W444" s="168">
        <f t="shared" si="6"/>
        <v>0</v>
      </c>
    </row>
    <row r="445" spans="1:23">
      <c r="A445" s="168" t="s">
        <v>1369</v>
      </c>
      <c r="B445" s="455" t="s">
        <v>1549</v>
      </c>
      <c r="C445" s="455" t="s">
        <v>75</v>
      </c>
      <c r="D445" s="168" t="s">
        <v>1570</v>
      </c>
      <c r="E445" s="150">
        <v>114792.12</v>
      </c>
      <c r="F445" s="456">
        <v>115000</v>
      </c>
      <c r="G445" s="168">
        <v>124987.48</v>
      </c>
      <c r="H445" s="168">
        <v>124987</v>
      </c>
      <c r="N445" s="168" t="s">
        <v>1369</v>
      </c>
      <c r="O445" s="455" t="s">
        <v>1549</v>
      </c>
      <c r="P445" s="455" t="s">
        <v>75</v>
      </c>
      <c r="Q445" s="455">
        <v>363781</v>
      </c>
      <c r="R445" s="455">
        <v>363781</v>
      </c>
      <c r="S445" s="168">
        <v>135026.79999999999</v>
      </c>
      <c r="T445" s="523">
        <v>135027</v>
      </c>
      <c r="W445" s="168">
        <f t="shared" si="6"/>
        <v>-0.20000000001164153</v>
      </c>
    </row>
    <row r="446" spans="1:23">
      <c r="A446" s="168" t="s">
        <v>1370</v>
      </c>
      <c r="B446" s="455" t="s">
        <v>1549</v>
      </c>
      <c r="C446" s="455" t="s">
        <v>77</v>
      </c>
      <c r="D446" s="168" t="s">
        <v>1570</v>
      </c>
      <c r="E446" s="150">
        <v>3466.8</v>
      </c>
      <c r="F446" s="456">
        <v>3500</v>
      </c>
      <c r="G446" s="168">
        <v>13715.45</v>
      </c>
      <c r="H446" s="168">
        <v>13715</v>
      </c>
      <c r="N446" s="168" t="s">
        <v>1370</v>
      </c>
      <c r="O446" s="455" t="s">
        <v>1549</v>
      </c>
      <c r="P446" s="455" t="s">
        <v>77</v>
      </c>
      <c r="Q446" s="455">
        <v>10000</v>
      </c>
      <c r="R446" s="455">
        <v>10000</v>
      </c>
      <c r="S446" s="168">
        <v>13840.2</v>
      </c>
      <c r="T446" s="523">
        <v>13840</v>
      </c>
      <c r="W446" s="168">
        <f t="shared" si="6"/>
        <v>0.2000000000007276</v>
      </c>
    </row>
    <row r="447" spans="1:23">
      <c r="A447" s="168" t="s">
        <v>1371</v>
      </c>
      <c r="B447" s="455" t="s">
        <v>1549</v>
      </c>
      <c r="C447" s="455" t="s">
        <v>60</v>
      </c>
      <c r="D447" s="168" t="s">
        <v>1570</v>
      </c>
      <c r="E447" s="150">
        <v>9630.2099999999991</v>
      </c>
      <c r="F447" s="456">
        <v>9730</v>
      </c>
      <c r="G447" s="168">
        <v>10429.530000000001</v>
      </c>
      <c r="H447" s="168">
        <v>10430</v>
      </c>
      <c r="N447" s="168" t="s">
        <v>1371</v>
      </c>
      <c r="O447" s="455" t="s">
        <v>1549</v>
      </c>
      <c r="P447" s="455" t="s">
        <v>60</v>
      </c>
      <c r="Q447" s="455">
        <v>30315</v>
      </c>
      <c r="R447" s="455">
        <v>30315</v>
      </c>
      <c r="S447" s="168">
        <v>11889.65</v>
      </c>
      <c r="T447" s="523">
        <v>11890</v>
      </c>
      <c r="W447" s="168">
        <f t="shared" si="6"/>
        <v>-0.3500000000003638</v>
      </c>
    </row>
    <row r="448" spans="1:23">
      <c r="B448" s="455"/>
      <c r="E448" s="150"/>
      <c r="N448" s="168" t="s">
        <v>3729</v>
      </c>
      <c r="O448" s="455"/>
      <c r="P448" s="455" t="s">
        <v>3730</v>
      </c>
      <c r="Q448" s="455">
        <v>16488</v>
      </c>
      <c r="R448" s="455">
        <v>16488</v>
      </c>
      <c r="T448" s="523"/>
      <c r="W448" s="168">
        <f t="shared" si="6"/>
        <v>0</v>
      </c>
    </row>
    <row r="449" spans="1:23">
      <c r="A449" s="168" t="s">
        <v>1372</v>
      </c>
      <c r="B449" s="455" t="s">
        <v>1549</v>
      </c>
      <c r="C449" s="455" t="s">
        <v>575</v>
      </c>
      <c r="D449" s="168" t="s">
        <v>1570</v>
      </c>
      <c r="E449" s="150">
        <v>0</v>
      </c>
      <c r="F449" s="456">
        <v>0</v>
      </c>
      <c r="G449" s="168">
        <v>0</v>
      </c>
      <c r="H449" s="168">
        <v>0</v>
      </c>
      <c r="N449" s="168" t="s">
        <v>1372</v>
      </c>
      <c r="O449" s="455" t="s">
        <v>1549</v>
      </c>
      <c r="P449" s="455" t="s">
        <v>575</v>
      </c>
      <c r="Q449" s="455">
        <v>24842</v>
      </c>
      <c r="R449" s="455">
        <v>24842</v>
      </c>
      <c r="S449" s="168">
        <v>0</v>
      </c>
      <c r="T449" s="523">
        <v>0</v>
      </c>
      <c r="W449" s="168">
        <f t="shared" si="6"/>
        <v>0</v>
      </c>
    </row>
    <row r="450" spans="1:23">
      <c r="A450" s="168" t="s">
        <v>1373</v>
      </c>
      <c r="B450" s="455" t="s">
        <v>1549</v>
      </c>
      <c r="C450" s="455" t="s">
        <v>590</v>
      </c>
      <c r="D450" s="168" t="s">
        <v>1570</v>
      </c>
      <c r="E450" s="150">
        <v>23439.96</v>
      </c>
      <c r="F450" s="456">
        <v>24000</v>
      </c>
      <c r="G450" s="168">
        <v>25385.52</v>
      </c>
      <c r="H450" s="168">
        <v>25386</v>
      </c>
      <c r="N450" s="168" t="s">
        <v>1373</v>
      </c>
      <c r="O450" s="455" t="s">
        <v>1549</v>
      </c>
      <c r="P450" s="455" t="s">
        <v>590</v>
      </c>
      <c r="Q450" s="455">
        <v>80032</v>
      </c>
      <c r="R450" s="455">
        <v>80032</v>
      </c>
      <c r="S450" s="168">
        <v>28312.21</v>
      </c>
      <c r="T450" s="523">
        <v>28313</v>
      </c>
      <c r="W450" s="168">
        <f t="shared" si="6"/>
        <v>-0.79000000000087311</v>
      </c>
    </row>
    <row r="451" spans="1:23">
      <c r="A451" s="168" t="s">
        <v>1374</v>
      </c>
      <c r="B451" s="455" t="s">
        <v>1549</v>
      </c>
      <c r="C451" s="455" t="s">
        <v>590</v>
      </c>
      <c r="D451" s="168" t="s">
        <v>1570</v>
      </c>
      <c r="E451" s="150">
        <v>1310.67</v>
      </c>
      <c r="F451" s="456">
        <v>1400</v>
      </c>
      <c r="G451" s="168">
        <v>1491.42</v>
      </c>
      <c r="H451" s="168">
        <v>1497</v>
      </c>
      <c r="N451" s="168" t="s">
        <v>1374</v>
      </c>
      <c r="O451" s="455" t="s">
        <v>1549</v>
      </c>
      <c r="P451" s="455" t="s">
        <v>590</v>
      </c>
      <c r="Q451" s="455">
        <v>3638</v>
      </c>
      <c r="R451" s="455">
        <v>3638</v>
      </c>
      <c r="S451" s="168">
        <v>1681.24</v>
      </c>
      <c r="T451" s="523">
        <v>1682</v>
      </c>
      <c r="W451" s="168">
        <f t="shared" si="6"/>
        <v>-0.75999999999999091</v>
      </c>
    </row>
    <row r="452" spans="1:23">
      <c r="A452" s="168" t="s">
        <v>1375</v>
      </c>
      <c r="B452" s="455" t="s">
        <v>1549</v>
      </c>
      <c r="C452" s="455" t="s">
        <v>590</v>
      </c>
      <c r="D452" s="168" t="s">
        <v>1570</v>
      </c>
      <c r="E452" s="150">
        <v>0</v>
      </c>
      <c r="F452" s="456">
        <v>0</v>
      </c>
      <c r="G452" s="168">
        <v>0</v>
      </c>
      <c r="H452" s="168">
        <v>0</v>
      </c>
      <c r="N452" s="168" t="s">
        <v>1375</v>
      </c>
      <c r="O452" s="455" t="s">
        <v>1549</v>
      </c>
      <c r="P452" s="455" t="s">
        <v>590</v>
      </c>
      <c r="Q452" s="455">
        <v>5566</v>
      </c>
      <c r="R452" s="455">
        <v>5566</v>
      </c>
      <c r="S452" s="168">
        <v>0</v>
      </c>
      <c r="T452" s="523">
        <v>0</v>
      </c>
      <c r="W452" s="168">
        <f t="shared" ref="W452:W515" si="7">S452-T452</f>
        <v>0</v>
      </c>
    </row>
    <row r="453" spans="1:23">
      <c r="A453" s="168" t="s">
        <v>1376</v>
      </c>
      <c r="B453" s="455" t="s">
        <v>1549</v>
      </c>
      <c r="C453" s="455" t="s">
        <v>1807</v>
      </c>
      <c r="D453" s="168" t="s">
        <v>1570</v>
      </c>
      <c r="E453" s="150">
        <v>115.2</v>
      </c>
      <c r="F453" s="456">
        <v>120</v>
      </c>
      <c r="G453" s="168">
        <v>124.2</v>
      </c>
      <c r="H453" s="168">
        <v>124</v>
      </c>
      <c r="N453" s="168" t="s">
        <v>1376</v>
      </c>
      <c r="O453" s="455" t="s">
        <v>1549</v>
      </c>
      <c r="P453" s="455" t="s">
        <v>1807</v>
      </c>
      <c r="Q453" s="455">
        <v>331</v>
      </c>
      <c r="R453" s="455">
        <v>331</v>
      </c>
      <c r="S453" s="168">
        <v>135</v>
      </c>
      <c r="T453" s="523">
        <v>135</v>
      </c>
      <c r="W453" s="168">
        <f t="shared" si="7"/>
        <v>0</v>
      </c>
    </row>
    <row r="454" spans="1:23">
      <c r="A454" s="168" t="s">
        <v>1377</v>
      </c>
      <c r="B454" s="455" t="s">
        <v>1551</v>
      </c>
      <c r="C454" s="455" t="s">
        <v>592</v>
      </c>
      <c r="D454" s="168" t="s">
        <v>1570</v>
      </c>
      <c r="E454" s="150">
        <v>0</v>
      </c>
      <c r="F454" s="456">
        <v>1729</v>
      </c>
      <c r="G454" s="168">
        <v>0</v>
      </c>
      <c r="H454" s="168">
        <v>10242</v>
      </c>
      <c r="N454" s="168" t="s">
        <v>1377</v>
      </c>
      <c r="O454" s="455" t="s">
        <v>1551</v>
      </c>
      <c r="P454" s="455" t="s">
        <v>592</v>
      </c>
      <c r="Q454" s="455">
        <v>10857</v>
      </c>
      <c r="R454" s="455">
        <v>10857</v>
      </c>
      <c r="S454" s="168">
        <v>0</v>
      </c>
      <c r="T454" s="523">
        <v>10857</v>
      </c>
      <c r="W454" s="462">
        <f t="shared" si="7"/>
        <v>-10857</v>
      </c>
    </row>
    <row r="455" spans="1:23">
      <c r="A455" s="168" t="s">
        <v>1378</v>
      </c>
      <c r="B455" s="455" t="s">
        <v>1552</v>
      </c>
      <c r="C455" s="455" t="s">
        <v>545</v>
      </c>
      <c r="D455" s="168" t="s">
        <v>1570</v>
      </c>
      <c r="E455" s="150">
        <v>2671.35</v>
      </c>
      <c r="F455" s="456">
        <v>3500</v>
      </c>
      <c r="G455" s="168">
        <v>27.53</v>
      </c>
      <c r="H455" s="168">
        <v>28</v>
      </c>
      <c r="N455" s="168" t="s">
        <v>1378</v>
      </c>
      <c r="O455" s="455" t="s">
        <v>1552</v>
      </c>
      <c r="P455" s="455" t="s">
        <v>545</v>
      </c>
      <c r="Q455" s="455">
        <v>2671</v>
      </c>
      <c r="R455" s="455">
        <v>2671</v>
      </c>
      <c r="S455" s="168">
        <v>0</v>
      </c>
      <c r="T455" s="523">
        <v>0</v>
      </c>
      <c r="W455" s="168">
        <f t="shared" si="7"/>
        <v>0</v>
      </c>
    </row>
    <row r="456" spans="1:23">
      <c r="A456" s="168" t="s">
        <v>1379</v>
      </c>
      <c r="B456" s="455" t="s">
        <v>1553</v>
      </c>
      <c r="C456" s="455" t="s">
        <v>616</v>
      </c>
      <c r="D456" s="168" t="s">
        <v>1570</v>
      </c>
      <c r="E456" s="150">
        <v>1531.53</v>
      </c>
      <c r="F456" s="456">
        <v>1600</v>
      </c>
      <c r="G456" s="168">
        <v>1810.65</v>
      </c>
      <c r="H456" s="168">
        <v>1810</v>
      </c>
      <c r="N456" s="168" t="s">
        <v>1379</v>
      </c>
      <c r="O456" s="455" t="s">
        <v>1553</v>
      </c>
      <c r="P456" s="455" t="s">
        <v>616</v>
      </c>
      <c r="Q456" s="455">
        <v>2161</v>
      </c>
      <c r="R456" s="455">
        <v>3000</v>
      </c>
      <c r="S456" s="168">
        <v>2704.05</v>
      </c>
      <c r="T456" s="523">
        <v>2705</v>
      </c>
      <c r="W456" s="168">
        <f t="shared" si="7"/>
        <v>-0.9499999999998181</v>
      </c>
    </row>
    <row r="457" spans="1:23">
      <c r="A457" s="168" t="s">
        <v>1380</v>
      </c>
      <c r="B457" s="455" t="s">
        <v>1553</v>
      </c>
      <c r="C457" s="455" t="s">
        <v>2322</v>
      </c>
      <c r="D457" s="168" t="s">
        <v>1570</v>
      </c>
      <c r="E457" s="150">
        <v>3993.12</v>
      </c>
      <c r="F457" s="456">
        <v>4000</v>
      </c>
      <c r="G457" s="168">
        <v>0</v>
      </c>
      <c r="H457" s="168">
        <v>0</v>
      </c>
      <c r="N457" s="168" t="s">
        <v>1380</v>
      </c>
      <c r="O457" s="455" t="s">
        <v>1553</v>
      </c>
      <c r="P457" s="455" t="s">
        <v>2322</v>
      </c>
      <c r="Q457" s="455">
        <v>4392</v>
      </c>
      <c r="R457" s="455">
        <v>4392</v>
      </c>
      <c r="S457" s="168">
        <v>0</v>
      </c>
      <c r="T457" s="523">
        <v>0</v>
      </c>
      <c r="W457" s="168">
        <f t="shared" si="7"/>
        <v>0</v>
      </c>
    </row>
    <row r="458" spans="1:23">
      <c r="A458" s="168" t="s">
        <v>1381</v>
      </c>
      <c r="B458" s="455" t="s">
        <v>1553</v>
      </c>
      <c r="C458" s="455" t="s">
        <v>253</v>
      </c>
      <c r="D458" s="168" t="s">
        <v>1570</v>
      </c>
      <c r="E458" s="150">
        <v>0</v>
      </c>
      <c r="F458" s="456">
        <v>0</v>
      </c>
      <c r="G458" s="168">
        <v>0</v>
      </c>
      <c r="H458" s="168">
        <v>0</v>
      </c>
      <c r="N458" s="168" t="s">
        <v>1381</v>
      </c>
      <c r="O458" s="455" t="s">
        <v>1553</v>
      </c>
      <c r="P458" s="455" t="s">
        <v>253</v>
      </c>
      <c r="Q458" s="455">
        <v>802</v>
      </c>
      <c r="R458" s="455">
        <v>802</v>
      </c>
      <c r="S458" s="168">
        <v>0</v>
      </c>
      <c r="T458" s="523">
        <v>0</v>
      </c>
      <c r="W458" s="168">
        <f t="shared" si="7"/>
        <v>0</v>
      </c>
    </row>
    <row r="459" spans="1:23">
      <c r="A459" s="168" t="s">
        <v>1382</v>
      </c>
      <c r="B459" s="455" t="s">
        <v>1553</v>
      </c>
      <c r="C459" s="455" t="s">
        <v>2325</v>
      </c>
      <c r="D459" s="168" t="s">
        <v>1570</v>
      </c>
      <c r="E459" s="150">
        <v>3227.86</v>
      </c>
      <c r="F459" s="456">
        <v>4500</v>
      </c>
      <c r="G459" s="168">
        <v>0</v>
      </c>
      <c r="H459" s="168">
        <v>0</v>
      </c>
      <c r="N459" s="168" t="s">
        <v>1382</v>
      </c>
      <c r="O459" s="455" t="s">
        <v>1553</v>
      </c>
      <c r="P459" s="455" t="s">
        <v>2325</v>
      </c>
      <c r="Q459" s="455">
        <v>8456</v>
      </c>
      <c r="R459" s="455">
        <v>3228</v>
      </c>
      <c r="S459" s="168">
        <v>0</v>
      </c>
      <c r="T459" s="523">
        <v>0</v>
      </c>
      <c r="W459" s="168">
        <f t="shared" si="7"/>
        <v>0</v>
      </c>
    </row>
    <row r="460" spans="1:23">
      <c r="B460" s="455"/>
      <c r="E460" s="150"/>
      <c r="N460" s="561" t="s">
        <v>3471</v>
      </c>
      <c r="O460" s="455"/>
      <c r="P460" s="455"/>
      <c r="Q460" s="455">
        <v>2500000</v>
      </c>
      <c r="R460" s="455">
        <v>2500000</v>
      </c>
      <c r="S460" s="168">
        <v>0</v>
      </c>
      <c r="T460" s="523">
        <v>2500000</v>
      </c>
      <c r="W460" s="168">
        <f t="shared" si="7"/>
        <v>-2500000</v>
      </c>
    </row>
    <row r="461" spans="1:23">
      <c r="A461" s="168" t="s">
        <v>1383</v>
      </c>
      <c r="B461" s="455" t="s">
        <v>1553</v>
      </c>
      <c r="C461" s="455" t="s">
        <v>2295</v>
      </c>
      <c r="D461" s="168" t="s">
        <v>1570</v>
      </c>
      <c r="E461" s="150">
        <v>0</v>
      </c>
      <c r="F461" s="456">
        <v>0</v>
      </c>
      <c r="G461" s="168">
        <v>0</v>
      </c>
      <c r="H461" s="168">
        <v>0</v>
      </c>
      <c r="N461" s="168" t="s">
        <v>1383</v>
      </c>
      <c r="O461" s="455" t="s">
        <v>1553</v>
      </c>
      <c r="P461" s="455" t="s">
        <v>2295</v>
      </c>
      <c r="Q461" s="455"/>
      <c r="R461" s="455"/>
      <c r="S461" s="168">
        <v>0</v>
      </c>
      <c r="T461" s="523">
        <v>0</v>
      </c>
      <c r="W461" s="168">
        <f t="shared" si="7"/>
        <v>0</v>
      </c>
    </row>
    <row r="462" spans="1:23">
      <c r="A462" s="168" t="s">
        <v>1385</v>
      </c>
      <c r="B462" s="455" t="s">
        <v>1553</v>
      </c>
      <c r="C462" s="455" t="s">
        <v>1386</v>
      </c>
      <c r="D462" s="168" t="s">
        <v>1570</v>
      </c>
      <c r="E462" s="150">
        <v>0</v>
      </c>
      <c r="F462" s="456">
        <v>1716645</v>
      </c>
      <c r="G462" s="168">
        <v>0</v>
      </c>
      <c r="H462" s="168">
        <v>0</v>
      </c>
      <c r="N462" s="168" t="s">
        <v>1385</v>
      </c>
      <c r="O462" s="455" t="s">
        <v>1553</v>
      </c>
      <c r="P462" s="455" t="s">
        <v>1386</v>
      </c>
      <c r="Q462" s="455"/>
      <c r="R462" s="455"/>
      <c r="S462" s="168">
        <v>0</v>
      </c>
      <c r="T462" s="523">
        <v>0</v>
      </c>
      <c r="W462" s="168">
        <f t="shared" si="7"/>
        <v>0</v>
      </c>
    </row>
    <row r="463" spans="1:23">
      <c r="A463" s="168" t="s">
        <v>1387</v>
      </c>
      <c r="B463" s="455" t="s">
        <v>1553</v>
      </c>
      <c r="C463" s="455" t="s">
        <v>2326</v>
      </c>
      <c r="D463" s="168" t="s">
        <v>1570</v>
      </c>
      <c r="E463" s="150">
        <v>0</v>
      </c>
      <c r="F463" s="456">
        <v>0</v>
      </c>
      <c r="G463" s="168">
        <v>0</v>
      </c>
      <c r="H463" s="168">
        <v>0</v>
      </c>
      <c r="N463" s="168" t="s">
        <v>1387</v>
      </c>
      <c r="O463" s="455" t="s">
        <v>1553</v>
      </c>
      <c r="P463" s="455" t="s">
        <v>2326</v>
      </c>
      <c r="Q463" s="455"/>
      <c r="R463" s="455"/>
      <c r="S463" s="168">
        <v>0</v>
      </c>
      <c r="T463" s="523">
        <v>0</v>
      </c>
      <c r="W463" s="168">
        <f t="shared" si="7"/>
        <v>0</v>
      </c>
    </row>
    <row r="464" spans="1:23" ht="15.75" thickBot="1">
      <c r="A464" s="168" t="s">
        <v>1388</v>
      </c>
      <c r="B464" s="455" t="s">
        <v>1553</v>
      </c>
      <c r="C464" s="455" t="s">
        <v>1386</v>
      </c>
      <c r="D464" s="168" t="s">
        <v>1570</v>
      </c>
      <c r="E464" s="150">
        <v>0</v>
      </c>
      <c r="F464" s="456">
        <v>-1716645</v>
      </c>
      <c r="N464" s="168" t="s">
        <v>1388</v>
      </c>
      <c r="O464" s="455" t="s">
        <v>1553</v>
      </c>
      <c r="P464" s="455" t="s">
        <v>1386</v>
      </c>
      <c r="Q464" s="455"/>
      <c r="R464" s="455"/>
      <c r="T464" s="523"/>
      <c r="W464" s="168">
        <f t="shared" si="7"/>
        <v>0</v>
      </c>
    </row>
    <row r="465" spans="1:23" ht="16.5" thickTop="1" thickBot="1">
      <c r="A465" s="554" t="s">
        <v>2668</v>
      </c>
      <c r="B465" s="555"/>
      <c r="C465" s="555"/>
      <c r="D465" s="556"/>
      <c r="E465" s="560">
        <f>SUM(E445:E464)</f>
        <v>164178.82</v>
      </c>
      <c r="F465" s="560">
        <f>SUM(F445:F464)</f>
        <v>169079</v>
      </c>
      <c r="G465" s="560">
        <f>SUM(G445:G464)</f>
        <v>177971.78</v>
      </c>
      <c r="H465" s="560">
        <f>SUM(H445:H464)</f>
        <v>188219</v>
      </c>
      <c r="N465" s="554" t="s">
        <v>2668</v>
      </c>
      <c r="O465" s="555"/>
      <c r="P465" s="555"/>
      <c r="Q465" s="555">
        <f>SUM(Q445:Q464)</f>
        <v>3064332</v>
      </c>
      <c r="R465" s="555">
        <f>SUM(R445:R464)</f>
        <v>3059943</v>
      </c>
      <c r="S465" s="560">
        <f>SUM(S445:S464)</f>
        <v>193589.14999999997</v>
      </c>
      <c r="T465" s="558">
        <f>SUM(T445:T464)</f>
        <v>2704449</v>
      </c>
      <c r="U465" s="168">
        <f>SUM(S465)</f>
        <v>193589.14999999997</v>
      </c>
      <c r="V465" s="168">
        <f>SUM(T465)</f>
        <v>2704449</v>
      </c>
      <c r="W465" s="168">
        <f t="shared" si="7"/>
        <v>-2510859.85</v>
      </c>
    </row>
    <row r="466" spans="1:23" ht="15.75" thickTop="1">
      <c r="B466" s="455"/>
      <c r="E466" s="150"/>
      <c r="O466" s="455"/>
      <c r="P466" s="455"/>
      <c r="Q466" s="455"/>
      <c r="R466" s="455"/>
      <c r="T466" s="523"/>
      <c r="U466" s="603">
        <f>SUM(U443:U465)</f>
        <v>88966.589999999967</v>
      </c>
      <c r="V466" s="603">
        <f>SUM(V443:V465)</f>
        <v>124449</v>
      </c>
      <c r="W466" s="168">
        <f t="shared" si="7"/>
        <v>0</v>
      </c>
    </row>
    <row r="467" spans="1:23" ht="15.75" thickBot="1">
      <c r="A467" s="168" t="s">
        <v>1390</v>
      </c>
      <c r="B467" s="455" t="s">
        <v>29</v>
      </c>
      <c r="C467" s="455" t="s">
        <v>2328</v>
      </c>
      <c r="D467" s="168" t="s">
        <v>1571</v>
      </c>
      <c r="E467" s="150">
        <v>-3910829.34</v>
      </c>
      <c r="F467" s="456">
        <v>-4348479</v>
      </c>
      <c r="G467" s="168">
        <v>-4232136.21</v>
      </c>
      <c r="H467" s="168">
        <v>-3335595</v>
      </c>
      <c r="N467" s="168" t="s">
        <v>1390</v>
      </c>
      <c r="O467" s="455" t="s">
        <v>29</v>
      </c>
      <c r="P467" s="455" t="s">
        <v>2328</v>
      </c>
      <c r="Q467" s="455">
        <v>-3975169</v>
      </c>
      <c r="R467" s="455">
        <v>-3975169</v>
      </c>
      <c r="S467" s="168">
        <v>-5016917.6399999997</v>
      </c>
      <c r="T467" s="523">
        <v>-3975169</v>
      </c>
      <c r="W467" s="168">
        <f t="shared" si="7"/>
        <v>-1041748.6399999997</v>
      </c>
    </row>
    <row r="468" spans="1:23" ht="16.5" thickTop="1" thickBot="1">
      <c r="A468" s="554" t="s">
        <v>2668</v>
      </c>
      <c r="B468" s="555"/>
      <c r="C468" s="555"/>
      <c r="D468" s="556"/>
      <c r="E468" s="560">
        <f>SUM(E467:E467)</f>
        <v>-3910829.34</v>
      </c>
      <c r="F468" s="560">
        <f>SUM(F467:F467)</f>
        <v>-4348479</v>
      </c>
      <c r="G468" s="560">
        <f>SUM(G467:G467)</f>
        <v>-4232136.21</v>
      </c>
      <c r="H468" s="560">
        <f>SUM(H467:H467)</f>
        <v>-3335595</v>
      </c>
      <c r="I468" s="168">
        <v>3335595</v>
      </c>
      <c r="N468" s="554" t="s">
        <v>2668</v>
      </c>
      <c r="O468" s="555"/>
      <c r="P468" s="555"/>
      <c r="Q468" s="555">
        <f>SUM(Q467)</f>
        <v>-3975169</v>
      </c>
      <c r="R468" s="555">
        <f>SUM(R467)</f>
        <v>-3975169</v>
      </c>
      <c r="S468" s="560">
        <f>SUM(S467:S467)</f>
        <v>-5016917.6399999997</v>
      </c>
      <c r="T468" s="558">
        <f>SUM(T467:T467)</f>
        <v>-3975169</v>
      </c>
      <c r="U468" s="168">
        <f>SUM(S468)</f>
        <v>-5016917.6399999997</v>
      </c>
      <c r="V468" s="168">
        <f>SUM(T468)</f>
        <v>-3975169</v>
      </c>
      <c r="W468" s="168">
        <f t="shared" si="7"/>
        <v>-1041748.6399999997</v>
      </c>
    </row>
    <row r="469" spans="1:23" ht="15.75" thickTop="1">
      <c r="B469" s="455"/>
      <c r="E469" s="150"/>
      <c r="O469" s="455"/>
      <c r="P469" s="455"/>
      <c r="Q469" s="455"/>
      <c r="R469" s="455"/>
      <c r="T469" s="523"/>
      <c r="W469" s="168">
        <f t="shared" si="7"/>
        <v>0</v>
      </c>
    </row>
    <row r="470" spans="1:23">
      <c r="A470" s="168" t="s">
        <v>1391</v>
      </c>
      <c r="B470" s="455" t="s">
        <v>1549</v>
      </c>
      <c r="C470" s="455" t="s">
        <v>75</v>
      </c>
      <c r="D470" s="168" t="s">
        <v>1571</v>
      </c>
      <c r="E470" s="150">
        <v>1499634.28</v>
      </c>
      <c r="F470" s="456">
        <v>1500000</v>
      </c>
      <c r="G470" s="168">
        <v>1659604.99</v>
      </c>
      <c r="H470" s="168">
        <v>1659605</v>
      </c>
      <c r="N470" s="168" t="s">
        <v>1391</v>
      </c>
      <c r="O470" s="455" t="s">
        <v>1549</v>
      </c>
      <c r="P470" s="455" t="s">
        <v>75</v>
      </c>
      <c r="Q470" s="455">
        <v>2217316</v>
      </c>
      <c r="R470" s="455">
        <v>2217316</v>
      </c>
      <c r="S470" s="168">
        <v>1644066.12</v>
      </c>
      <c r="T470" s="523">
        <v>1644067</v>
      </c>
      <c r="W470" s="168">
        <f t="shared" si="7"/>
        <v>-0.87999999988824129</v>
      </c>
    </row>
    <row r="471" spans="1:23">
      <c r="A471" s="168" t="s">
        <v>1392</v>
      </c>
      <c r="B471" s="455" t="s">
        <v>1549</v>
      </c>
      <c r="C471" s="455" t="s">
        <v>77</v>
      </c>
      <c r="D471" s="168" t="s">
        <v>1571</v>
      </c>
      <c r="E471" s="150">
        <v>227917.51</v>
      </c>
      <c r="F471" s="456">
        <v>228000</v>
      </c>
      <c r="G471" s="168">
        <v>462512.03</v>
      </c>
      <c r="H471" s="168">
        <v>462512</v>
      </c>
      <c r="N471" s="168" t="s">
        <v>1392</v>
      </c>
      <c r="O471" s="455" t="s">
        <v>1549</v>
      </c>
      <c r="P471" s="455" t="s">
        <v>77</v>
      </c>
      <c r="Q471" s="455">
        <v>260000</v>
      </c>
      <c r="R471" s="455">
        <v>260000</v>
      </c>
      <c r="S471" s="168">
        <v>518160.92</v>
      </c>
      <c r="T471" s="523">
        <v>518160</v>
      </c>
      <c r="W471" s="168">
        <f t="shared" si="7"/>
        <v>0.91999999998370185</v>
      </c>
    </row>
    <row r="472" spans="1:23">
      <c r="A472" s="168" t="s">
        <v>1393</v>
      </c>
      <c r="B472" s="455" t="s">
        <v>1549</v>
      </c>
      <c r="C472" s="455" t="s">
        <v>60</v>
      </c>
      <c r="D472" s="168" t="s">
        <v>1571</v>
      </c>
      <c r="E472" s="150">
        <v>116460.75</v>
      </c>
      <c r="F472" s="456">
        <v>126162</v>
      </c>
      <c r="G472" s="168">
        <v>140499.20000000001</v>
      </c>
      <c r="H472" s="168">
        <v>140500</v>
      </c>
      <c r="N472" s="168" t="s">
        <v>1393</v>
      </c>
      <c r="O472" s="455" t="s">
        <v>1549</v>
      </c>
      <c r="P472" s="455" t="s">
        <v>60</v>
      </c>
      <c r="Q472" s="455">
        <v>187469</v>
      </c>
      <c r="R472" s="455">
        <v>187469</v>
      </c>
      <c r="S472" s="168">
        <v>143052.15</v>
      </c>
      <c r="T472" s="523">
        <v>143053</v>
      </c>
      <c r="W472" s="168">
        <f t="shared" si="7"/>
        <v>-0.85000000000582077</v>
      </c>
    </row>
    <row r="473" spans="1:23">
      <c r="A473" s="168" t="s">
        <v>1394</v>
      </c>
      <c r="B473" s="455" t="s">
        <v>1549</v>
      </c>
      <c r="C473" s="455" t="s">
        <v>1395</v>
      </c>
      <c r="D473" s="168" t="s">
        <v>1571</v>
      </c>
      <c r="E473" s="150">
        <v>0</v>
      </c>
      <c r="F473" s="456">
        <v>0</v>
      </c>
      <c r="G473" s="168">
        <v>781.19</v>
      </c>
      <c r="H473" s="168">
        <v>781</v>
      </c>
      <c r="N473" s="168" t="s">
        <v>1394</v>
      </c>
      <c r="O473" s="455" t="s">
        <v>1549</v>
      </c>
      <c r="P473" s="455" t="s">
        <v>1395</v>
      </c>
      <c r="Q473" s="455"/>
      <c r="R473" s="455"/>
      <c r="S473" s="168">
        <v>0</v>
      </c>
      <c r="T473" s="523">
        <v>0</v>
      </c>
      <c r="W473" s="168">
        <f t="shared" si="7"/>
        <v>0</v>
      </c>
    </row>
    <row r="474" spans="1:23">
      <c r="A474" s="168" t="s">
        <v>1396</v>
      </c>
      <c r="B474" s="455" t="s">
        <v>1549</v>
      </c>
      <c r="C474" s="455" t="s">
        <v>515</v>
      </c>
      <c r="D474" s="168" t="s">
        <v>1571</v>
      </c>
      <c r="E474" s="150">
        <v>0</v>
      </c>
      <c r="F474" s="456">
        <v>0</v>
      </c>
      <c r="G474" s="168">
        <v>0</v>
      </c>
      <c r="H474" s="168">
        <v>0</v>
      </c>
      <c r="N474" s="168" t="s">
        <v>1396</v>
      </c>
      <c r="O474" s="455" t="s">
        <v>1549</v>
      </c>
      <c r="P474" s="455" t="s">
        <v>515</v>
      </c>
      <c r="Q474" s="455"/>
      <c r="R474" s="455"/>
      <c r="S474" s="168">
        <v>0</v>
      </c>
      <c r="T474" s="523">
        <v>0</v>
      </c>
      <c r="W474" s="168">
        <f t="shared" si="7"/>
        <v>0</v>
      </c>
    </row>
    <row r="475" spans="1:23">
      <c r="A475" s="168" t="s">
        <v>1397</v>
      </c>
      <c r="B475" s="455" t="s">
        <v>1549</v>
      </c>
      <c r="C475" s="455" t="s">
        <v>660</v>
      </c>
      <c r="D475" s="168" t="s">
        <v>1571</v>
      </c>
      <c r="E475" s="150">
        <v>0</v>
      </c>
      <c r="F475" s="456">
        <v>0</v>
      </c>
      <c r="G475" s="168">
        <v>0</v>
      </c>
      <c r="H475" s="168">
        <v>0</v>
      </c>
      <c r="N475" s="168" t="s">
        <v>1397</v>
      </c>
      <c r="O475" s="455" t="s">
        <v>1549</v>
      </c>
      <c r="P475" s="455" t="s">
        <v>660</v>
      </c>
      <c r="Q475" s="455"/>
      <c r="R475" s="455"/>
      <c r="S475" s="168">
        <v>0</v>
      </c>
      <c r="T475" s="523">
        <v>0</v>
      </c>
      <c r="W475" s="168">
        <f t="shared" si="7"/>
        <v>0</v>
      </c>
    </row>
    <row r="476" spans="1:23">
      <c r="A476" s="168" t="s">
        <v>1398</v>
      </c>
      <c r="B476" s="455" t="s">
        <v>1549</v>
      </c>
      <c r="C476" s="455" t="s">
        <v>767</v>
      </c>
      <c r="D476" s="168" t="s">
        <v>1571</v>
      </c>
      <c r="E476" s="150">
        <v>0</v>
      </c>
      <c r="F476" s="456">
        <v>0</v>
      </c>
      <c r="G476" s="168">
        <v>0</v>
      </c>
      <c r="H476" s="168">
        <v>0</v>
      </c>
      <c r="N476" s="168" t="s">
        <v>1398</v>
      </c>
      <c r="O476" s="455" t="s">
        <v>1549</v>
      </c>
      <c r="P476" s="455" t="s">
        <v>767</v>
      </c>
      <c r="Q476" s="455"/>
      <c r="R476" s="455"/>
      <c r="S476" s="168">
        <v>0</v>
      </c>
      <c r="T476" s="523">
        <v>0</v>
      </c>
      <c r="W476" s="168">
        <f t="shared" si="7"/>
        <v>0</v>
      </c>
    </row>
    <row r="477" spans="1:23">
      <c r="A477" s="168" t="s">
        <v>1399</v>
      </c>
      <c r="B477" s="455" t="s">
        <v>1549</v>
      </c>
      <c r="C477" s="455" t="s">
        <v>590</v>
      </c>
      <c r="D477" s="168" t="s">
        <v>1571</v>
      </c>
      <c r="E477" s="150">
        <v>0</v>
      </c>
      <c r="F477" s="456">
        <v>0</v>
      </c>
      <c r="G477" s="168">
        <v>4749.6000000000004</v>
      </c>
      <c r="H477" s="168">
        <v>4750</v>
      </c>
      <c r="N477" s="168" t="s">
        <v>1399</v>
      </c>
      <c r="O477" s="455" t="s">
        <v>1549</v>
      </c>
      <c r="P477" s="455" t="s">
        <v>590</v>
      </c>
      <c r="Q477" s="455">
        <v>198737</v>
      </c>
      <c r="R477" s="455">
        <v>198737</v>
      </c>
      <c r="S477" s="168">
        <v>3755.4</v>
      </c>
      <c r="T477" s="523">
        <v>3756</v>
      </c>
      <c r="W477" s="168">
        <f t="shared" si="7"/>
        <v>-0.59999999999990905</v>
      </c>
    </row>
    <row r="478" spans="1:23">
      <c r="A478" s="168" t="s">
        <v>1400</v>
      </c>
      <c r="B478" s="455" t="s">
        <v>1549</v>
      </c>
      <c r="C478" s="455" t="s">
        <v>590</v>
      </c>
      <c r="D478" s="168" t="s">
        <v>1571</v>
      </c>
      <c r="E478" s="150">
        <v>319519.44</v>
      </c>
      <c r="F478" s="456">
        <v>319600</v>
      </c>
      <c r="G478" s="168">
        <v>355786.54</v>
      </c>
      <c r="H478" s="168">
        <v>335787</v>
      </c>
      <c r="N478" s="168" t="s">
        <v>1400</v>
      </c>
      <c r="O478" s="455" t="s">
        <v>1549</v>
      </c>
      <c r="P478" s="455" t="s">
        <v>590</v>
      </c>
      <c r="Q478" s="455">
        <v>459039</v>
      </c>
      <c r="R478" s="455">
        <v>459039</v>
      </c>
      <c r="S478" s="168">
        <v>361517.35</v>
      </c>
      <c r="T478" s="523">
        <v>361518</v>
      </c>
      <c r="W478" s="168">
        <f t="shared" si="7"/>
        <v>-0.65000000002328306</v>
      </c>
    </row>
    <row r="479" spans="1:23">
      <c r="A479" s="168" t="s">
        <v>1401</v>
      </c>
      <c r="B479" s="455" t="s">
        <v>1549</v>
      </c>
      <c r="C479" s="455" t="s">
        <v>590</v>
      </c>
      <c r="D479" s="168" t="s">
        <v>1571</v>
      </c>
      <c r="E479" s="150">
        <v>18689.27</v>
      </c>
      <c r="F479" s="456">
        <v>18700</v>
      </c>
      <c r="G479" s="168">
        <v>23035.85</v>
      </c>
      <c r="H479" s="168">
        <v>23035</v>
      </c>
      <c r="N479" s="168" t="s">
        <v>1401</v>
      </c>
      <c r="O479" s="455" t="s">
        <v>1549</v>
      </c>
      <c r="P479" s="455" t="s">
        <v>590</v>
      </c>
      <c r="Q479" s="455">
        <v>22173</v>
      </c>
      <c r="R479" s="455">
        <v>22173</v>
      </c>
      <c r="S479" s="168">
        <v>23729.65</v>
      </c>
      <c r="T479" s="523">
        <v>23729</v>
      </c>
      <c r="W479" s="168">
        <f t="shared" si="7"/>
        <v>0.65000000000145519</v>
      </c>
    </row>
    <row r="480" spans="1:23">
      <c r="A480" s="168" t="s">
        <v>1402</v>
      </c>
      <c r="B480" s="455" t="s">
        <v>1549</v>
      </c>
      <c r="C480" s="455" t="s">
        <v>590</v>
      </c>
      <c r="D480" s="168" t="s">
        <v>1571</v>
      </c>
      <c r="E480" s="150">
        <v>4391.1000000000004</v>
      </c>
      <c r="F480" s="456">
        <v>4400</v>
      </c>
      <c r="G480" s="168">
        <v>6974.88</v>
      </c>
      <c r="H480" s="168">
        <v>6975</v>
      </c>
      <c r="N480" s="168" t="s">
        <v>1402</v>
      </c>
      <c r="O480" s="455" t="s">
        <v>1549</v>
      </c>
      <c r="P480" s="455" t="s">
        <v>590</v>
      </c>
      <c r="Q480" s="455">
        <v>33925</v>
      </c>
      <c r="R480" s="455">
        <v>33925</v>
      </c>
      <c r="S480" s="168">
        <v>7718.37</v>
      </c>
      <c r="T480" s="523">
        <v>7719</v>
      </c>
      <c r="W480" s="168">
        <f t="shared" si="7"/>
        <v>-0.63000000000010914</v>
      </c>
    </row>
    <row r="481" spans="1:23">
      <c r="A481" s="168" t="s">
        <v>1403</v>
      </c>
      <c r="B481" s="455" t="s">
        <v>1549</v>
      </c>
      <c r="C481" s="455" t="s">
        <v>1807</v>
      </c>
      <c r="D481" s="168" t="s">
        <v>1571</v>
      </c>
      <c r="E481" s="150">
        <v>1417.6</v>
      </c>
      <c r="F481" s="456">
        <v>1420</v>
      </c>
      <c r="G481" s="168">
        <v>1569.75</v>
      </c>
      <c r="H481" s="168">
        <v>1570</v>
      </c>
      <c r="N481" s="168" t="s">
        <v>1403</v>
      </c>
      <c r="O481" s="455" t="s">
        <v>1549</v>
      </c>
      <c r="P481" s="455" t="s">
        <v>1807</v>
      </c>
      <c r="Q481" s="455">
        <v>1656</v>
      </c>
      <c r="R481" s="455">
        <v>1656</v>
      </c>
      <c r="S481" s="168">
        <v>1567.5</v>
      </c>
      <c r="T481" s="523">
        <v>1568</v>
      </c>
      <c r="W481" s="168">
        <f t="shared" si="7"/>
        <v>-0.5</v>
      </c>
    </row>
    <row r="482" spans="1:23">
      <c r="A482" s="168" t="s">
        <v>1404</v>
      </c>
      <c r="B482" s="455" t="s">
        <v>1551</v>
      </c>
      <c r="C482" s="455" t="s">
        <v>592</v>
      </c>
      <c r="D482" s="168" t="s">
        <v>1571</v>
      </c>
      <c r="E482" s="150">
        <v>0</v>
      </c>
      <c r="F482" s="456">
        <v>4072</v>
      </c>
      <c r="G482" s="168">
        <v>1595922</v>
      </c>
      <c r="H482" s="168">
        <v>146492</v>
      </c>
      <c r="N482" s="168" t="s">
        <v>1404</v>
      </c>
      <c r="O482" s="455" t="s">
        <v>1551</v>
      </c>
      <c r="P482" s="455" t="s">
        <v>592</v>
      </c>
      <c r="Q482" s="455">
        <v>162748</v>
      </c>
      <c r="R482" s="455">
        <v>162748</v>
      </c>
      <c r="S482" s="168">
        <v>-21596.03</v>
      </c>
      <c r="T482" s="523">
        <v>162748</v>
      </c>
      <c r="W482" s="462">
        <f t="shared" si="7"/>
        <v>-184344.03</v>
      </c>
    </row>
    <row r="483" spans="1:23">
      <c r="A483" s="168" t="s">
        <v>2022</v>
      </c>
      <c r="B483" s="455" t="s">
        <v>1552</v>
      </c>
      <c r="C483" s="455" t="s">
        <v>595</v>
      </c>
      <c r="D483" s="168" t="s">
        <v>1571</v>
      </c>
      <c r="E483" s="150">
        <v>5419.69</v>
      </c>
      <c r="F483" s="456">
        <v>5450</v>
      </c>
      <c r="G483" s="168">
        <v>5292.68</v>
      </c>
      <c r="H483" s="168">
        <v>5292</v>
      </c>
      <c r="N483" s="168" t="s">
        <v>2022</v>
      </c>
      <c r="O483" s="455" t="s">
        <v>1552</v>
      </c>
      <c r="P483" s="455" t="s">
        <v>595</v>
      </c>
      <c r="Q483" s="455">
        <v>11122</v>
      </c>
      <c r="R483" s="455">
        <v>11122</v>
      </c>
      <c r="S483" s="168">
        <v>13902.54</v>
      </c>
      <c r="T483" s="523">
        <v>13902</v>
      </c>
      <c r="W483" s="168">
        <f t="shared" si="7"/>
        <v>0.54000000000087311</v>
      </c>
    </row>
    <row r="484" spans="1:23">
      <c r="A484" s="168" t="s">
        <v>1163</v>
      </c>
      <c r="B484" s="455" t="s">
        <v>1552</v>
      </c>
      <c r="C484" s="455" t="s">
        <v>1164</v>
      </c>
      <c r="D484" s="168" t="s">
        <v>1571</v>
      </c>
      <c r="E484" s="150">
        <v>2935.88</v>
      </c>
      <c r="F484" s="456">
        <v>2950</v>
      </c>
      <c r="G484" s="168">
        <v>2105.7399999999998</v>
      </c>
      <c r="H484" s="168">
        <v>2105</v>
      </c>
      <c r="N484" s="168" t="s">
        <v>1163</v>
      </c>
      <c r="O484" s="455" t="s">
        <v>1552</v>
      </c>
      <c r="P484" s="455" t="s">
        <v>1164</v>
      </c>
      <c r="Q484" s="455">
        <v>10058</v>
      </c>
      <c r="R484" s="455">
        <v>10058</v>
      </c>
      <c r="S484" s="168">
        <v>0</v>
      </c>
      <c r="T484" s="523">
        <v>0</v>
      </c>
      <c r="W484" s="168">
        <f t="shared" si="7"/>
        <v>0</v>
      </c>
    </row>
    <row r="485" spans="1:23">
      <c r="A485" s="168" t="s">
        <v>1165</v>
      </c>
      <c r="B485" s="455" t="s">
        <v>1552</v>
      </c>
      <c r="C485" s="455" t="s">
        <v>1164</v>
      </c>
      <c r="D485" s="168" t="s">
        <v>1571</v>
      </c>
      <c r="E485" s="150">
        <v>55213.84</v>
      </c>
      <c r="F485" s="456">
        <v>58000</v>
      </c>
      <c r="G485" s="168">
        <v>46288.56</v>
      </c>
      <c r="H485" s="168">
        <v>46288</v>
      </c>
      <c r="N485" s="168" t="s">
        <v>1165</v>
      </c>
      <c r="O485" s="455" t="s">
        <v>1552</v>
      </c>
      <c r="P485" s="455" t="s">
        <v>1164</v>
      </c>
      <c r="Q485" s="455">
        <v>60348</v>
      </c>
      <c r="R485" s="455">
        <v>60348</v>
      </c>
      <c r="S485" s="168">
        <v>51345.760000000002</v>
      </c>
      <c r="T485" s="523">
        <v>53521</v>
      </c>
      <c r="W485" s="168">
        <f t="shared" si="7"/>
        <v>-2175.239999999998</v>
      </c>
    </row>
    <row r="486" spans="1:23">
      <c r="B486" s="455"/>
      <c r="E486" s="150"/>
      <c r="N486" s="561" t="s">
        <v>1166</v>
      </c>
      <c r="O486" s="455"/>
      <c r="P486" s="455"/>
      <c r="Q486" s="455">
        <v>1348014</v>
      </c>
      <c r="R486" s="455">
        <v>1348014</v>
      </c>
      <c r="T486" s="523"/>
      <c r="W486" s="168">
        <f t="shared" si="7"/>
        <v>0</v>
      </c>
    </row>
    <row r="487" spans="1:23">
      <c r="A487" s="168" t="s">
        <v>1166</v>
      </c>
      <c r="B487" s="455" t="s">
        <v>1552</v>
      </c>
      <c r="C487" s="455" t="s">
        <v>99</v>
      </c>
      <c r="D487" s="168" t="s">
        <v>1571</v>
      </c>
      <c r="E487" s="150">
        <v>1659287.46</v>
      </c>
      <c r="F487" s="456">
        <v>1672426</v>
      </c>
      <c r="G487" s="168">
        <v>2242968.2400000002</v>
      </c>
      <c r="H487" s="168">
        <v>2242968</v>
      </c>
      <c r="N487" s="168" t="s">
        <v>3472</v>
      </c>
      <c r="O487" s="455" t="s">
        <v>1552</v>
      </c>
      <c r="P487" s="455" t="s">
        <v>99</v>
      </c>
      <c r="Q487" s="455"/>
      <c r="R487" s="455"/>
      <c r="S487" s="168">
        <v>2472733.4900000002</v>
      </c>
      <c r="T487" s="523">
        <v>2472733</v>
      </c>
      <c r="W487" s="168">
        <f t="shared" si="7"/>
        <v>0.49000000022351742</v>
      </c>
    </row>
    <row r="488" spans="1:23">
      <c r="A488" s="168" t="s">
        <v>1167</v>
      </c>
      <c r="B488" s="455" t="s">
        <v>2469</v>
      </c>
      <c r="C488" s="455" t="s">
        <v>2315</v>
      </c>
      <c r="D488" s="168" t="s">
        <v>1571</v>
      </c>
      <c r="E488" s="150">
        <v>57930.75</v>
      </c>
      <c r="F488" s="456">
        <v>161309</v>
      </c>
      <c r="G488" s="168">
        <v>88033.8</v>
      </c>
      <c r="H488" s="168">
        <v>88034</v>
      </c>
      <c r="N488" s="168" t="s">
        <v>1167</v>
      </c>
      <c r="O488" s="455" t="s">
        <v>2469</v>
      </c>
      <c r="P488" s="455" t="s">
        <v>2315</v>
      </c>
      <c r="Q488" s="455">
        <v>302002</v>
      </c>
      <c r="R488" s="455">
        <v>302002</v>
      </c>
      <c r="S488" s="168">
        <v>43612.21</v>
      </c>
      <c r="T488" s="523">
        <v>43613</v>
      </c>
      <c r="W488" s="168">
        <f t="shared" si="7"/>
        <v>-0.79000000000087311</v>
      </c>
    </row>
    <row r="489" spans="1:23" s="147" customFormat="1">
      <c r="A489" s="147" t="s">
        <v>1168</v>
      </c>
      <c r="B489" s="148" t="s">
        <v>2469</v>
      </c>
      <c r="C489" s="148" t="s">
        <v>2333</v>
      </c>
      <c r="D489" s="147" t="s">
        <v>1571</v>
      </c>
      <c r="E489" s="151">
        <v>0</v>
      </c>
      <c r="F489" s="149">
        <v>229761</v>
      </c>
      <c r="G489" s="168">
        <v>0</v>
      </c>
      <c r="H489" s="168">
        <v>0</v>
      </c>
      <c r="N489" s="147" t="s">
        <v>1168</v>
      </c>
      <c r="O489" s="148" t="s">
        <v>2469</v>
      </c>
      <c r="P489" s="148" t="s">
        <v>2333</v>
      </c>
      <c r="Q489" s="148"/>
      <c r="R489" s="148"/>
      <c r="S489" s="168">
        <v>0</v>
      </c>
      <c r="T489" s="523">
        <v>0</v>
      </c>
      <c r="W489" s="168">
        <f t="shared" si="7"/>
        <v>0</v>
      </c>
    </row>
    <row r="490" spans="1:23">
      <c r="A490" s="168" t="s">
        <v>1169</v>
      </c>
      <c r="B490" s="455" t="s">
        <v>1553</v>
      </c>
      <c r="C490" s="455" t="s">
        <v>99</v>
      </c>
      <c r="D490" s="168" t="s">
        <v>1571</v>
      </c>
      <c r="E490" s="150">
        <v>0</v>
      </c>
      <c r="F490" s="456">
        <v>0</v>
      </c>
      <c r="G490" s="168">
        <v>0</v>
      </c>
      <c r="H490" s="168">
        <v>0</v>
      </c>
      <c r="N490" s="168" t="s">
        <v>1169</v>
      </c>
      <c r="O490" s="455" t="s">
        <v>1553</v>
      </c>
      <c r="P490" s="455" t="s">
        <v>99</v>
      </c>
      <c r="Q490" s="455"/>
      <c r="R490" s="455"/>
      <c r="S490" s="168">
        <v>0</v>
      </c>
      <c r="T490" s="523">
        <v>0</v>
      </c>
      <c r="W490" s="168">
        <f t="shared" si="7"/>
        <v>0</v>
      </c>
    </row>
    <row r="491" spans="1:23">
      <c r="A491" s="168" t="s">
        <v>1170</v>
      </c>
      <c r="B491" s="455" t="s">
        <v>1553</v>
      </c>
      <c r="C491" s="455" t="s">
        <v>616</v>
      </c>
      <c r="D491" s="168" t="s">
        <v>1571</v>
      </c>
      <c r="E491" s="150">
        <v>35693.089999999997</v>
      </c>
      <c r="F491" s="456">
        <v>35904</v>
      </c>
      <c r="G491" s="168">
        <v>115002.87</v>
      </c>
      <c r="H491" s="168">
        <v>115002</v>
      </c>
      <c r="N491" s="168" t="s">
        <v>1170</v>
      </c>
      <c r="O491" s="455" t="s">
        <v>1553</v>
      </c>
      <c r="P491" s="455" t="s">
        <v>616</v>
      </c>
      <c r="Q491" s="455">
        <v>37478</v>
      </c>
      <c r="R491" s="455">
        <v>55000</v>
      </c>
      <c r="S491" s="168">
        <v>134610.22</v>
      </c>
      <c r="T491" s="523">
        <v>134610</v>
      </c>
      <c r="W491" s="168">
        <f t="shared" si="7"/>
        <v>0.22000000000116415</v>
      </c>
    </row>
    <row r="492" spans="1:23">
      <c r="A492" s="168" t="s">
        <v>1171</v>
      </c>
      <c r="B492" s="455" t="s">
        <v>1553</v>
      </c>
      <c r="C492" s="455" t="s">
        <v>622</v>
      </c>
      <c r="D492" s="168" t="s">
        <v>1571</v>
      </c>
      <c r="E492" s="150">
        <v>81634.75</v>
      </c>
      <c r="F492" s="456">
        <v>82000</v>
      </c>
      <c r="G492" s="168">
        <v>98533</v>
      </c>
      <c r="H492" s="168">
        <v>98533</v>
      </c>
      <c r="N492" s="168" t="s">
        <v>1171</v>
      </c>
      <c r="O492" s="455" t="s">
        <v>1553</v>
      </c>
      <c r="P492" s="455" t="s">
        <v>622</v>
      </c>
      <c r="Q492" s="455">
        <v>100580</v>
      </c>
      <c r="R492" s="455">
        <v>100580</v>
      </c>
      <c r="S492" s="168">
        <v>116532.57</v>
      </c>
      <c r="T492" s="523">
        <v>116532</v>
      </c>
      <c r="W492" s="168">
        <f t="shared" si="7"/>
        <v>0.57000000000698492</v>
      </c>
    </row>
    <row r="493" spans="1:23">
      <c r="A493" s="168" t="s">
        <v>1172</v>
      </c>
      <c r="B493" s="455" t="s">
        <v>1553</v>
      </c>
      <c r="C493" s="455" t="s">
        <v>2322</v>
      </c>
      <c r="D493" s="168" t="s">
        <v>1571</v>
      </c>
      <c r="E493" s="150">
        <v>8511.2800000000007</v>
      </c>
      <c r="F493" s="456">
        <v>8511</v>
      </c>
      <c r="G493" s="168">
        <v>0</v>
      </c>
      <c r="H493" s="168">
        <v>0</v>
      </c>
      <c r="N493" s="168" t="s">
        <v>1172</v>
      </c>
      <c r="O493" s="455" t="s">
        <v>1553</v>
      </c>
      <c r="P493" s="455" t="s">
        <v>2322</v>
      </c>
      <c r="Q493" s="455">
        <v>8937</v>
      </c>
      <c r="R493" s="455">
        <v>8937</v>
      </c>
      <c r="S493" s="168">
        <v>0</v>
      </c>
      <c r="T493" s="523">
        <v>0</v>
      </c>
      <c r="W493" s="168">
        <f t="shared" si="7"/>
        <v>0</v>
      </c>
    </row>
    <row r="494" spans="1:23">
      <c r="A494" s="168" t="s">
        <v>1173</v>
      </c>
      <c r="B494" s="455" t="s">
        <v>1553</v>
      </c>
      <c r="C494" s="455" t="s">
        <v>624</v>
      </c>
      <c r="D494" s="168" t="s">
        <v>1571</v>
      </c>
      <c r="E494" s="150">
        <v>3763</v>
      </c>
      <c r="F494" s="456">
        <v>4326</v>
      </c>
      <c r="G494" s="168">
        <v>2243</v>
      </c>
      <c r="H494" s="168">
        <v>2243</v>
      </c>
      <c r="N494" s="168" t="s">
        <v>1173</v>
      </c>
      <c r="O494" s="455" t="s">
        <v>1553</v>
      </c>
      <c r="P494" s="455" t="s">
        <v>624</v>
      </c>
      <c r="Q494" s="455">
        <v>4351</v>
      </c>
      <c r="R494" s="455">
        <v>3000</v>
      </c>
      <c r="S494" s="168">
        <v>282</v>
      </c>
      <c r="T494" s="523">
        <v>1134</v>
      </c>
      <c r="W494" s="462">
        <f t="shared" si="7"/>
        <v>-852</v>
      </c>
    </row>
    <row r="495" spans="1:23">
      <c r="A495" s="168" t="s">
        <v>1174</v>
      </c>
      <c r="B495" s="455" t="s">
        <v>1553</v>
      </c>
      <c r="C495" s="455" t="s">
        <v>633</v>
      </c>
      <c r="D495" s="168" t="s">
        <v>1571</v>
      </c>
      <c r="E495" s="150">
        <v>0</v>
      </c>
      <c r="F495" s="456">
        <v>0</v>
      </c>
      <c r="G495" s="168">
        <v>126.55</v>
      </c>
      <c r="H495" s="168">
        <v>126</v>
      </c>
      <c r="N495" s="168" t="s">
        <v>1174</v>
      </c>
      <c r="O495" s="455" t="s">
        <v>1553</v>
      </c>
      <c r="P495" s="455" t="s">
        <v>633</v>
      </c>
      <c r="Q495" s="455">
        <v>209</v>
      </c>
      <c r="R495" s="455">
        <v>209</v>
      </c>
      <c r="S495" s="168">
        <v>0</v>
      </c>
      <c r="T495" s="523">
        <v>0</v>
      </c>
      <c r="W495" s="168">
        <f t="shared" si="7"/>
        <v>0</v>
      </c>
    </row>
    <row r="496" spans="1:23">
      <c r="A496" s="168" t="s">
        <v>1175</v>
      </c>
      <c r="B496" s="455" t="s">
        <v>1553</v>
      </c>
      <c r="C496" s="455" t="s">
        <v>253</v>
      </c>
      <c r="D496" s="168" t="s">
        <v>1571</v>
      </c>
      <c r="E496" s="150">
        <v>63885.599999999999</v>
      </c>
      <c r="F496" s="456">
        <v>85000</v>
      </c>
      <c r="G496" s="168">
        <v>72110.73</v>
      </c>
      <c r="H496" s="168">
        <v>72110</v>
      </c>
      <c r="N496" s="168" t="s">
        <v>1175</v>
      </c>
      <c r="O496" s="455" t="s">
        <v>1553</v>
      </c>
      <c r="P496" s="455" t="s">
        <v>253</v>
      </c>
      <c r="Q496" s="455">
        <v>67080</v>
      </c>
      <c r="R496" s="455">
        <v>40000</v>
      </c>
      <c r="S496" s="168">
        <v>71263.67</v>
      </c>
      <c r="T496" s="523">
        <v>71332</v>
      </c>
      <c r="W496" s="168">
        <f t="shared" si="7"/>
        <v>-68.330000000001746</v>
      </c>
    </row>
    <row r="497" spans="1:23">
      <c r="A497" s="168" t="s">
        <v>2708</v>
      </c>
      <c r="B497" s="455"/>
      <c r="E497" s="150"/>
      <c r="G497" s="168">
        <v>898.87</v>
      </c>
      <c r="H497" s="168">
        <v>898</v>
      </c>
      <c r="N497" s="168" t="s">
        <v>2708</v>
      </c>
      <c r="O497" s="455"/>
      <c r="P497" s="455"/>
      <c r="Q497" s="455"/>
      <c r="R497" s="455"/>
      <c r="S497" s="168">
        <v>985.7</v>
      </c>
      <c r="T497" s="523">
        <v>985</v>
      </c>
      <c r="W497" s="168">
        <f t="shared" si="7"/>
        <v>0.70000000000004547</v>
      </c>
    </row>
    <row r="498" spans="1:23">
      <c r="A498" s="168" t="s">
        <v>1176</v>
      </c>
      <c r="B498" s="455" t="s">
        <v>1553</v>
      </c>
      <c r="C498" s="455" t="s">
        <v>52</v>
      </c>
      <c r="D498" s="168" t="s">
        <v>1571</v>
      </c>
      <c r="E498" s="150">
        <v>0</v>
      </c>
      <c r="F498" s="456">
        <v>0</v>
      </c>
      <c r="G498" s="168">
        <v>0</v>
      </c>
      <c r="H498" s="168">
        <v>0</v>
      </c>
      <c r="N498" s="168" t="s">
        <v>1176</v>
      </c>
      <c r="O498" s="455" t="s">
        <v>1553</v>
      </c>
      <c r="P498" s="455" t="s">
        <v>52</v>
      </c>
      <c r="Q498" s="455">
        <v>1351</v>
      </c>
      <c r="R498" s="455"/>
      <c r="S498" s="168">
        <v>0</v>
      </c>
      <c r="T498" s="523">
        <v>0</v>
      </c>
      <c r="W498" s="168">
        <f t="shared" si="7"/>
        <v>0</v>
      </c>
    </row>
    <row r="499" spans="1:23">
      <c r="A499" s="168" t="s">
        <v>1177</v>
      </c>
      <c r="B499" s="455" t="s">
        <v>1553</v>
      </c>
      <c r="C499" s="455" t="s">
        <v>52</v>
      </c>
      <c r="D499" s="168" t="s">
        <v>1571</v>
      </c>
      <c r="E499" s="150">
        <v>6511.03</v>
      </c>
      <c r="F499" s="456">
        <v>6600</v>
      </c>
      <c r="G499" s="168">
        <v>702.05</v>
      </c>
      <c r="H499" s="168">
        <v>702</v>
      </c>
      <c r="N499" s="168" t="s">
        <v>1177</v>
      </c>
      <c r="O499" s="455" t="s">
        <v>1553</v>
      </c>
      <c r="P499" s="455" t="s">
        <v>52</v>
      </c>
      <c r="Q499" s="455">
        <v>6837</v>
      </c>
      <c r="R499" s="455">
        <v>6837</v>
      </c>
      <c r="S499" s="168">
        <v>0</v>
      </c>
      <c r="T499" s="523">
        <v>0</v>
      </c>
      <c r="W499" s="168">
        <f t="shared" si="7"/>
        <v>0</v>
      </c>
    </row>
    <row r="500" spans="1:23">
      <c r="A500" s="168" t="s">
        <v>1178</v>
      </c>
      <c r="B500" s="455" t="s">
        <v>1553</v>
      </c>
      <c r="C500" s="455" t="s">
        <v>1179</v>
      </c>
      <c r="D500" s="168" t="s">
        <v>1571</v>
      </c>
      <c r="E500" s="150">
        <v>0</v>
      </c>
      <c r="F500" s="456">
        <v>0</v>
      </c>
      <c r="G500" s="168">
        <v>0</v>
      </c>
      <c r="H500" s="168">
        <v>0</v>
      </c>
      <c r="N500" s="168" t="s">
        <v>1178</v>
      </c>
      <c r="O500" s="455" t="s">
        <v>1553</v>
      </c>
      <c r="P500" s="455" t="s">
        <v>1179</v>
      </c>
      <c r="Q500" s="455"/>
      <c r="R500" s="455"/>
      <c r="S500" s="168">
        <v>0</v>
      </c>
      <c r="T500" s="523">
        <v>0</v>
      </c>
      <c r="W500" s="168">
        <f t="shared" si="7"/>
        <v>0</v>
      </c>
    </row>
    <row r="501" spans="1:23">
      <c r="A501" s="168" t="s">
        <v>1180</v>
      </c>
      <c r="B501" s="455" t="s">
        <v>1553</v>
      </c>
      <c r="C501" s="455" t="s">
        <v>461</v>
      </c>
      <c r="D501" s="168" t="s">
        <v>1571</v>
      </c>
      <c r="E501" s="150">
        <v>0</v>
      </c>
      <c r="F501" s="456">
        <v>0</v>
      </c>
      <c r="G501" s="168">
        <v>0</v>
      </c>
      <c r="H501" s="168">
        <v>0</v>
      </c>
      <c r="N501" s="168" t="s">
        <v>1180</v>
      </c>
      <c r="O501" s="455" t="s">
        <v>1553</v>
      </c>
      <c r="P501" s="455" t="s">
        <v>461</v>
      </c>
      <c r="Q501" s="455"/>
      <c r="R501" s="455"/>
      <c r="S501" s="168">
        <v>0</v>
      </c>
      <c r="T501" s="523">
        <v>0</v>
      </c>
      <c r="W501" s="168">
        <f t="shared" si="7"/>
        <v>0</v>
      </c>
    </row>
    <row r="502" spans="1:23" ht="15.75" thickBot="1">
      <c r="A502" s="168" t="s">
        <v>1181</v>
      </c>
      <c r="B502" s="455" t="s">
        <v>1553</v>
      </c>
      <c r="C502" s="455" t="s">
        <v>1389</v>
      </c>
      <c r="D502" s="168" t="s">
        <v>1571</v>
      </c>
      <c r="E502" s="150">
        <v>0</v>
      </c>
      <c r="F502" s="456">
        <v>0</v>
      </c>
      <c r="G502" s="168">
        <v>0</v>
      </c>
      <c r="H502" s="168">
        <v>0</v>
      </c>
      <c r="K502" s="168" t="s">
        <v>45</v>
      </c>
      <c r="N502" s="168" t="s">
        <v>1181</v>
      </c>
      <c r="O502" s="455" t="s">
        <v>1553</v>
      </c>
      <c r="P502" s="455" t="s">
        <v>1389</v>
      </c>
      <c r="Q502" s="455"/>
      <c r="R502" s="455"/>
      <c r="S502" s="168">
        <v>0</v>
      </c>
      <c r="T502" s="523">
        <v>0</v>
      </c>
      <c r="U502" s="168" t="s">
        <v>45</v>
      </c>
      <c r="W502" s="168">
        <f t="shared" si="7"/>
        <v>0</v>
      </c>
    </row>
    <row r="503" spans="1:23" ht="16.5" thickTop="1" thickBot="1">
      <c r="A503" s="554" t="s">
        <v>2668</v>
      </c>
      <c r="B503" s="555"/>
      <c r="C503" s="555"/>
      <c r="D503" s="556"/>
      <c r="E503" s="560">
        <f>SUM(E470:E502)</f>
        <v>4168816.3199999994</v>
      </c>
      <c r="F503" s="560">
        <f>SUM(F470:F502)</f>
        <v>4554591</v>
      </c>
      <c r="G503" s="560">
        <f>SUM(G470:G502)</f>
        <v>6925742.1200000001</v>
      </c>
      <c r="H503" s="560">
        <f>SUM(H470:H502)</f>
        <v>5456308</v>
      </c>
      <c r="K503" s="168" t="s">
        <v>45</v>
      </c>
      <c r="N503" s="554" t="s">
        <v>2668</v>
      </c>
      <c r="O503" s="555"/>
      <c r="P503" s="555"/>
      <c r="Q503" s="555">
        <f>SUM(Q470:Q502)</f>
        <v>5501430</v>
      </c>
      <c r="R503" s="555">
        <f>SUM(R470:R502)</f>
        <v>5489170</v>
      </c>
      <c r="S503" s="560">
        <f>SUM(S470:S502)</f>
        <v>5587239.5900000008</v>
      </c>
      <c r="T503" s="558">
        <f>SUM(T470:T502)</f>
        <v>5774680</v>
      </c>
      <c r="U503" s="168">
        <f>SUM(S503)</f>
        <v>5587239.5900000008</v>
      </c>
      <c r="V503" s="168">
        <f>SUM(T503)</f>
        <v>5774680</v>
      </c>
      <c r="W503" s="168">
        <f t="shared" si="7"/>
        <v>-187440.40999999922</v>
      </c>
    </row>
    <row r="504" spans="1:23" ht="15.75" thickTop="1">
      <c r="B504" s="455"/>
      <c r="E504" s="150"/>
      <c r="K504" s="168" t="s">
        <v>45</v>
      </c>
      <c r="O504" s="455"/>
      <c r="P504" s="455"/>
      <c r="Q504" s="455"/>
      <c r="R504" s="455"/>
      <c r="T504" s="523"/>
      <c r="U504" s="603">
        <f>SUM(U468:U503)</f>
        <v>570321.95000000112</v>
      </c>
      <c r="V504" s="603">
        <f>SUM(V468:V503)</f>
        <v>1799511</v>
      </c>
      <c r="W504" s="168">
        <f t="shared" si="7"/>
        <v>0</v>
      </c>
    </row>
    <row r="505" spans="1:23">
      <c r="A505" s="168" t="s">
        <v>1182</v>
      </c>
      <c r="B505" s="455" t="s">
        <v>1549</v>
      </c>
      <c r="C505" s="455" t="s">
        <v>75</v>
      </c>
      <c r="D505" s="168" t="s">
        <v>1572</v>
      </c>
      <c r="E505" s="150">
        <v>305431.32</v>
      </c>
      <c r="F505" s="456">
        <v>643587</v>
      </c>
      <c r="G505" s="168">
        <v>411376.33</v>
      </c>
      <c r="H505" s="168">
        <v>411377</v>
      </c>
      <c r="N505" s="168" t="s">
        <v>1182</v>
      </c>
      <c r="O505" s="455" t="s">
        <v>1549</v>
      </c>
      <c r="P505" s="455" t="s">
        <v>75</v>
      </c>
      <c r="Q505" s="455">
        <v>1373700</v>
      </c>
      <c r="R505" s="455">
        <v>1373700</v>
      </c>
      <c r="S505" s="168">
        <v>547393.18999999994</v>
      </c>
      <c r="T505" s="523">
        <v>547394</v>
      </c>
      <c r="W505" s="168">
        <f t="shared" si="7"/>
        <v>-0.81000000005587935</v>
      </c>
    </row>
    <row r="506" spans="1:23">
      <c r="A506" s="168" t="s">
        <v>1183</v>
      </c>
      <c r="B506" s="455" t="s">
        <v>1549</v>
      </c>
      <c r="C506" s="455" t="s">
        <v>77</v>
      </c>
      <c r="D506" s="168" t="s">
        <v>1572</v>
      </c>
      <c r="E506" s="150">
        <v>381.93</v>
      </c>
      <c r="F506" s="456">
        <v>400</v>
      </c>
      <c r="G506" s="168">
        <v>7671.38</v>
      </c>
      <c r="H506" s="168">
        <v>7671</v>
      </c>
      <c r="N506" s="168" t="s">
        <v>1183</v>
      </c>
      <c r="O506" s="455" t="s">
        <v>1549</v>
      </c>
      <c r="P506" s="455" t="s">
        <v>77</v>
      </c>
      <c r="Q506" s="455">
        <v>18000</v>
      </c>
      <c r="R506" s="455">
        <v>18000</v>
      </c>
      <c r="S506" s="168">
        <v>2754.34</v>
      </c>
      <c r="T506" s="523">
        <v>2755</v>
      </c>
      <c r="W506" s="168">
        <f t="shared" si="7"/>
        <v>-0.65999999999985448</v>
      </c>
    </row>
    <row r="507" spans="1:23">
      <c r="A507" s="168" t="s">
        <v>1184</v>
      </c>
      <c r="B507" s="455" t="s">
        <v>1549</v>
      </c>
      <c r="C507" s="455" t="s">
        <v>60</v>
      </c>
      <c r="D507" s="168" t="s">
        <v>1572</v>
      </c>
      <c r="E507" s="150">
        <v>41614.32</v>
      </c>
      <c r="F507" s="456">
        <v>102891</v>
      </c>
      <c r="G507" s="168">
        <v>40410.730000000003</v>
      </c>
      <c r="H507" s="168">
        <v>40411</v>
      </c>
      <c r="N507" s="168" t="s">
        <v>1184</v>
      </c>
      <c r="O507" s="455" t="s">
        <v>1549</v>
      </c>
      <c r="P507" s="455" t="s">
        <v>60</v>
      </c>
      <c r="Q507" s="455">
        <v>44733</v>
      </c>
      <c r="R507" s="455">
        <v>44733</v>
      </c>
      <c r="S507" s="168">
        <v>51951.23</v>
      </c>
      <c r="T507" s="523">
        <v>51951</v>
      </c>
      <c r="W507" s="168">
        <f t="shared" si="7"/>
        <v>0.23000000000320142</v>
      </c>
    </row>
    <row r="508" spans="1:23">
      <c r="B508" s="455"/>
      <c r="E508" s="150"/>
      <c r="N508" s="168" t="s">
        <v>3735</v>
      </c>
      <c r="O508" s="455"/>
      <c r="P508" s="455"/>
      <c r="Q508" s="455">
        <v>50000</v>
      </c>
      <c r="R508" s="455">
        <v>50000</v>
      </c>
      <c r="T508" s="523"/>
      <c r="W508" s="168">
        <f t="shared" si="7"/>
        <v>0</v>
      </c>
    </row>
    <row r="509" spans="1:23">
      <c r="A509" s="168" t="s">
        <v>1185</v>
      </c>
      <c r="B509" s="455" t="s">
        <v>1549</v>
      </c>
      <c r="C509" s="455" t="s">
        <v>515</v>
      </c>
      <c r="D509" s="168" t="s">
        <v>1572</v>
      </c>
      <c r="E509" s="150">
        <v>40854.54</v>
      </c>
      <c r="F509" s="456">
        <v>40855</v>
      </c>
      <c r="G509" s="168">
        <v>45946.14</v>
      </c>
      <c r="H509" s="168">
        <v>45947</v>
      </c>
      <c r="N509" s="168" t="s">
        <v>1185</v>
      </c>
      <c r="O509" s="455" t="s">
        <v>1549</v>
      </c>
      <c r="P509" s="455" t="s">
        <v>515</v>
      </c>
      <c r="Q509" s="455"/>
      <c r="R509" s="455"/>
      <c r="S509" s="168">
        <v>31715.599999999999</v>
      </c>
      <c r="T509" s="523">
        <v>31716</v>
      </c>
      <c r="W509" s="168">
        <f t="shared" si="7"/>
        <v>-0.40000000000145519</v>
      </c>
    </row>
    <row r="510" spans="1:23">
      <c r="A510" s="168" t="s">
        <v>1186</v>
      </c>
      <c r="B510" s="455" t="s">
        <v>1549</v>
      </c>
      <c r="C510" s="455" t="s">
        <v>660</v>
      </c>
      <c r="D510" s="168" t="s">
        <v>1572</v>
      </c>
      <c r="E510" s="150">
        <v>0</v>
      </c>
      <c r="F510" s="456">
        <v>0</v>
      </c>
      <c r="G510" s="168">
        <v>0</v>
      </c>
      <c r="H510" s="168">
        <v>0</v>
      </c>
      <c r="N510" s="168" t="s">
        <v>1186</v>
      </c>
      <c r="O510" s="455" t="s">
        <v>1549</v>
      </c>
      <c r="P510" s="455" t="s">
        <v>660</v>
      </c>
      <c r="Q510" s="455"/>
      <c r="R510" s="455"/>
      <c r="S510" s="168">
        <v>0</v>
      </c>
      <c r="T510" s="523">
        <v>0</v>
      </c>
      <c r="W510" s="168">
        <f t="shared" si="7"/>
        <v>0</v>
      </c>
    </row>
    <row r="511" spans="1:23">
      <c r="A511" s="168" t="s">
        <v>1187</v>
      </c>
      <c r="B511" s="455" t="s">
        <v>1549</v>
      </c>
      <c r="C511" s="455" t="s">
        <v>767</v>
      </c>
      <c r="D511" s="168" t="s">
        <v>1572</v>
      </c>
      <c r="E511" s="150">
        <v>7068</v>
      </c>
      <c r="F511" s="456">
        <v>7100</v>
      </c>
      <c r="G511" s="168">
        <v>8244</v>
      </c>
      <c r="H511" s="168">
        <v>8244</v>
      </c>
      <c r="N511" s="168" t="s">
        <v>1187</v>
      </c>
      <c r="O511" s="455" t="s">
        <v>1549</v>
      </c>
      <c r="P511" s="455" t="s">
        <v>767</v>
      </c>
      <c r="Q511" s="455">
        <v>24732</v>
      </c>
      <c r="R511" s="455">
        <v>24732</v>
      </c>
      <c r="S511" s="168">
        <v>6867</v>
      </c>
      <c r="T511" s="523">
        <v>6867</v>
      </c>
      <c r="W511" s="168">
        <f t="shared" si="7"/>
        <v>0</v>
      </c>
    </row>
    <row r="512" spans="1:23">
      <c r="A512" s="168" t="s">
        <v>1188</v>
      </c>
      <c r="B512" s="455" t="s">
        <v>1549</v>
      </c>
      <c r="C512" s="455" t="s">
        <v>84</v>
      </c>
      <c r="D512" s="168" t="s">
        <v>1572</v>
      </c>
      <c r="E512" s="150">
        <v>190579.08</v>
      </c>
      <c r="F512" s="456">
        <v>200000</v>
      </c>
      <c r="G512" s="168">
        <v>176657.59</v>
      </c>
      <c r="H512" s="168">
        <v>176657</v>
      </c>
      <c r="N512" s="168" t="s">
        <v>1188</v>
      </c>
      <c r="O512" s="455" t="s">
        <v>1549</v>
      </c>
      <c r="P512" s="455" t="s">
        <v>84</v>
      </c>
      <c r="Q512" s="455">
        <v>200108</v>
      </c>
      <c r="R512" s="455">
        <v>200108</v>
      </c>
      <c r="S512" s="168">
        <v>181259.48</v>
      </c>
      <c r="T512" s="523">
        <v>181260</v>
      </c>
      <c r="W512" s="168">
        <f t="shared" si="7"/>
        <v>-0.51999999998952262</v>
      </c>
    </row>
    <row r="513" spans="1:23">
      <c r="B513" s="455"/>
      <c r="E513" s="150"/>
      <c r="N513" s="168" t="s">
        <v>3473</v>
      </c>
      <c r="O513" s="455"/>
      <c r="P513" s="455"/>
      <c r="Q513" s="455"/>
      <c r="R513" s="455"/>
      <c r="S513" s="168">
        <v>1306.25</v>
      </c>
      <c r="T513" s="523">
        <v>1306</v>
      </c>
      <c r="W513" s="168">
        <f t="shared" si="7"/>
        <v>0.25</v>
      </c>
    </row>
    <row r="514" spans="1:23">
      <c r="A514" s="168" t="s">
        <v>2542</v>
      </c>
      <c r="B514" s="455" t="s">
        <v>1549</v>
      </c>
      <c r="C514" s="455" t="s">
        <v>590</v>
      </c>
      <c r="D514" s="168" t="s">
        <v>1572</v>
      </c>
      <c r="E514" s="150">
        <v>26149.39</v>
      </c>
      <c r="F514" s="456">
        <v>26200</v>
      </c>
      <c r="G514" s="168">
        <v>34797.410000000003</v>
      </c>
      <c r="H514" s="168">
        <v>34798</v>
      </c>
      <c r="N514" s="168" t="s">
        <v>2542</v>
      </c>
      <c r="O514" s="455" t="s">
        <v>1549</v>
      </c>
      <c r="P514" s="455" t="s">
        <v>590</v>
      </c>
      <c r="Q514" s="455">
        <v>76948</v>
      </c>
      <c r="R514" s="455">
        <v>76948</v>
      </c>
      <c r="S514" s="168">
        <v>59591.35</v>
      </c>
      <c r="T514" s="523">
        <v>59592</v>
      </c>
      <c r="W514" s="168">
        <f t="shared" si="7"/>
        <v>-0.65000000000145519</v>
      </c>
    </row>
    <row r="515" spans="1:23">
      <c r="A515" s="168" t="s">
        <v>2543</v>
      </c>
      <c r="B515" s="455" t="s">
        <v>1549</v>
      </c>
      <c r="C515" s="455" t="s">
        <v>590</v>
      </c>
      <c r="D515" s="168" t="s">
        <v>1572</v>
      </c>
      <c r="E515" s="150">
        <v>63148.2</v>
      </c>
      <c r="F515" s="456">
        <v>63200</v>
      </c>
      <c r="G515" s="168">
        <v>58343.94</v>
      </c>
      <c r="H515" s="168">
        <v>58344</v>
      </c>
      <c r="N515" s="168" t="s">
        <v>2543</v>
      </c>
      <c r="O515" s="455" t="s">
        <v>1549</v>
      </c>
      <c r="P515" s="455" t="s">
        <v>590</v>
      </c>
      <c r="Q515" s="455">
        <v>118096</v>
      </c>
      <c r="R515" s="455">
        <v>118096</v>
      </c>
      <c r="S515" s="168">
        <v>73418.05</v>
      </c>
      <c r="T515" s="523">
        <v>73419</v>
      </c>
      <c r="W515" s="168">
        <f t="shared" si="7"/>
        <v>-0.94999999999708962</v>
      </c>
    </row>
    <row r="516" spans="1:23">
      <c r="A516" s="168" t="s">
        <v>2544</v>
      </c>
      <c r="B516" s="455" t="s">
        <v>1549</v>
      </c>
      <c r="C516" s="455" t="s">
        <v>590</v>
      </c>
      <c r="D516" s="168" t="s">
        <v>1572</v>
      </c>
      <c r="E516" s="150">
        <v>3798.2</v>
      </c>
      <c r="F516" s="456">
        <v>3800</v>
      </c>
      <c r="G516" s="168">
        <v>458.73</v>
      </c>
      <c r="H516" s="168">
        <v>459</v>
      </c>
      <c r="N516" s="168" t="s">
        <v>2544</v>
      </c>
      <c r="O516" s="455" t="s">
        <v>1549</v>
      </c>
      <c r="P516" s="455" t="s">
        <v>590</v>
      </c>
      <c r="Q516" s="455">
        <v>5368</v>
      </c>
      <c r="R516" s="455">
        <v>5368</v>
      </c>
      <c r="S516" s="168">
        <v>715.32</v>
      </c>
      <c r="T516" s="523">
        <v>716</v>
      </c>
      <c r="W516" s="168">
        <f t="shared" ref="W516:W579" si="8">S516-T516</f>
        <v>-0.67999999999994998</v>
      </c>
    </row>
    <row r="517" spans="1:23">
      <c r="A517" s="168" t="s">
        <v>2545</v>
      </c>
      <c r="B517" s="455" t="s">
        <v>1549</v>
      </c>
      <c r="C517" s="455" t="s">
        <v>590</v>
      </c>
      <c r="D517" s="168" t="s">
        <v>1572</v>
      </c>
      <c r="E517" s="150">
        <v>4362.93</v>
      </c>
      <c r="F517" s="456">
        <v>4400</v>
      </c>
      <c r="G517" s="168">
        <v>317.76</v>
      </c>
      <c r="H517" s="168">
        <v>318</v>
      </c>
      <c r="N517" s="168" t="s">
        <v>2545</v>
      </c>
      <c r="O517" s="455" t="s">
        <v>1549</v>
      </c>
      <c r="P517" s="455" t="s">
        <v>590</v>
      </c>
      <c r="Q517" s="455">
        <v>2765</v>
      </c>
      <c r="R517" s="455">
        <v>2765</v>
      </c>
      <c r="S517" s="168">
        <v>1165.75</v>
      </c>
      <c r="T517" s="523">
        <v>1166</v>
      </c>
      <c r="W517" s="168">
        <f t="shared" si="8"/>
        <v>-0.25</v>
      </c>
    </row>
    <row r="518" spans="1:23">
      <c r="A518" s="168" t="s">
        <v>2546</v>
      </c>
      <c r="B518" s="455" t="s">
        <v>1549</v>
      </c>
      <c r="C518" s="455" t="s">
        <v>1807</v>
      </c>
      <c r="D518" s="168" t="s">
        <v>1572</v>
      </c>
      <c r="E518" s="150">
        <v>118.4</v>
      </c>
      <c r="F518" s="456">
        <v>210</v>
      </c>
      <c r="G518" s="168">
        <v>117.99</v>
      </c>
      <c r="H518" s="168">
        <v>118</v>
      </c>
      <c r="N518" s="168" t="s">
        <v>2546</v>
      </c>
      <c r="O518" s="455" t="s">
        <v>1549</v>
      </c>
      <c r="P518" s="455" t="s">
        <v>1807</v>
      </c>
      <c r="Q518" s="455">
        <v>248</v>
      </c>
      <c r="R518" s="455">
        <v>248</v>
      </c>
      <c r="S518" s="168">
        <v>142.74</v>
      </c>
      <c r="T518" s="523">
        <v>143</v>
      </c>
      <c r="W518" s="168">
        <f t="shared" si="8"/>
        <v>-0.25999999999999091</v>
      </c>
    </row>
    <row r="519" spans="1:23">
      <c r="A519" s="168" t="s">
        <v>2547</v>
      </c>
      <c r="B519" s="455" t="s">
        <v>1551</v>
      </c>
      <c r="C519" s="455" t="s">
        <v>592</v>
      </c>
      <c r="D519" s="168" t="s">
        <v>1572</v>
      </c>
      <c r="E519" s="150">
        <v>0</v>
      </c>
      <c r="F519" s="456">
        <v>9383</v>
      </c>
      <c r="G519" s="168">
        <v>0</v>
      </c>
      <c r="H519" s="168">
        <v>0</v>
      </c>
      <c r="N519" s="168" t="s">
        <v>2547</v>
      </c>
      <c r="O519" s="455" t="s">
        <v>1551</v>
      </c>
      <c r="P519" s="455" t="s">
        <v>592</v>
      </c>
      <c r="Q519" s="455">
        <v>33928</v>
      </c>
      <c r="R519" s="455">
        <v>33928</v>
      </c>
      <c r="S519" s="168">
        <v>95866.97</v>
      </c>
      <c r="T519" s="523">
        <v>33928</v>
      </c>
      <c r="W519" s="462">
        <f t="shared" si="8"/>
        <v>61938.97</v>
      </c>
    </row>
    <row r="520" spans="1:23">
      <c r="A520" s="168" t="s">
        <v>2548</v>
      </c>
      <c r="B520" s="455" t="s">
        <v>1552</v>
      </c>
      <c r="C520" s="455" t="s">
        <v>2326</v>
      </c>
      <c r="D520" s="168" t="s">
        <v>1572</v>
      </c>
      <c r="E520" s="150">
        <v>0</v>
      </c>
      <c r="F520" s="456">
        <v>0</v>
      </c>
      <c r="G520" s="168">
        <v>0</v>
      </c>
      <c r="H520" s="168">
        <v>0</v>
      </c>
      <c r="N520" s="168" t="s">
        <v>2548</v>
      </c>
      <c r="O520" s="455" t="s">
        <v>1552</v>
      </c>
      <c r="P520" s="455" t="s">
        <v>2326</v>
      </c>
      <c r="Q520" s="455">
        <v>9679</v>
      </c>
      <c r="R520" s="455">
        <v>500</v>
      </c>
      <c r="S520" s="168">
        <v>0</v>
      </c>
      <c r="T520" s="523">
        <v>0</v>
      </c>
      <c r="W520" s="168">
        <f t="shared" si="8"/>
        <v>0</v>
      </c>
    </row>
    <row r="521" spans="1:23">
      <c r="A521" s="168" t="s">
        <v>2549</v>
      </c>
      <c r="B521" s="455" t="s">
        <v>1552</v>
      </c>
      <c r="C521" s="455" t="s">
        <v>595</v>
      </c>
      <c r="D521" s="168" t="s">
        <v>1572</v>
      </c>
      <c r="E521" s="150">
        <v>9218.16</v>
      </c>
      <c r="F521" s="456">
        <v>9300</v>
      </c>
      <c r="G521" s="168">
        <v>125.43</v>
      </c>
      <c r="H521" s="168">
        <v>125</v>
      </c>
      <c r="N521" s="168" t="s">
        <v>2549</v>
      </c>
      <c r="O521" s="455" t="s">
        <v>1552</v>
      </c>
      <c r="P521" s="455" t="s">
        <v>595</v>
      </c>
      <c r="Q521" s="455">
        <v>3444</v>
      </c>
      <c r="R521" s="455">
        <v>3444</v>
      </c>
      <c r="S521" s="168">
        <v>132.53</v>
      </c>
      <c r="T521" s="523">
        <v>133</v>
      </c>
      <c r="W521" s="168">
        <f t="shared" si="8"/>
        <v>-0.46999999999999886</v>
      </c>
    </row>
    <row r="522" spans="1:23">
      <c r="B522" s="455"/>
      <c r="E522" s="150"/>
      <c r="N522" s="561" t="s">
        <v>3738</v>
      </c>
      <c r="O522" s="455"/>
      <c r="P522" s="455"/>
      <c r="Q522" s="455">
        <v>963250</v>
      </c>
      <c r="R522" s="455">
        <v>963250</v>
      </c>
      <c r="T522" s="523"/>
      <c r="W522" s="168">
        <f t="shared" si="8"/>
        <v>0</v>
      </c>
    </row>
    <row r="523" spans="1:23">
      <c r="A523" s="168" t="s">
        <v>2550</v>
      </c>
      <c r="B523" s="455" t="s">
        <v>1552</v>
      </c>
      <c r="C523" s="455" t="s">
        <v>545</v>
      </c>
      <c r="D523" s="168" t="s">
        <v>1572</v>
      </c>
      <c r="E523" s="150">
        <v>10</v>
      </c>
      <c r="F523" s="456">
        <v>15</v>
      </c>
      <c r="G523" s="168">
        <v>241.35</v>
      </c>
      <c r="H523" s="168">
        <v>242</v>
      </c>
      <c r="N523" s="168" t="s">
        <v>2550</v>
      </c>
      <c r="O523" s="455" t="s">
        <v>1552</v>
      </c>
      <c r="P523" s="455" t="s">
        <v>545</v>
      </c>
      <c r="Q523" s="455">
        <v>8200</v>
      </c>
      <c r="R523" s="455">
        <v>2500</v>
      </c>
      <c r="S523" s="168">
        <v>251.73</v>
      </c>
      <c r="T523" s="523">
        <v>252</v>
      </c>
      <c r="W523" s="168">
        <f t="shared" si="8"/>
        <v>-0.27000000000001023</v>
      </c>
    </row>
    <row r="524" spans="1:23">
      <c r="B524" s="455"/>
      <c r="E524" s="150"/>
      <c r="N524" s="168" t="s">
        <v>3736</v>
      </c>
      <c r="O524" s="455"/>
      <c r="P524" s="455"/>
      <c r="Q524" s="455">
        <v>1472</v>
      </c>
      <c r="R524" s="455">
        <v>811</v>
      </c>
      <c r="T524" s="523"/>
      <c r="W524" s="168">
        <f t="shared" si="8"/>
        <v>0</v>
      </c>
    </row>
    <row r="525" spans="1:23">
      <c r="A525" s="168" t="s">
        <v>2551</v>
      </c>
      <c r="B525" s="455" t="s">
        <v>1553</v>
      </c>
      <c r="C525" s="455" t="s">
        <v>612</v>
      </c>
      <c r="D525" s="168" t="s">
        <v>1572</v>
      </c>
      <c r="E525" s="150">
        <v>11228.28</v>
      </c>
      <c r="F525" s="456">
        <v>11500</v>
      </c>
      <c r="G525" s="168">
        <v>335662.86</v>
      </c>
      <c r="H525" s="168">
        <v>335662</v>
      </c>
      <c r="N525" s="168" t="s">
        <v>2551</v>
      </c>
      <c r="O525" s="455" t="s">
        <v>1553</v>
      </c>
      <c r="P525" s="455" t="s">
        <v>612</v>
      </c>
      <c r="Q525" s="455">
        <v>11228</v>
      </c>
      <c r="R525" s="455">
        <v>5000</v>
      </c>
      <c r="S525" s="168">
        <v>0</v>
      </c>
      <c r="T525" s="523">
        <v>0</v>
      </c>
      <c r="W525" s="168">
        <f t="shared" si="8"/>
        <v>0</v>
      </c>
    </row>
    <row r="526" spans="1:23">
      <c r="A526" s="168" t="s">
        <v>2552</v>
      </c>
      <c r="B526" s="455" t="s">
        <v>1553</v>
      </c>
      <c r="C526" s="455" t="s">
        <v>616</v>
      </c>
      <c r="D526" s="168" t="s">
        <v>1572</v>
      </c>
      <c r="E526" s="150">
        <v>2342.3200000000002</v>
      </c>
      <c r="F526" s="456">
        <v>2400</v>
      </c>
      <c r="G526" s="168">
        <v>933.83</v>
      </c>
      <c r="H526" s="168">
        <v>933</v>
      </c>
      <c r="N526" s="168" t="s">
        <v>2552</v>
      </c>
      <c r="O526" s="455" t="s">
        <v>1553</v>
      </c>
      <c r="P526" s="455" t="s">
        <v>616</v>
      </c>
      <c r="Q526" s="455">
        <v>1379</v>
      </c>
      <c r="R526" s="455">
        <v>450</v>
      </c>
      <c r="S526" s="168">
        <v>420.29</v>
      </c>
      <c r="T526" s="523">
        <v>421</v>
      </c>
      <c r="W526" s="168">
        <f t="shared" si="8"/>
        <v>-0.70999999999997954</v>
      </c>
    </row>
    <row r="527" spans="1:23">
      <c r="A527" s="168" t="s">
        <v>2553</v>
      </c>
      <c r="B527" s="455" t="s">
        <v>1553</v>
      </c>
      <c r="C527" s="455" t="s">
        <v>2322</v>
      </c>
      <c r="D527" s="168" t="s">
        <v>1572</v>
      </c>
      <c r="E527" s="150">
        <v>23781.27</v>
      </c>
      <c r="F527" s="456">
        <v>23842</v>
      </c>
      <c r="G527" s="168">
        <v>0</v>
      </c>
      <c r="H527" s="168">
        <v>0</v>
      </c>
      <c r="N527" s="168" t="s">
        <v>2553</v>
      </c>
      <c r="O527" s="455" t="s">
        <v>1553</v>
      </c>
      <c r="P527" s="455" t="s">
        <v>2322</v>
      </c>
      <c r="Q527" s="455">
        <v>26159</v>
      </c>
      <c r="R527" s="455">
        <v>26159</v>
      </c>
      <c r="S527" s="168">
        <v>2296.4899999999998</v>
      </c>
      <c r="T527" s="523">
        <v>2297</v>
      </c>
      <c r="W527" s="168">
        <f t="shared" si="8"/>
        <v>-0.51000000000021828</v>
      </c>
    </row>
    <row r="528" spans="1:23">
      <c r="A528" s="168" t="s">
        <v>2554</v>
      </c>
      <c r="B528" s="455" t="s">
        <v>1553</v>
      </c>
      <c r="C528" s="455" t="s">
        <v>190</v>
      </c>
      <c r="D528" s="168" t="s">
        <v>1572</v>
      </c>
      <c r="E528" s="150">
        <v>0</v>
      </c>
      <c r="F528" s="456">
        <v>0</v>
      </c>
      <c r="G528" s="168">
        <v>12610.66</v>
      </c>
      <c r="H528" s="168">
        <v>12610</v>
      </c>
      <c r="N528" s="168" t="s">
        <v>2554</v>
      </c>
      <c r="O528" s="455" t="s">
        <v>1553</v>
      </c>
      <c r="P528" s="455" t="s">
        <v>190</v>
      </c>
      <c r="Q528" s="455">
        <v>324</v>
      </c>
      <c r="R528" s="455">
        <v>179</v>
      </c>
      <c r="S528" s="168">
        <v>0</v>
      </c>
      <c r="T528" s="523">
        <v>0</v>
      </c>
      <c r="W528" s="168">
        <f t="shared" si="8"/>
        <v>0</v>
      </c>
    </row>
    <row r="529" spans="1:23">
      <c r="B529" s="455"/>
      <c r="E529" s="150"/>
      <c r="N529" s="168" t="s">
        <v>3737</v>
      </c>
      <c r="O529" s="455"/>
      <c r="P529" s="455"/>
      <c r="Q529" s="455">
        <v>1314</v>
      </c>
      <c r="R529" s="455">
        <v>724</v>
      </c>
      <c r="T529" s="523"/>
      <c r="W529" s="168">
        <f t="shared" si="8"/>
        <v>0</v>
      </c>
    </row>
    <row r="530" spans="1:23">
      <c r="A530" s="168" t="s">
        <v>2555</v>
      </c>
      <c r="B530" s="455" t="s">
        <v>1553</v>
      </c>
      <c r="C530" s="455" t="s">
        <v>631</v>
      </c>
      <c r="D530" s="168" t="s">
        <v>1572</v>
      </c>
      <c r="E530" s="150">
        <v>1060.3800000000001</v>
      </c>
      <c r="F530" s="456">
        <v>1300</v>
      </c>
      <c r="G530" s="168">
        <v>5180.95</v>
      </c>
      <c r="H530" s="168">
        <v>5180</v>
      </c>
      <c r="N530" s="168" t="s">
        <v>2555</v>
      </c>
      <c r="O530" s="455" t="s">
        <v>1553</v>
      </c>
      <c r="P530" s="455" t="s">
        <v>631</v>
      </c>
      <c r="Q530" s="455">
        <v>624</v>
      </c>
      <c r="R530" s="455">
        <v>344</v>
      </c>
      <c r="S530" s="168">
        <v>1998.14</v>
      </c>
      <c r="T530" s="523">
        <v>1998</v>
      </c>
      <c r="W530" s="168">
        <f t="shared" si="8"/>
        <v>0.14000000000010004</v>
      </c>
    </row>
    <row r="531" spans="1:23">
      <c r="A531" s="168" t="s">
        <v>2556</v>
      </c>
      <c r="B531" s="455" t="s">
        <v>1553</v>
      </c>
      <c r="C531" s="455" t="s">
        <v>633</v>
      </c>
      <c r="D531" s="168" t="s">
        <v>1572</v>
      </c>
      <c r="E531" s="150">
        <v>10726.04</v>
      </c>
      <c r="F531" s="456">
        <v>11000</v>
      </c>
      <c r="G531" s="168">
        <v>9263.31</v>
      </c>
      <c r="H531" s="168">
        <v>9263</v>
      </c>
      <c r="N531" s="168" t="s">
        <v>2556</v>
      </c>
      <c r="O531" s="455" t="s">
        <v>1553</v>
      </c>
      <c r="P531" s="455" t="s">
        <v>633</v>
      </c>
      <c r="Q531" s="455">
        <v>6314</v>
      </c>
      <c r="R531" s="455">
        <v>3481</v>
      </c>
      <c r="S531" s="168">
        <v>11245.9</v>
      </c>
      <c r="T531" s="523">
        <v>10848</v>
      </c>
      <c r="W531" s="462">
        <f t="shared" si="8"/>
        <v>397.89999999999964</v>
      </c>
    </row>
    <row r="532" spans="1:23">
      <c r="A532" s="168" t="s">
        <v>2557</v>
      </c>
      <c r="B532" s="455" t="s">
        <v>1553</v>
      </c>
      <c r="C532" s="455" t="s">
        <v>253</v>
      </c>
      <c r="D532" s="168" t="s">
        <v>1572</v>
      </c>
      <c r="E532" s="150">
        <v>188965.67</v>
      </c>
      <c r="F532" s="456">
        <v>189000</v>
      </c>
      <c r="G532" s="168">
        <v>111168.05</v>
      </c>
      <c r="H532" s="168">
        <v>111168</v>
      </c>
      <c r="N532" s="168" t="s">
        <v>2557</v>
      </c>
      <c r="O532" s="455" t="s">
        <v>1553</v>
      </c>
      <c r="P532" s="455" t="s">
        <v>253</v>
      </c>
      <c r="Q532" s="455">
        <v>111220</v>
      </c>
      <c r="R532" s="455">
        <v>30000</v>
      </c>
      <c r="S532" s="168">
        <v>51775.97</v>
      </c>
      <c r="T532" s="523">
        <v>51775</v>
      </c>
      <c r="W532" s="168">
        <f t="shared" si="8"/>
        <v>0.97000000000116415</v>
      </c>
    </row>
    <row r="533" spans="1:23">
      <c r="A533" s="168" t="s">
        <v>2558</v>
      </c>
      <c r="B533" s="455" t="s">
        <v>1553</v>
      </c>
      <c r="C533" s="455" t="s">
        <v>50</v>
      </c>
      <c r="D533" s="168" t="s">
        <v>1572</v>
      </c>
      <c r="E533" s="150">
        <v>77160.34</v>
      </c>
      <c r="F533" s="456">
        <v>78000</v>
      </c>
      <c r="G533" s="168">
        <v>104344.98</v>
      </c>
      <c r="H533" s="168">
        <v>104344.98</v>
      </c>
      <c r="N533" s="168" t="s">
        <v>2558</v>
      </c>
      <c r="O533" s="455" t="s">
        <v>1553</v>
      </c>
      <c r="P533" s="455" t="s">
        <v>50</v>
      </c>
      <c r="Q533" s="455">
        <v>77160</v>
      </c>
      <c r="R533" s="455">
        <v>57000</v>
      </c>
      <c r="S533" s="168">
        <v>25074</v>
      </c>
      <c r="T533" s="523">
        <v>25074</v>
      </c>
      <c r="W533" s="168">
        <f t="shared" si="8"/>
        <v>0</v>
      </c>
    </row>
    <row r="534" spans="1:23">
      <c r="A534" s="168" t="s">
        <v>2559</v>
      </c>
      <c r="B534" s="455" t="s">
        <v>1553</v>
      </c>
      <c r="C534" s="455" t="s">
        <v>52</v>
      </c>
      <c r="D534" s="168" t="s">
        <v>1572</v>
      </c>
      <c r="E534" s="150">
        <v>0</v>
      </c>
      <c r="F534" s="456">
        <v>4260</v>
      </c>
      <c r="G534" s="168">
        <v>2254.09</v>
      </c>
      <c r="H534" s="168">
        <v>2255</v>
      </c>
      <c r="N534" s="168" t="s">
        <v>2559</v>
      </c>
      <c r="O534" s="455" t="s">
        <v>1553</v>
      </c>
      <c r="P534" s="455" t="s">
        <v>52</v>
      </c>
      <c r="Q534" s="455">
        <v>3332</v>
      </c>
      <c r="R534" s="455">
        <v>1837</v>
      </c>
      <c r="S534" s="168">
        <v>168</v>
      </c>
      <c r="T534" s="523">
        <v>168</v>
      </c>
      <c r="W534" s="168">
        <f t="shared" si="8"/>
        <v>0</v>
      </c>
    </row>
    <row r="535" spans="1:23">
      <c r="A535" s="168" t="s">
        <v>2560</v>
      </c>
      <c r="B535" s="455" t="s">
        <v>1553</v>
      </c>
      <c r="C535" s="455" t="s">
        <v>52</v>
      </c>
      <c r="D535" s="168" t="s">
        <v>1572</v>
      </c>
      <c r="E535" s="150">
        <v>18193.39</v>
      </c>
      <c r="F535" s="456">
        <v>18200</v>
      </c>
      <c r="G535" s="168">
        <v>3308.88</v>
      </c>
      <c r="H535" s="168">
        <v>3308</v>
      </c>
      <c r="N535" s="168" t="s">
        <v>2560</v>
      </c>
      <c r="O535" s="455" t="s">
        <v>1553</v>
      </c>
      <c r="P535" s="455" t="s">
        <v>52</v>
      </c>
      <c r="Q535" s="455">
        <v>14855</v>
      </c>
      <c r="R535" s="455">
        <v>8189</v>
      </c>
      <c r="S535" s="168">
        <v>15041.6</v>
      </c>
      <c r="T535" s="523">
        <v>15041</v>
      </c>
      <c r="W535" s="168">
        <f t="shared" si="8"/>
        <v>0.6000000000003638</v>
      </c>
    </row>
    <row r="536" spans="1:23">
      <c r="A536" s="168" t="s">
        <v>2561</v>
      </c>
      <c r="B536" s="455" t="s">
        <v>1553</v>
      </c>
      <c r="C536" s="455" t="s">
        <v>2562</v>
      </c>
      <c r="D536" s="168" t="s">
        <v>1572</v>
      </c>
      <c r="E536" s="150">
        <v>0</v>
      </c>
      <c r="F536" s="456">
        <v>0</v>
      </c>
      <c r="G536" s="168">
        <v>0</v>
      </c>
      <c r="H536" s="168">
        <v>0</v>
      </c>
      <c r="N536" s="168" t="s">
        <v>2561</v>
      </c>
      <c r="O536" s="455" t="s">
        <v>1553</v>
      </c>
      <c r="P536" s="455" t="s">
        <v>2562</v>
      </c>
      <c r="Q536" s="455"/>
      <c r="R536" s="455"/>
      <c r="S536" s="168">
        <v>0</v>
      </c>
      <c r="T536" s="523">
        <v>0</v>
      </c>
      <c r="W536" s="168">
        <f t="shared" si="8"/>
        <v>0</v>
      </c>
    </row>
    <row r="537" spans="1:23" ht="15.75" thickBot="1">
      <c r="A537" s="168" t="s">
        <v>2563</v>
      </c>
      <c r="B537" s="455" t="s">
        <v>1553</v>
      </c>
      <c r="C537" s="455" t="s">
        <v>2564</v>
      </c>
      <c r="D537" s="168" t="s">
        <v>1572</v>
      </c>
      <c r="E537" s="150">
        <v>0</v>
      </c>
      <c r="F537" s="456">
        <v>0</v>
      </c>
      <c r="G537" s="168">
        <v>0</v>
      </c>
      <c r="H537" s="168">
        <v>0</v>
      </c>
      <c r="N537" s="168" t="s">
        <v>2563</v>
      </c>
      <c r="O537" s="455" t="s">
        <v>1553</v>
      </c>
      <c r="P537" s="455" t="s">
        <v>2564</v>
      </c>
      <c r="Q537" s="455"/>
      <c r="R537" s="455"/>
      <c r="S537" s="168">
        <v>0</v>
      </c>
      <c r="T537" s="523">
        <v>0</v>
      </c>
      <c r="W537" s="168">
        <f t="shared" si="8"/>
        <v>0</v>
      </c>
    </row>
    <row r="538" spans="1:23" ht="16.5" thickTop="1" thickBot="1">
      <c r="A538" s="554" t="s">
        <v>2668</v>
      </c>
      <c r="B538" s="555"/>
      <c r="C538" s="555"/>
      <c r="D538" s="556"/>
      <c r="E538" s="560">
        <f>SUM(E505:E537)</f>
        <v>1026192.16</v>
      </c>
      <c r="F538" s="560">
        <f>SUM(F505:F537)</f>
        <v>1450843</v>
      </c>
      <c r="G538" s="560">
        <f>SUM(G505:G537)</f>
        <v>1369436.3900000001</v>
      </c>
      <c r="H538" s="560">
        <f>SUM(H505:H537)</f>
        <v>1369434.98</v>
      </c>
      <c r="N538" s="554" t="s">
        <v>2668</v>
      </c>
      <c r="O538" s="555"/>
      <c r="P538" s="555"/>
      <c r="Q538" s="555">
        <f>SUM(Q505:Q537)</f>
        <v>3188580</v>
      </c>
      <c r="R538" s="555">
        <f>SUM(R505:R537)</f>
        <v>3052494</v>
      </c>
      <c r="S538" s="560">
        <f>SUM(S505:S537)</f>
        <v>1162551.9199999997</v>
      </c>
      <c r="T538" s="558">
        <f>SUM(T505:T537)</f>
        <v>1100220</v>
      </c>
      <c r="U538" s="603">
        <f>SUM(S538)</f>
        <v>1162551.9199999997</v>
      </c>
      <c r="V538" s="603">
        <f>SUM(T538)</f>
        <v>1100220</v>
      </c>
      <c r="W538" s="168">
        <f t="shared" si="8"/>
        <v>62331.919999999693</v>
      </c>
    </row>
    <row r="539" spans="1:23" ht="15.75" thickTop="1">
      <c r="B539" s="455"/>
      <c r="E539" s="150"/>
      <c r="O539" s="455"/>
      <c r="P539" s="455"/>
      <c r="Q539" s="455"/>
      <c r="R539" s="455"/>
      <c r="T539" s="523"/>
      <c r="W539" s="168">
        <f t="shared" si="8"/>
        <v>0</v>
      </c>
    </row>
    <row r="540" spans="1:23">
      <c r="A540" s="168" t="s">
        <v>2568</v>
      </c>
      <c r="B540" s="455" t="s">
        <v>431</v>
      </c>
      <c r="C540" s="455" t="s">
        <v>1368</v>
      </c>
      <c r="D540" s="168" t="s">
        <v>1240</v>
      </c>
      <c r="E540" s="150">
        <v>-21728153.940000001</v>
      </c>
      <c r="F540" s="456">
        <v>-24840000</v>
      </c>
      <c r="G540" s="168">
        <v>-642677.78</v>
      </c>
      <c r="H540" s="168">
        <v>-2500000</v>
      </c>
      <c r="N540" s="168" t="s">
        <v>2568</v>
      </c>
      <c r="O540" s="455" t="s">
        <v>431</v>
      </c>
      <c r="P540" s="455" t="s">
        <v>1368</v>
      </c>
      <c r="Q540" s="455">
        <v>-33696193</v>
      </c>
      <c r="R540" s="455">
        <v>-9781147</v>
      </c>
      <c r="S540" s="168">
        <v>-792062.21</v>
      </c>
      <c r="T540" s="523">
        <v>-10031397</v>
      </c>
      <c r="W540" s="168">
        <f t="shared" si="8"/>
        <v>9239334.7899999991</v>
      </c>
    </row>
    <row r="541" spans="1:23">
      <c r="A541" s="168" t="s">
        <v>2709</v>
      </c>
      <c r="B541" s="455"/>
      <c r="E541" s="150"/>
      <c r="H541" s="168">
        <v>-13100000</v>
      </c>
      <c r="N541" s="168" t="s">
        <v>2709</v>
      </c>
      <c r="O541" s="455"/>
      <c r="P541" s="455"/>
      <c r="Q541" s="455"/>
      <c r="R541" s="455"/>
      <c r="T541" s="523">
        <v>0</v>
      </c>
      <c r="W541" s="168">
        <f t="shared" si="8"/>
        <v>0</v>
      </c>
    </row>
    <row r="542" spans="1:23">
      <c r="A542" s="168" t="s">
        <v>3545</v>
      </c>
      <c r="B542" s="455" t="s">
        <v>1179</v>
      </c>
      <c r="C542" s="455" t="s">
        <v>3546</v>
      </c>
      <c r="E542" s="150"/>
      <c r="N542" s="168" t="s">
        <v>3474</v>
      </c>
      <c r="O542" s="455"/>
      <c r="P542" s="455"/>
      <c r="Q542" s="455"/>
      <c r="R542" s="455"/>
      <c r="S542" s="168">
        <v>-1219.28</v>
      </c>
      <c r="T542" s="523">
        <v>0</v>
      </c>
      <c r="W542" s="168">
        <f t="shared" si="8"/>
        <v>-1219.28</v>
      </c>
    </row>
    <row r="543" spans="1:23">
      <c r="A543" s="168" t="s">
        <v>2569</v>
      </c>
      <c r="B543" s="455" t="s">
        <v>1179</v>
      </c>
      <c r="C543" s="455" t="s">
        <v>1147</v>
      </c>
      <c r="D543" s="168" t="s">
        <v>1573</v>
      </c>
      <c r="E543" s="150">
        <v>-154420.70000000001</v>
      </c>
      <c r="F543" s="456">
        <v>-140990</v>
      </c>
      <c r="G543" s="168">
        <f>-335067.5+150000</f>
        <v>-185067.5</v>
      </c>
      <c r="H543" s="168">
        <v>-8523</v>
      </c>
      <c r="N543" s="168" t="s">
        <v>2569</v>
      </c>
      <c r="O543" s="455" t="s">
        <v>1179</v>
      </c>
      <c r="P543" s="455" t="s">
        <v>1147</v>
      </c>
      <c r="Q543" s="455">
        <v>-135074</v>
      </c>
      <c r="R543" s="455">
        <v>-135074</v>
      </c>
      <c r="S543" s="168">
        <v>-225223.43</v>
      </c>
      <c r="T543" s="523">
        <v>-135074</v>
      </c>
      <c r="W543" s="168">
        <f t="shared" si="8"/>
        <v>-90149.43</v>
      </c>
    </row>
    <row r="544" spans="1:23">
      <c r="A544" s="168" t="s">
        <v>2711</v>
      </c>
      <c r="B544" s="455" t="s">
        <v>25</v>
      </c>
      <c r="C544" s="455" t="s">
        <v>2710</v>
      </c>
      <c r="D544" s="168" t="s">
        <v>1573</v>
      </c>
      <c r="E544" s="150">
        <v>-78426.62</v>
      </c>
      <c r="F544" s="456">
        <v>-58806</v>
      </c>
      <c r="G544" s="168">
        <v>-71235.63</v>
      </c>
      <c r="H544" s="168">
        <v>-47241</v>
      </c>
      <c r="N544" s="168" t="s">
        <v>2711</v>
      </c>
      <c r="O544" s="455" t="s">
        <v>25</v>
      </c>
      <c r="P544" s="455" t="s">
        <v>2710</v>
      </c>
      <c r="Q544" s="455">
        <v>-76752</v>
      </c>
      <c r="R544" s="455">
        <v>-76752</v>
      </c>
      <c r="S544" s="168">
        <v>-71070.2</v>
      </c>
      <c r="T544" s="523">
        <v>-76752</v>
      </c>
      <c r="W544" s="168">
        <f t="shared" si="8"/>
        <v>5681.8000000000029</v>
      </c>
    </row>
    <row r="545" spans="1:23">
      <c r="B545" s="455"/>
      <c r="E545" s="150"/>
      <c r="N545" s="168" t="s">
        <v>3475</v>
      </c>
      <c r="O545" s="455" t="s">
        <v>3476</v>
      </c>
      <c r="P545" s="455"/>
      <c r="Q545" s="455">
        <v>-8722000</v>
      </c>
      <c r="R545" s="455">
        <v>-8722000</v>
      </c>
      <c r="S545" s="168">
        <v>-7902795.96</v>
      </c>
      <c r="T545" s="523">
        <v>-8722000</v>
      </c>
      <c r="W545" s="168">
        <f t="shared" si="8"/>
        <v>819204.04</v>
      </c>
    </row>
    <row r="546" spans="1:23">
      <c r="A546" s="561" t="s">
        <v>3529</v>
      </c>
      <c r="B546" s="455"/>
      <c r="E546" s="150"/>
      <c r="O546" s="455"/>
      <c r="P546" s="455"/>
      <c r="Q546" s="455"/>
      <c r="R546" s="455"/>
      <c r="S546" s="598">
        <v>-50276</v>
      </c>
      <c r="T546" s="523">
        <v>0</v>
      </c>
      <c r="W546" s="168">
        <f t="shared" si="8"/>
        <v>-50276</v>
      </c>
    </row>
    <row r="547" spans="1:23">
      <c r="A547" s="168" t="s">
        <v>2565</v>
      </c>
      <c r="B547" s="455" t="s">
        <v>1730</v>
      </c>
      <c r="C547" s="455" t="s">
        <v>1384</v>
      </c>
      <c r="D547" s="168" t="s">
        <v>1573</v>
      </c>
      <c r="E547" s="150">
        <v>-836645</v>
      </c>
      <c r="F547" s="456">
        <v>0</v>
      </c>
      <c r="G547" s="168">
        <v>0</v>
      </c>
      <c r="H547" s="168">
        <v>-409000</v>
      </c>
      <c r="N547" s="168" t="s">
        <v>2565</v>
      </c>
      <c r="O547" s="455" t="s">
        <v>1730</v>
      </c>
      <c r="P547" s="455" t="s">
        <v>1384</v>
      </c>
      <c r="Q547" s="455"/>
      <c r="R547" s="455"/>
      <c r="S547" s="168">
        <v>0</v>
      </c>
      <c r="T547" s="523">
        <v>0</v>
      </c>
      <c r="W547" s="168">
        <f t="shared" si="8"/>
        <v>0</v>
      </c>
    </row>
    <row r="548" spans="1:23" ht="15.75" thickBot="1">
      <c r="A548" s="168" t="s">
        <v>2566</v>
      </c>
      <c r="B548" s="455" t="s">
        <v>1730</v>
      </c>
      <c r="C548" s="455" t="s">
        <v>2567</v>
      </c>
      <c r="D548" s="168" t="s">
        <v>1573</v>
      </c>
      <c r="E548" s="150">
        <v>-650000</v>
      </c>
      <c r="F548" s="456">
        <v>0</v>
      </c>
      <c r="G548" s="168">
        <v>0</v>
      </c>
      <c r="H548" s="168">
        <v>0</v>
      </c>
      <c r="N548" s="168" t="s">
        <v>2566</v>
      </c>
      <c r="O548" s="455" t="s">
        <v>1730</v>
      </c>
      <c r="P548" s="455" t="s">
        <v>2567</v>
      </c>
      <c r="Q548" s="455"/>
      <c r="R548" s="455"/>
      <c r="S548" s="168">
        <v>0</v>
      </c>
      <c r="T548" s="523">
        <v>0</v>
      </c>
      <c r="W548" s="168">
        <f t="shared" si="8"/>
        <v>0</v>
      </c>
    </row>
    <row r="549" spans="1:23" ht="16.5" thickTop="1" thickBot="1">
      <c r="A549" s="554" t="s">
        <v>2668</v>
      </c>
      <c r="B549" s="555"/>
      <c r="C549" s="555"/>
      <c r="D549" s="556"/>
      <c r="E549" s="560">
        <f>SUM(E540:E548)</f>
        <v>-23447646.260000002</v>
      </c>
      <c r="F549" s="560">
        <f>SUM(F540:F548)</f>
        <v>-25039796</v>
      </c>
      <c r="G549" s="560">
        <f>SUM(G540:G548)</f>
        <v>-898980.91</v>
      </c>
      <c r="H549" s="560">
        <f>SUM(H540:H548)</f>
        <v>-16064764</v>
      </c>
      <c r="I549" s="168">
        <v>16064764</v>
      </c>
      <c r="N549" s="554" t="s">
        <v>2668</v>
      </c>
      <c r="O549" s="555"/>
      <c r="P549" s="555"/>
      <c r="Q549" s="555">
        <f>SUM(Q540:Q548)</f>
        <v>-42630019</v>
      </c>
      <c r="R549" s="555">
        <f>SUM(R540:R548)</f>
        <v>-18714973</v>
      </c>
      <c r="S549" s="560">
        <f>SUM(S540:S548)</f>
        <v>-9042647.0800000001</v>
      </c>
      <c r="T549" s="558">
        <f>SUM(T540:T548)</f>
        <v>-18965223</v>
      </c>
      <c r="U549" s="168">
        <f>SUM(S549)</f>
        <v>-9042647.0800000001</v>
      </c>
      <c r="V549" s="168">
        <f>SUM(T549)</f>
        <v>-18965223</v>
      </c>
      <c r="W549" s="168">
        <f t="shared" si="8"/>
        <v>9922575.9199999999</v>
      </c>
    </row>
    <row r="550" spans="1:23" ht="15.75" thickTop="1">
      <c r="B550" s="455"/>
      <c r="E550" s="150"/>
      <c r="O550" s="455"/>
      <c r="P550" s="455"/>
      <c r="Q550" s="455"/>
      <c r="R550" s="455"/>
      <c r="T550" s="523"/>
      <c r="W550" s="168">
        <f t="shared" si="8"/>
        <v>0</v>
      </c>
    </row>
    <row r="551" spans="1:23">
      <c r="A551" s="168" t="s">
        <v>2571</v>
      </c>
      <c r="B551" s="455" t="s">
        <v>1549</v>
      </c>
      <c r="C551" s="455" t="s">
        <v>75</v>
      </c>
      <c r="D551" s="168" t="s">
        <v>1573</v>
      </c>
      <c r="E551" s="150">
        <v>1748379.14</v>
      </c>
      <c r="F551" s="456">
        <v>1748500</v>
      </c>
      <c r="G551" s="168">
        <v>1772332.1</v>
      </c>
      <c r="H551" s="168">
        <v>1772333</v>
      </c>
      <c r="N551" s="168" t="s">
        <v>2571</v>
      </c>
      <c r="O551" s="455" t="s">
        <v>1549</v>
      </c>
      <c r="P551" s="455" t="s">
        <v>75</v>
      </c>
      <c r="Q551" s="455">
        <v>2115993</v>
      </c>
      <c r="R551" s="455">
        <v>2115993</v>
      </c>
      <c r="S551" s="168">
        <v>1843107.79</v>
      </c>
      <c r="T551" s="523">
        <v>1843108</v>
      </c>
      <c r="W551" s="168">
        <f t="shared" si="8"/>
        <v>-0.2099999999627471</v>
      </c>
    </row>
    <row r="552" spans="1:23">
      <c r="A552" s="168" t="s">
        <v>2572</v>
      </c>
      <c r="B552" s="455" t="s">
        <v>1549</v>
      </c>
      <c r="C552" s="455" t="s">
        <v>77</v>
      </c>
      <c r="D552" s="168" t="s">
        <v>1573</v>
      </c>
      <c r="E552" s="150">
        <v>305722.94</v>
      </c>
      <c r="F552" s="456">
        <v>306000</v>
      </c>
      <c r="G552" s="168">
        <v>467848.34</v>
      </c>
      <c r="H552" s="168">
        <v>467848</v>
      </c>
      <c r="N552" s="168" t="s">
        <v>2572</v>
      </c>
      <c r="O552" s="455" t="s">
        <v>1549</v>
      </c>
      <c r="P552" s="455" t="s">
        <v>77</v>
      </c>
      <c r="Q552" s="455">
        <v>260000</v>
      </c>
      <c r="R552" s="455">
        <v>260000</v>
      </c>
      <c r="S552" s="168">
        <v>580744.66</v>
      </c>
      <c r="T552" s="523">
        <v>580744</v>
      </c>
      <c r="W552" s="168">
        <f t="shared" si="8"/>
        <v>0.66000000003259629</v>
      </c>
    </row>
    <row r="553" spans="1:23">
      <c r="A553" s="168" t="s">
        <v>2573</v>
      </c>
      <c r="B553" s="455" t="s">
        <v>1549</v>
      </c>
      <c r="C553" s="455" t="s">
        <v>60</v>
      </c>
      <c r="D553" s="168" t="s">
        <v>1573</v>
      </c>
      <c r="E553" s="150">
        <v>129996.95</v>
      </c>
      <c r="F553" s="456">
        <v>163181</v>
      </c>
      <c r="G553" s="168">
        <v>141930.85999999999</v>
      </c>
      <c r="H553" s="168">
        <v>141931</v>
      </c>
      <c r="N553" s="168" t="s">
        <v>2573</v>
      </c>
      <c r="O553" s="455" t="s">
        <v>1549</v>
      </c>
      <c r="P553" s="455" t="s">
        <v>60</v>
      </c>
      <c r="Q553" s="455">
        <v>176171</v>
      </c>
      <c r="R553" s="455">
        <v>176171</v>
      </c>
      <c r="S553" s="168">
        <v>159218.63</v>
      </c>
      <c r="T553" s="523">
        <v>159219</v>
      </c>
      <c r="W553" s="168">
        <f t="shared" si="8"/>
        <v>-0.36999999999534339</v>
      </c>
    </row>
    <row r="554" spans="1:23">
      <c r="A554" s="168" t="s">
        <v>2574</v>
      </c>
      <c r="B554" s="455" t="s">
        <v>1549</v>
      </c>
      <c r="C554" s="455" t="s">
        <v>1395</v>
      </c>
      <c r="D554" s="168" t="s">
        <v>1573</v>
      </c>
      <c r="E554" s="150">
        <v>38755.57</v>
      </c>
      <c r="F554" s="456">
        <v>38800</v>
      </c>
      <c r="G554" s="168">
        <v>38227.480000000003</v>
      </c>
      <c r="H554" s="168">
        <v>38228</v>
      </c>
      <c r="N554" s="168" t="s">
        <v>2574</v>
      </c>
      <c r="O554" s="455" t="s">
        <v>1549</v>
      </c>
      <c r="P554" s="455" t="s">
        <v>1395</v>
      </c>
      <c r="Q554" s="455"/>
      <c r="R554" s="455"/>
      <c r="S554" s="168">
        <v>54792.19</v>
      </c>
      <c r="T554" s="523">
        <v>54792</v>
      </c>
      <c r="W554" s="168">
        <f t="shared" si="8"/>
        <v>0.19000000000232831</v>
      </c>
    </row>
    <row r="555" spans="1:23">
      <c r="A555" s="168" t="s">
        <v>2575</v>
      </c>
      <c r="B555" s="455" t="s">
        <v>1549</v>
      </c>
      <c r="C555" s="455" t="s">
        <v>515</v>
      </c>
      <c r="D555" s="168" t="s">
        <v>1573</v>
      </c>
      <c r="E555" s="150">
        <v>622.49</v>
      </c>
      <c r="F555" s="456">
        <v>700</v>
      </c>
      <c r="G555" s="168">
        <v>18278.939999999999</v>
      </c>
      <c r="H555" s="168">
        <v>18278</v>
      </c>
      <c r="N555" s="168" t="s">
        <v>2575</v>
      </c>
      <c r="O555" s="455" t="s">
        <v>1549</v>
      </c>
      <c r="P555" s="455" t="s">
        <v>515</v>
      </c>
      <c r="Q555" s="455"/>
      <c r="R555" s="455"/>
      <c r="S555" s="168">
        <v>28656.36</v>
      </c>
      <c r="T555" s="523">
        <v>28656</v>
      </c>
      <c r="W555" s="168">
        <f t="shared" si="8"/>
        <v>0.36000000000058208</v>
      </c>
    </row>
    <row r="556" spans="1:23">
      <c r="A556" s="168" t="s">
        <v>2576</v>
      </c>
      <c r="B556" s="455" t="s">
        <v>1549</v>
      </c>
      <c r="C556" s="455" t="s">
        <v>660</v>
      </c>
      <c r="D556" s="168" t="s">
        <v>1573</v>
      </c>
      <c r="E556" s="150">
        <v>0</v>
      </c>
      <c r="F556" s="456">
        <v>0</v>
      </c>
      <c r="G556" s="168">
        <v>0</v>
      </c>
      <c r="H556" s="168">
        <v>0</v>
      </c>
      <c r="N556" s="168" t="s">
        <v>2576</v>
      </c>
      <c r="O556" s="455" t="s">
        <v>1549</v>
      </c>
      <c r="P556" s="455" t="s">
        <v>660</v>
      </c>
      <c r="Q556" s="455"/>
      <c r="R556" s="455"/>
      <c r="S556" s="168">
        <v>0</v>
      </c>
      <c r="T556" s="523">
        <v>0</v>
      </c>
      <c r="W556" s="168">
        <f t="shared" si="8"/>
        <v>0</v>
      </c>
    </row>
    <row r="557" spans="1:23">
      <c r="A557" s="168" t="s">
        <v>2577</v>
      </c>
      <c r="B557" s="455" t="s">
        <v>1549</v>
      </c>
      <c r="C557" s="455" t="s">
        <v>767</v>
      </c>
      <c r="D557" s="168" t="s">
        <v>1573</v>
      </c>
      <c r="E557" s="150">
        <v>7068</v>
      </c>
      <c r="F557" s="456">
        <v>7100</v>
      </c>
      <c r="G557" s="168">
        <v>8244</v>
      </c>
      <c r="H557" s="168">
        <v>8244</v>
      </c>
      <c r="N557" s="168" t="s">
        <v>2577</v>
      </c>
      <c r="O557" s="455" t="s">
        <v>1549</v>
      </c>
      <c r="P557" s="455" t="s">
        <v>767</v>
      </c>
      <c r="Q557" s="455">
        <v>38628</v>
      </c>
      <c r="R557" s="455">
        <v>38628</v>
      </c>
      <c r="S557" s="168">
        <v>6867</v>
      </c>
      <c r="T557" s="523">
        <v>6867</v>
      </c>
      <c r="W557" s="168">
        <f t="shared" si="8"/>
        <v>0</v>
      </c>
    </row>
    <row r="558" spans="1:23">
      <c r="A558" s="168" t="s">
        <v>2578</v>
      </c>
      <c r="B558" s="455" t="s">
        <v>1549</v>
      </c>
      <c r="C558" s="455" t="s">
        <v>84</v>
      </c>
      <c r="D558" s="168" t="s">
        <v>1573</v>
      </c>
      <c r="E558" s="150">
        <v>45824.17</v>
      </c>
      <c r="F558" s="456">
        <v>46000</v>
      </c>
      <c r="G558" s="168">
        <v>48210.75</v>
      </c>
      <c r="H558" s="168">
        <v>48210</v>
      </c>
      <c r="N558" s="168" t="s">
        <v>2578</v>
      </c>
      <c r="O558" s="455" t="s">
        <v>1549</v>
      </c>
      <c r="P558" s="455" t="s">
        <v>84</v>
      </c>
      <c r="Q558" s="455">
        <v>43168</v>
      </c>
      <c r="R558" s="455">
        <v>43168</v>
      </c>
      <c r="S558" s="168">
        <v>60595.23</v>
      </c>
      <c r="T558" s="523">
        <v>60595</v>
      </c>
      <c r="W558" s="168">
        <f t="shared" si="8"/>
        <v>0.23000000000320142</v>
      </c>
    </row>
    <row r="559" spans="1:23">
      <c r="A559" s="168" t="s">
        <v>2579</v>
      </c>
      <c r="B559" s="455" t="s">
        <v>1549</v>
      </c>
      <c r="C559" s="455" t="s">
        <v>590</v>
      </c>
      <c r="D559" s="168" t="s">
        <v>1573</v>
      </c>
      <c r="E559" s="150">
        <v>29530.799999999999</v>
      </c>
      <c r="F559" s="456">
        <v>30000</v>
      </c>
      <c r="G559" s="168">
        <v>19911.599999999999</v>
      </c>
      <c r="H559" s="168">
        <v>19911</v>
      </c>
      <c r="N559" s="168" t="s">
        <v>2579</v>
      </c>
      <c r="O559" s="455" t="s">
        <v>1549</v>
      </c>
      <c r="P559" s="455" t="s">
        <v>590</v>
      </c>
      <c r="Q559" s="455">
        <v>124211</v>
      </c>
      <c r="R559" s="455">
        <v>124211</v>
      </c>
      <c r="S559" s="168">
        <v>22734</v>
      </c>
      <c r="T559" s="523">
        <v>22734</v>
      </c>
      <c r="W559" s="168">
        <f t="shared" si="8"/>
        <v>0</v>
      </c>
    </row>
    <row r="560" spans="1:23">
      <c r="A560" s="168" t="s">
        <v>2580</v>
      </c>
      <c r="B560" s="455" t="s">
        <v>1549</v>
      </c>
      <c r="C560" s="455" t="s">
        <v>590</v>
      </c>
      <c r="D560" s="168" t="s">
        <v>1573</v>
      </c>
      <c r="E560" s="150">
        <v>351422.69</v>
      </c>
      <c r="F560" s="456">
        <v>351500</v>
      </c>
      <c r="G560" s="168">
        <v>368866.18</v>
      </c>
      <c r="H560" s="168">
        <v>368867</v>
      </c>
      <c r="N560" s="168" t="s">
        <v>2580</v>
      </c>
      <c r="O560" s="455" t="s">
        <v>1549</v>
      </c>
      <c r="P560" s="455" t="s">
        <v>590</v>
      </c>
      <c r="Q560" s="455">
        <v>465518</v>
      </c>
      <c r="R560" s="455">
        <v>465518</v>
      </c>
      <c r="S560" s="168">
        <v>391637.48</v>
      </c>
      <c r="T560" s="523">
        <v>391638</v>
      </c>
      <c r="W560" s="168">
        <f t="shared" si="8"/>
        <v>-0.52000000001862645</v>
      </c>
    </row>
    <row r="561" spans="1:23">
      <c r="A561" s="168" t="s">
        <v>2581</v>
      </c>
      <c r="B561" s="455" t="s">
        <v>1549</v>
      </c>
      <c r="C561" s="455" t="s">
        <v>590</v>
      </c>
      <c r="D561" s="168" t="s">
        <v>1573</v>
      </c>
      <c r="E561" s="150">
        <v>19890.439999999999</v>
      </c>
      <c r="F561" s="456">
        <v>20000</v>
      </c>
      <c r="G561" s="168">
        <v>23606.03</v>
      </c>
      <c r="H561" s="168">
        <v>23606</v>
      </c>
      <c r="N561" s="168" t="s">
        <v>2581</v>
      </c>
      <c r="O561" s="455" t="s">
        <v>1549</v>
      </c>
      <c r="P561" s="455" t="s">
        <v>590</v>
      </c>
      <c r="Q561" s="455">
        <v>21160</v>
      </c>
      <c r="R561" s="455">
        <v>21160</v>
      </c>
      <c r="S561" s="168">
        <v>25562.52</v>
      </c>
      <c r="T561" s="523">
        <v>25562</v>
      </c>
      <c r="W561" s="168">
        <f t="shared" si="8"/>
        <v>0.52000000000043656</v>
      </c>
    </row>
    <row r="562" spans="1:23">
      <c r="A562" s="168" t="s">
        <v>2582</v>
      </c>
      <c r="B562" s="455" t="s">
        <v>1549</v>
      </c>
      <c r="C562" s="455" t="s">
        <v>590</v>
      </c>
      <c r="D562" s="168" t="s">
        <v>1573</v>
      </c>
      <c r="E562" s="150">
        <v>4935.0600000000004</v>
      </c>
      <c r="F562" s="456">
        <v>5000</v>
      </c>
      <c r="G562" s="168">
        <v>6008.2</v>
      </c>
      <c r="H562" s="168">
        <v>6006</v>
      </c>
      <c r="N562" s="168" t="s">
        <v>2582</v>
      </c>
      <c r="O562" s="455" t="s">
        <v>1549</v>
      </c>
      <c r="P562" s="455" t="s">
        <v>590</v>
      </c>
      <c r="Q562" s="455">
        <v>32375</v>
      </c>
      <c r="R562" s="455">
        <v>32375</v>
      </c>
      <c r="S562" s="168">
        <v>6696.48</v>
      </c>
      <c r="T562" s="523">
        <v>6697</v>
      </c>
      <c r="W562" s="168">
        <f t="shared" si="8"/>
        <v>-0.52000000000043656</v>
      </c>
    </row>
    <row r="563" spans="1:23">
      <c r="A563" s="168" t="s">
        <v>2583</v>
      </c>
      <c r="B563" s="455" t="s">
        <v>1549</v>
      </c>
      <c r="C563" s="455" t="s">
        <v>1807</v>
      </c>
      <c r="D563" s="168" t="s">
        <v>1573</v>
      </c>
      <c r="E563" s="150">
        <v>1395.2</v>
      </c>
      <c r="F563" s="456">
        <v>1400</v>
      </c>
      <c r="G563" s="168">
        <v>1555.95</v>
      </c>
      <c r="H563" s="168">
        <v>1556</v>
      </c>
      <c r="N563" s="168" t="s">
        <v>2583</v>
      </c>
      <c r="O563" s="455" t="s">
        <v>1549</v>
      </c>
      <c r="P563" s="455" t="s">
        <v>1807</v>
      </c>
      <c r="Q563" s="455">
        <v>1739</v>
      </c>
      <c r="R563" s="455">
        <v>1739</v>
      </c>
      <c r="S563" s="168">
        <v>1631.25</v>
      </c>
      <c r="T563" s="523">
        <v>1632</v>
      </c>
      <c r="W563" s="168">
        <f t="shared" si="8"/>
        <v>-0.75</v>
      </c>
    </row>
    <row r="564" spans="1:23">
      <c r="A564" s="168" t="s">
        <v>2584</v>
      </c>
      <c r="B564" s="455" t="s">
        <v>1551</v>
      </c>
      <c r="C564" s="455" t="s">
        <v>592</v>
      </c>
      <c r="D564" s="168" t="s">
        <v>1573</v>
      </c>
      <c r="E564" s="150">
        <v>0</v>
      </c>
      <c r="F564" s="456">
        <v>177463</v>
      </c>
      <c r="G564" s="168">
        <v>0</v>
      </c>
      <c r="H564" s="168">
        <v>0</v>
      </c>
      <c r="N564" s="168" t="s">
        <v>2584</v>
      </c>
      <c r="O564" s="455" t="s">
        <v>1551</v>
      </c>
      <c r="P564" s="455" t="s">
        <v>592</v>
      </c>
      <c r="Q564" s="455">
        <v>665208</v>
      </c>
      <c r="R564" s="455">
        <v>665208</v>
      </c>
      <c r="S564" s="168">
        <v>692986.67</v>
      </c>
      <c r="T564" s="523">
        <v>665208</v>
      </c>
      <c r="W564" s="462">
        <f t="shared" si="8"/>
        <v>27778.670000000042</v>
      </c>
    </row>
    <row r="565" spans="1:23">
      <c r="A565" s="168" t="s">
        <v>2585</v>
      </c>
      <c r="B565" s="455" t="s">
        <v>1552</v>
      </c>
      <c r="C565" s="455" t="s">
        <v>595</v>
      </c>
      <c r="D565" s="168" t="s">
        <v>1573</v>
      </c>
      <c r="E565" s="150">
        <v>102581.56</v>
      </c>
      <c r="F565" s="456">
        <v>104000</v>
      </c>
      <c r="G565" s="168">
        <v>1693.35</v>
      </c>
      <c r="H565" s="168">
        <v>1693</v>
      </c>
      <c r="N565" s="168" t="s">
        <v>2585</v>
      </c>
      <c r="O565" s="455" t="s">
        <v>1552</v>
      </c>
      <c r="P565" s="455" t="s">
        <v>595</v>
      </c>
      <c r="Q565" s="455">
        <v>102582</v>
      </c>
      <c r="R565" s="455">
        <v>58500</v>
      </c>
      <c r="S565" s="168">
        <v>60510.53</v>
      </c>
      <c r="T565" s="523">
        <v>60510</v>
      </c>
      <c r="W565" s="168">
        <f t="shared" si="8"/>
        <v>0.52999999999883585</v>
      </c>
    </row>
    <row r="566" spans="1:23">
      <c r="A566" s="168" t="s">
        <v>2586</v>
      </c>
      <c r="B566" s="455" t="s">
        <v>1552</v>
      </c>
      <c r="C566" s="455" t="s">
        <v>2587</v>
      </c>
      <c r="D566" s="168" t="s">
        <v>1573</v>
      </c>
      <c r="E566" s="150">
        <v>227639.72</v>
      </c>
      <c r="F566" s="456">
        <v>236000</v>
      </c>
      <c r="G566" s="168">
        <v>199260.17</v>
      </c>
      <c r="H566" s="168">
        <v>199260</v>
      </c>
      <c r="N566" s="168" t="s">
        <v>2586</v>
      </c>
      <c r="O566" s="455" t="s">
        <v>1552</v>
      </c>
      <c r="P566" s="455" t="s">
        <v>2587</v>
      </c>
      <c r="Q566" s="455">
        <v>227640</v>
      </c>
      <c r="R566" s="455">
        <v>227640</v>
      </c>
      <c r="S566" s="168">
        <v>124208.41</v>
      </c>
      <c r="T566" s="523">
        <v>128136</v>
      </c>
      <c r="W566" s="168">
        <f t="shared" si="8"/>
        <v>-3927.5899999999965</v>
      </c>
    </row>
    <row r="567" spans="1:23">
      <c r="A567" s="168" t="s">
        <v>2588</v>
      </c>
      <c r="B567" s="455" t="s">
        <v>1552</v>
      </c>
      <c r="C567" s="455" t="s">
        <v>2589</v>
      </c>
      <c r="D567" s="168" t="s">
        <v>1573</v>
      </c>
      <c r="E567" s="150">
        <v>0</v>
      </c>
      <c r="F567" s="456">
        <v>0</v>
      </c>
      <c r="G567" s="168">
        <v>4050.35</v>
      </c>
      <c r="H567" s="168">
        <v>4050</v>
      </c>
      <c r="N567" s="168" t="s">
        <v>2588</v>
      </c>
      <c r="O567" s="455" t="s">
        <v>1552</v>
      </c>
      <c r="P567" s="455" t="s">
        <v>2589</v>
      </c>
      <c r="Q567" s="455">
        <v>20618</v>
      </c>
      <c r="R567" s="455">
        <v>20618</v>
      </c>
      <c r="S567" s="168">
        <v>6641.89</v>
      </c>
      <c r="T567" s="523">
        <v>6642</v>
      </c>
      <c r="W567" s="168">
        <f t="shared" si="8"/>
        <v>-0.10999999999967258</v>
      </c>
    </row>
    <row r="568" spans="1:23">
      <c r="A568" s="168" t="s">
        <v>2590</v>
      </c>
      <c r="B568" s="455" t="s">
        <v>1552</v>
      </c>
      <c r="C568" s="455" t="s">
        <v>545</v>
      </c>
      <c r="D568" s="168" t="s">
        <v>1573</v>
      </c>
      <c r="E568" s="150">
        <v>3234.82</v>
      </c>
      <c r="F568" s="456">
        <v>3300</v>
      </c>
      <c r="G568" s="168">
        <v>0</v>
      </c>
      <c r="H568" s="168">
        <v>0</v>
      </c>
      <c r="N568" s="168" t="s">
        <v>2590</v>
      </c>
      <c r="O568" s="455" t="s">
        <v>1552</v>
      </c>
      <c r="P568" s="455" t="s">
        <v>545</v>
      </c>
      <c r="Q568" s="455">
        <v>5030</v>
      </c>
      <c r="R568" s="455">
        <v>5030</v>
      </c>
      <c r="S568" s="168">
        <v>0</v>
      </c>
      <c r="T568" s="523">
        <v>0</v>
      </c>
      <c r="W568" s="168">
        <f t="shared" si="8"/>
        <v>0</v>
      </c>
    </row>
    <row r="569" spans="1:23">
      <c r="A569" s="168" t="s">
        <v>2591</v>
      </c>
      <c r="B569" s="455" t="s">
        <v>1552</v>
      </c>
      <c r="C569" s="455" t="s">
        <v>545</v>
      </c>
      <c r="D569" s="168" t="s">
        <v>1573</v>
      </c>
      <c r="E569" s="150">
        <v>16200.31</v>
      </c>
      <c r="F569" s="456">
        <v>20000</v>
      </c>
      <c r="G569" s="168">
        <v>20107.689999999999</v>
      </c>
      <c r="H569" s="168">
        <v>20107</v>
      </c>
      <c r="N569" s="168" t="s">
        <v>2591</v>
      </c>
      <c r="O569" s="455" t="s">
        <v>1552</v>
      </c>
      <c r="P569" s="455" t="s">
        <v>545</v>
      </c>
      <c r="Q569" s="455">
        <v>17010</v>
      </c>
      <c r="R569" s="455">
        <v>17010</v>
      </c>
      <c r="S569" s="168">
        <v>8119.73</v>
      </c>
      <c r="T569" s="523">
        <v>8120</v>
      </c>
      <c r="W569" s="168">
        <f t="shared" si="8"/>
        <v>-0.27000000000043656</v>
      </c>
    </row>
    <row r="570" spans="1:23">
      <c r="A570" s="168" t="s">
        <v>2592</v>
      </c>
      <c r="B570" s="455" t="s">
        <v>1552</v>
      </c>
      <c r="C570" s="455" t="s">
        <v>95</v>
      </c>
      <c r="D570" s="168" t="s">
        <v>1573</v>
      </c>
      <c r="E570" s="150">
        <v>0</v>
      </c>
      <c r="F570" s="456">
        <v>0</v>
      </c>
      <c r="G570" s="168">
        <v>0</v>
      </c>
      <c r="H570" s="168">
        <v>0</v>
      </c>
      <c r="N570" s="168" t="s">
        <v>2592</v>
      </c>
      <c r="O570" s="455" t="s">
        <v>1552</v>
      </c>
      <c r="P570" s="455" t="s">
        <v>95</v>
      </c>
      <c r="Q570" s="455"/>
      <c r="R570" s="455"/>
      <c r="S570" s="168">
        <v>0</v>
      </c>
      <c r="T570" s="523">
        <v>0</v>
      </c>
      <c r="W570" s="168">
        <f t="shared" si="8"/>
        <v>0</v>
      </c>
    </row>
    <row r="571" spans="1:23">
      <c r="A571" s="168" t="s">
        <v>2593</v>
      </c>
      <c r="B571" s="455" t="s">
        <v>2469</v>
      </c>
      <c r="C571" s="455" t="s">
        <v>2315</v>
      </c>
      <c r="D571" s="168" t="s">
        <v>1573</v>
      </c>
      <c r="E571" s="150">
        <v>0</v>
      </c>
      <c r="F571" s="456">
        <v>103192</v>
      </c>
      <c r="G571" s="168">
        <v>45837.89</v>
      </c>
      <c r="H571" s="168">
        <v>45838</v>
      </c>
      <c r="N571" s="168" t="s">
        <v>2593</v>
      </c>
      <c r="O571" s="455" t="s">
        <v>2469</v>
      </c>
      <c r="P571" s="455" t="s">
        <v>2315</v>
      </c>
      <c r="Q571" s="455">
        <v>112028</v>
      </c>
      <c r="R571" s="455">
        <v>112028</v>
      </c>
      <c r="S571" s="168">
        <v>37309.78</v>
      </c>
      <c r="T571" s="523">
        <v>37310</v>
      </c>
      <c r="W571" s="168">
        <f t="shared" si="8"/>
        <v>-0.22000000000116415</v>
      </c>
    </row>
    <row r="572" spans="1:23">
      <c r="A572" s="168" t="s">
        <v>2594</v>
      </c>
      <c r="B572" s="455" t="s">
        <v>2469</v>
      </c>
      <c r="C572" s="455" t="s">
        <v>2333</v>
      </c>
      <c r="D572" s="168" t="s">
        <v>1573</v>
      </c>
      <c r="E572" s="150">
        <v>0</v>
      </c>
      <c r="F572" s="456">
        <v>74979</v>
      </c>
      <c r="G572" s="168">
        <v>0</v>
      </c>
      <c r="H572" s="168">
        <v>0</v>
      </c>
      <c r="N572" s="168" t="s">
        <v>2594</v>
      </c>
      <c r="O572" s="455" t="s">
        <v>2469</v>
      </c>
      <c r="P572" s="455" t="s">
        <v>2333</v>
      </c>
      <c r="Q572" s="455"/>
      <c r="R572" s="455"/>
      <c r="S572" s="168">
        <v>0</v>
      </c>
      <c r="T572" s="523">
        <v>0</v>
      </c>
      <c r="W572" s="168">
        <f t="shared" si="8"/>
        <v>0</v>
      </c>
    </row>
    <row r="573" spans="1:23">
      <c r="A573" s="168" t="s">
        <v>2595</v>
      </c>
      <c r="B573" s="455" t="s">
        <v>1553</v>
      </c>
      <c r="C573" s="455" t="s">
        <v>616</v>
      </c>
      <c r="D573" s="168" t="s">
        <v>1573</v>
      </c>
      <c r="E573" s="150">
        <v>44619.58</v>
      </c>
      <c r="F573" s="456">
        <v>44750</v>
      </c>
      <c r="G573" s="168">
        <v>1334.99</v>
      </c>
      <c r="H573" s="168">
        <v>1334</v>
      </c>
      <c r="N573" s="168" t="s">
        <v>2595</v>
      </c>
      <c r="O573" s="455" t="s">
        <v>1553</v>
      </c>
      <c r="P573" s="455" t="s">
        <v>616</v>
      </c>
      <c r="Q573" s="455">
        <v>26264</v>
      </c>
      <c r="R573" s="455">
        <v>3620</v>
      </c>
      <c r="S573" s="168">
        <v>-5272.5</v>
      </c>
      <c r="T573" s="523">
        <v>4699</v>
      </c>
      <c r="W573" s="168">
        <f t="shared" si="8"/>
        <v>-9971.5</v>
      </c>
    </row>
    <row r="574" spans="1:23">
      <c r="A574" s="168" t="s">
        <v>2596</v>
      </c>
      <c r="B574" s="455" t="s">
        <v>1553</v>
      </c>
      <c r="C574" s="455" t="s">
        <v>622</v>
      </c>
      <c r="D574" s="168" t="s">
        <v>1573</v>
      </c>
      <c r="E574" s="150">
        <v>72970.61</v>
      </c>
      <c r="F574" s="456">
        <v>73000</v>
      </c>
      <c r="G574" s="168">
        <v>153752.48000000001</v>
      </c>
      <c r="H574" s="168">
        <v>153752</v>
      </c>
      <c r="N574" s="168" t="s">
        <v>2596</v>
      </c>
      <c r="O574" s="455" t="s">
        <v>1553</v>
      </c>
      <c r="P574" s="455" t="s">
        <v>622</v>
      </c>
      <c r="Q574" s="455">
        <v>84588</v>
      </c>
      <c r="R574" s="455">
        <v>84588</v>
      </c>
      <c r="S574" s="168">
        <v>128435.57</v>
      </c>
      <c r="T574" s="523">
        <v>128435</v>
      </c>
      <c r="W574" s="168">
        <f t="shared" si="8"/>
        <v>0.57000000000698492</v>
      </c>
    </row>
    <row r="575" spans="1:23">
      <c r="A575" s="168" t="s">
        <v>690</v>
      </c>
      <c r="B575" s="455" t="s">
        <v>1553</v>
      </c>
      <c r="C575" s="455" t="s">
        <v>2322</v>
      </c>
      <c r="D575" s="168" t="s">
        <v>1573</v>
      </c>
      <c r="E575" s="150">
        <v>45113.279999999999</v>
      </c>
      <c r="F575" s="456">
        <v>45213</v>
      </c>
      <c r="G575" s="168">
        <v>0</v>
      </c>
      <c r="H575" s="168">
        <v>0</v>
      </c>
      <c r="N575" s="168" t="s">
        <v>690</v>
      </c>
      <c r="O575" s="455" t="s">
        <v>1553</v>
      </c>
      <c r="P575" s="455" t="s">
        <v>2322</v>
      </c>
      <c r="Q575" s="455">
        <v>49625</v>
      </c>
      <c r="R575" s="455">
        <v>49625</v>
      </c>
      <c r="S575" s="168">
        <v>4746.82</v>
      </c>
      <c r="T575" s="523">
        <v>4747</v>
      </c>
      <c r="W575" s="168">
        <f t="shared" si="8"/>
        <v>-0.18000000000029104</v>
      </c>
    </row>
    <row r="576" spans="1:23">
      <c r="A576" s="168" t="s">
        <v>691</v>
      </c>
      <c r="B576" s="455" t="s">
        <v>1553</v>
      </c>
      <c r="C576" s="455" t="s">
        <v>624</v>
      </c>
      <c r="D576" s="168" t="s">
        <v>1573</v>
      </c>
      <c r="E576" s="150">
        <v>3853.8</v>
      </c>
      <c r="F576" s="456">
        <v>5079</v>
      </c>
      <c r="G576" s="168">
        <v>2614.75</v>
      </c>
      <c r="H576" s="168">
        <v>2614</v>
      </c>
      <c r="N576" s="168" t="s">
        <v>691</v>
      </c>
      <c r="O576" s="455" t="s">
        <v>1553</v>
      </c>
      <c r="P576" s="455" t="s">
        <v>624</v>
      </c>
      <c r="Q576" s="455">
        <v>5108</v>
      </c>
      <c r="R576" s="455">
        <v>3800</v>
      </c>
      <c r="S576" s="168">
        <v>23265.7</v>
      </c>
      <c r="T576" s="523">
        <v>23265</v>
      </c>
      <c r="W576" s="168">
        <f t="shared" si="8"/>
        <v>0.7000000000007276</v>
      </c>
    </row>
    <row r="577" spans="1:23">
      <c r="A577" s="168" t="s">
        <v>692</v>
      </c>
      <c r="B577" s="455" t="s">
        <v>1553</v>
      </c>
      <c r="C577" s="455" t="s">
        <v>633</v>
      </c>
      <c r="D577" s="168" t="s">
        <v>1573</v>
      </c>
      <c r="E577" s="150">
        <v>246.46</v>
      </c>
      <c r="F577" s="456">
        <v>330</v>
      </c>
      <c r="G577" s="168">
        <v>201.54</v>
      </c>
      <c r="H577" s="168">
        <v>201</v>
      </c>
      <c r="N577" s="168" t="s">
        <v>692</v>
      </c>
      <c r="O577" s="455" t="s">
        <v>1553</v>
      </c>
      <c r="P577" s="455" t="s">
        <v>633</v>
      </c>
      <c r="Q577" s="455">
        <v>378</v>
      </c>
      <c r="R577" s="455">
        <v>378</v>
      </c>
      <c r="S577" s="168">
        <v>728.62</v>
      </c>
      <c r="T577" s="523">
        <v>728</v>
      </c>
      <c r="W577" s="168">
        <f t="shared" si="8"/>
        <v>0.62000000000000455</v>
      </c>
    </row>
    <row r="578" spans="1:23">
      <c r="A578" s="168" t="s">
        <v>693</v>
      </c>
      <c r="B578" s="455" t="s">
        <v>1553</v>
      </c>
      <c r="C578" s="455" t="s">
        <v>253</v>
      </c>
      <c r="D578" s="168" t="s">
        <v>1573</v>
      </c>
      <c r="E578" s="150">
        <v>17718.78</v>
      </c>
      <c r="F578" s="456">
        <v>24000</v>
      </c>
      <c r="G578" s="168">
        <v>96681.95</v>
      </c>
      <c r="H578" s="168">
        <v>96681</v>
      </c>
      <c r="N578" s="168" t="s">
        <v>693</v>
      </c>
      <c r="O578" s="455" t="s">
        <v>1553</v>
      </c>
      <c r="P578" s="455" t="s">
        <v>253</v>
      </c>
      <c r="Q578" s="455">
        <v>15505</v>
      </c>
      <c r="R578" s="455">
        <v>20000</v>
      </c>
      <c r="S578" s="168">
        <v>48599.12</v>
      </c>
      <c r="T578" s="523">
        <v>48599</v>
      </c>
      <c r="W578" s="168">
        <f t="shared" si="8"/>
        <v>0.12000000000261934</v>
      </c>
    </row>
    <row r="579" spans="1:23">
      <c r="A579" s="168" t="s">
        <v>694</v>
      </c>
      <c r="B579" s="455" t="s">
        <v>1553</v>
      </c>
      <c r="C579" s="455" t="s">
        <v>50</v>
      </c>
      <c r="D579" s="168" t="s">
        <v>1573</v>
      </c>
      <c r="E579" s="150">
        <v>0</v>
      </c>
      <c r="F579" s="456">
        <v>0</v>
      </c>
      <c r="G579" s="168">
        <v>0</v>
      </c>
      <c r="H579" s="168">
        <v>0</v>
      </c>
      <c r="N579" s="168" t="s">
        <v>694</v>
      </c>
      <c r="O579" s="455" t="s">
        <v>1553</v>
      </c>
      <c r="P579" s="455" t="s">
        <v>50</v>
      </c>
      <c r="Q579" s="455"/>
      <c r="R579" s="455"/>
      <c r="S579" s="168">
        <v>2408</v>
      </c>
      <c r="T579" s="523">
        <v>2408</v>
      </c>
      <c r="W579" s="168">
        <f t="shared" si="8"/>
        <v>0</v>
      </c>
    </row>
    <row r="580" spans="1:23">
      <c r="A580" s="168" t="s">
        <v>695</v>
      </c>
      <c r="B580" s="455" t="s">
        <v>1553</v>
      </c>
      <c r="C580" s="455" t="s">
        <v>52</v>
      </c>
      <c r="D580" s="168" t="s">
        <v>1573</v>
      </c>
      <c r="E580" s="150">
        <v>0</v>
      </c>
      <c r="F580" s="456">
        <v>1975</v>
      </c>
      <c r="G580" s="168">
        <v>0</v>
      </c>
      <c r="H580" s="168">
        <v>0</v>
      </c>
      <c r="N580" s="168" t="s">
        <v>695</v>
      </c>
      <c r="O580" s="455" t="s">
        <v>1553</v>
      </c>
      <c r="P580" s="455" t="s">
        <v>52</v>
      </c>
      <c r="Q580" s="455">
        <v>693</v>
      </c>
      <c r="R580" s="455">
        <v>693</v>
      </c>
      <c r="S580" s="168">
        <v>0</v>
      </c>
      <c r="T580" s="523">
        <v>0</v>
      </c>
      <c r="W580" s="168">
        <f t="shared" ref="W580:W644" si="9">S580-T580</f>
        <v>0</v>
      </c>
    </row>
    <row r="581" spans="1:23">
      <c r="A581" s="168" t="s">
        <v>696</v>
      </c>
      <c r="B581" s="455" t="s">
        <v>1553</v>
      </c>
      <c r="C581" s="455" t="s">
        <v>52</v>
      </c>
      <c r="D581" s="168" t="s">
        <v>1573</v>
      </c>
      <c r="E581" s="150">
        <v>6547.54</v>
      </c>
      <c r="F581" s="456">
        <v>6600</v>
      </c>
      <c r="G581" s="168">
        <v>1148.73</v>
      </c>
      <c r="H581" s="168">
        <v>1149</v>
      </c>
      <c r="N581" s="168" t="s">
        <v>696</v>
      </c>
      <c r="O581" s="455" t="s">
        <v>1553</v>
      </c>
      <c r="P581" s="455" t="s">
        <v>52</v>
      </c>
      <c r="Q581" s="455">
        <v>7560</v>
      </c>
      <c r="R581" s="455">
        <v>7200</v>
      </c>
      <c r="S581" s="168">
        <v>164.18</v>
      </c>
      <c r="T581" s="523">
        <v>164</v>
      </c>
      <c r="W581" s="168">
        <f t="shared" si="9"/>
        <v>0.18000000000000682</v>
      </c>
    </row>
    <row r="582" spans="1:23">
      <c r="B582" s="455"/>
      <c r="E582" s="150"/>
      <c r="N582" s="168" t="s">
        <v>3477</v>
      </c>
      <c r="O582" s="455"/>
      <c r="P582" s="455"/>
      <c r="Q582" s="455"/>
      <c r="R582" s="455"/>
      <c r="S582" s="168">
        <v>47274.28</v>
      </c>
      <c r="T582" s="523">
        <v>47274</v>
      </c>
      <c r="W582" s="168">
        <f t="shared" si="9"/>
        <v>0.27999999999883585</v>
      </c>
    </row>
    <row r="583" spans="1:23">
      <c r="A583" s="168" t="s">
        <v>3348</v>
      </c>
      <c r="B583" s="455"/>
      <c r="E583" s="150"/>
      <c r="G583" s="168">
        <v>179632</v>
      </c>
      <c r="N583" s="168" t="s">
        <v>3348</v>
      </c>
      <c r="O583" s="455"/>
      <c r="P583" s="455"/>
      <c r="Q583" s="455"/>
      <c r="R583" s="455"/>
      <c r="S583" s="168">
        <v>0</v>
      </c>
      <c r="T583" s="523"/>
      <c r="W583" s="168">
        <f t="shared" si="9"/>
        <v>0</v>
      </c>
    </row>
    <row r="584" spans="1:23">
      <c r="A584" s="168" t="s">
        <v>3336</v>
      </c>
      <c r="B584" s="455"/>
      <c r="E584" s="150"/>
      <c r="G584" s="168">
        <v>31182.54</v>
      </c>
      <c r="N584" s="168" t="s">
        <v>3478</v>
      </c>
      <c r="O584" s="455"/>
      <c r="P584" s="455"/>
      <c r="Q584" s="455"/>
      <c r="R584" s="455"/>
      <c r="S584" s="168">
        <v>0</v>
      </c>
      <c r="T584" s="523">
        <v>8722000</v>
      </c>
      <c r="W584" s="168">
        <f t="shared" si="9"/>
        <v>-8722000</v>
      </c>
    </row>
    <row r="585" spans="1:23">
      <c r="A585" s="168" t="s">
        <v>1045</v>
      </c>
      <c r="B585" s="455" t="s">
        <v>1553</v>
      </c>
      <c r="C585" s="455" t="s">
        <v>127</v>
      </c>
      <c r="D585" s="168" t="s">
        <v>1573</v>
      </c>
      <c r="E585" s="150">
        <v>70314.44</v>
      </c>
      <c r="F585" s="456">
        <v>0</v>
      </c>
      <c r="G585" s="168">
        <v>0</v>
      </c>
      <c r="H585" s="168">
        <v>0</v>
      </c>
      <c r="N585" s="168" t="s">
        <v>1045</v>
      </c>
      <c r="O585" s="455" t="s">
        <v>1553</v>
      </c>
      <c r="P585" s="455" t="s">
        <v>127</v>
      </c>
      <c r="Q585" s="455"/>
      <c r="R585" s="455"/>
      <c r="S585" s="168">
        <v>0</v>
      </c>
      <c r="T585" s="523">
        <v>0</v>
      </c>
      <c r="W585" s="168">
        <f t="shared" si="9"/>
        <v>0</v>
      </c>
    </row>
    <row r="586" spans="1:23" ht="15.75" thickBot="1">
      <c r="A586" s="168" t="s">
        <v>697</v>
      </c>
      <c r="B586" s="455" t="s">
        <v>1553</v>
      </c>
      <c r="C586" s="455" t="s">
        <v>2570</v>
      </c>
      <c r="D586" s="168" t="s">
        <v>1573</v>
      </c>
      <c r="E586" s="150">
        <v>0</v>
      </c>
      <c r="F586" s="456">
        <v>0</v>
      </c>
      <c r="G586" s="168">
        <v>0</v>
      </c>
      <c r="H586" s="168">
        <v>0</v>
      </c>
      <c r="N586" s="168" t="s">
        <v>697</v>
      </c>
      <c r="O586" s="455" t="s">
        <v>1553</v>
      </c>
      <c r="P586" s="455" t="s">
        <v>2570</v>
      </c>
      <c r="Q586" s="455"/>
      <c r="R586" s="455"/>
      <c r="S586" s="168">
        <v>0</v>
      </c>
      <c r="T586" s="523">
        <v>0</v>
      </c>
      <c r="W586" s="168">
        <f t="shared" si="9"/>
        <v>0</v>
      </c>
    </row>
    <row r="587" spans="1:23" ht="16.5" thickTop="1" thickBot="1">
      <c r="A587" s="554" t="s">
        <v>2668</v>
      </c>
      <c r="B587" s="555"/>
      <c r="C587" s="555"/>
      <c r="D587" s="556"/>
      <c r="E587" s="560">
        <f>SUM(E551:E586)</f>
        <v>3294584.3499999992</v>
      </c>
      <c r="F587" s="560">
        <f>SUM(F551:F586)</f>
        <v>3638062</v>
      </c>
      <c r="G587" s="560">
        <f>SUM(G551:G586)</f>
        <v>3652518.8600000008</v>
      </c>
      <c r="H587" s="560">
        <f>SUM(H551:H586)</f>
        <v>3441697</v>
      </c>
      <c r="N587" s="554" t="s">
        <v>2668</v>
      </c>
      <c r="O587" s="555"/>
      <c r="P587" s="555"/>
      <c r="Q587" s="555">
        <f>SUM(Q551:Q586)</f>
        <v>4618800</v>
      </c>
      <c r="R587" s="555">
        <f>SUM(R551:R586)</f>
        <v>4554901</v>
      </c>
      <c r="S587" s="560">
        <f>SUM(S551:S586)</f>
        <v>4362370.3900000006</v>
      </c>
      <c r="T587" s="558">
        <f>SUM(T551:T586)</f>
        <v>13070489</v>
      </c>
      <c r="U587" s="168">
        <f>SUM(S587)</f>
        <v>4362370.3900000006</v>
      </c>
      <c r="V587" s="168">
        <f>SUM(T587)</f>
        <v>13070489</v>
      </c>
      <c r="W587" s="168">
        <f t="shared" si="9"/>
        <v>-8708118.6099999994</v>
      </c>
    </row>
    <row r="588" spans="1:23" ht="15.75" thickTop="1">
      <c r="B588" s="455"/>
      <c r="E588" s="150"/>
      <c r="O588" s="455"/>
      <c r="P588" s="455"/>
      <c r="Q588" s="455"/>
      <c r="R588" s="455"/>
      <c r="T588" s="523"/>
      <c r="U588" s="603">
        <f>SUM(U549:U587)</f>
        <v>-4680276.6899999995</v>
      </c>
      <c r="V588" s="603">
        <f>SUM(V549:V587)</f>
        <v>-5894734</v>
      </c>
      <c r="W588" s="168">
        <f t="shared" si="9"/>
        <v>0</v>
      </c>
    </row>
    <row r="589" spans="1:23">
      <c r="A589" s="168" t="s">
        <v>2712</v>
      </c>
      <c r="B589" s="455" t="s">
        <v>1179</v>
      </c>
      <c r="C589" s="455" t="s">
        <v>1147</v>
      </c>
      <c r="D589" s="168" t="s">
        <v>1574</v>
      </c>
      <c r="E589" s="150">
        <v>-4908</v>
      </c>
      <c r="F589" s="456">
        <v>-5784</v>
      </c>
      <c r="G589" s="168">
        <v>-18244.04</v>
      </c>
      <c r="H589" s="168">
        <v>-11950</v>
      </c>
      <c r="N589" s="168" t="s">
        <v>3479</v>
      </c>
      <c r="O589" s="455" t="s">
        <v>1179</v>
      </c>
      <c r="P589" s="455" t="s">
        <v>1147</v>
      </c>
      <c r="Q589" s="455">
        <v>-26350</v>
      </c>
      <c r="R589" s="455">
        <v>-5000</v>
      </c>
      <c r="S589" s="168">
        <v>0</v>
      </c>
      <c r="T589" s="523">
        <v>-5000</v>
      </c>
      <c r="W589" s="168">
        <f t="shared" si="9"/>
        <v>5000</v>
      </c>
    </row>
    <row r="590" spans="1:23">
      <c r="A590" s="168" t="s">
        <v>3955</v>
      </c>
      <c r="B590" s="455"/>
      <c r="E590" s="150"/>
      <c r="O590" s="455"/>
      <c r="P590" s="455"/>
      <c r="Q590" s="455"/>
      <c r="R590" s="455"/>
      <c r="S590" s="168">
        <v>-783000</v>
      </c>
      <c r="T590" s="523"/>
    </row>
    <row r="591" spans="1:23">
      <c r="A591" s="168" t="s">
        <v>698</v>
      </c>
      <c r="B591" s="455"/>
      <c r="C591" s="455" t="s">
        <v>614</v>
      </c>
      <c r="D591" s="168" t="s">
        <v>1574</v>
      </c>
      <c r="E591" s="150">
        <v>0</v>
      </c>
      <c r="F591" s="456">
        <v>0</v>
      </c>
      <c r="G591" s="168">
        <v>-4466868.22</v>
      </c>
      <c r="H591" s="168">
        <v>-5400000</v>
      </c>
      <c r="N591" s="168" t="s">
        <v>698</v>
      </c>
      <c r="O591" s="455"/>
      <c r="P591" s="455" t="s">
        <v>614</v>
      </c>
      <c r="Q591" s="455"/>
      <c r="R591" s="455"/>
      <c r="S591" s="168">
        <v>0</v>
      </c>
      <c r="T591" s="523">
        <v>0</v>
      </c>
      <c r="W591" s="168">
        <f t="shared" si="9"/>
        <v>0</v>
      </c>
    </row>
    <row r="592" spans="1:23">
      <c r="A592" s="168" t="s">
        <v>699</v>
      </c>
      <c r="B592" s="455"/>
      <c r="C592" s="455" t="s">
        <v>568</v>
      </c>
      <c r="D592" s="168" t="s">
        <v>1574</v>
      </c>
      <c r="E592" s="150">
        <v>0</v>
      </c>
      <c r="F592" s="456">
        <v>0</v>
      </c>
      <c r="G592" s="168">
        <v>0</v>
      </c>
      <c r="H592" s="168">
        <v>0</v>
      </c>
      <c r="N592" s="168" t="s">
        <v>699</v>
      </c>
      <c r="O592" s="455"/>
      <c r="P592" s="455" t="s">
        <v>568</v>
      </c>
      <c r="Q592" s="455"/>
      <c r="R592" s="455"/>
      <c r="S592" s="168">
        <v>0</v>
      </c>
      <c r="T592" s="523">
        <v>0</v>
      </c>
      <c r="W592" s="168">
        <f t="shared" si="9"/>
        <v>0</v>
      </c>
    </row>
    <row r="593" spans="1:23" ht="15.75" thickBot="1">
      <c r="A593" s="168" t="s">
        <v>2055</v>
      </c>
      <c r="B593" s="455"/>
      <c r="C593" s="455" t="s">
        <v>568</v>
      </c>
      <c r="D593" s="168" t="s">
        <v>1574</v>
      </c>
      <c r="E593" s="150">
        <v>0</v>
      </c>
      <c r="F593" s="456">
        <v>0</v>
      </c>
      <c r="G593" s="168">
        <v>0</v>
      </c>
      <c r="H593" s="168">
        <v>0</v>
      </c>
      <c r="N593" s="168" t="s">
        <v>2055</v>
      </c>
      <c r="O593" s="455"/>
      <c r="P593" s="455" t="s">
        <v>568</v>
      </c>
      <c r="Q593" s="455"/>
      <c r="R593" s="455"/>
      <c r="S593" s="168">
        <v>0</v>
      </c>
      <c r="T593" s="523">
        <v>0</v>
      </c>
      <c r="W593" s="168">
        <f t="shared" si="9"/>
        <v>0</v>
      </c>
    </row>
    <row r="594" spans="1:23" ht="16.5" thickTop="1" thickBot="1">
      <c r="A594" s="554" t="s">
        <v>2668</v>
      </c>
      <c r="B594" s="555"/>
      <c r="C594" s="555"/>
      <c r="D594" s="556"/>
      <c r="E594" s="560">
        <f>SUM(E589:E593)</f>
        <v>-4908</v>
      </c>
      <c r="F594" s="560">
        <f>SUM(F589:F593)</f>
        <v>-5784</v>
      </c>
      <c r="G594" s="560">
        <f>SUM(G589:G593)</f>
        <v>-4485112.26</v>
      </c>
      <c r="H594" s="560">
        <f>SUM(H589:H593)</f>
        <v>-5411950</v>
      </c>
      <c r="I594" s="168">
        <v>5411950</v>
      </c>
      <c r="N594" s="554" t="s">
        <v>2668</v>
      </c>
      <c r="O594" s="555"/>
      <c r="P594" s="555"/>
      <c r="Q594" s="555">
        <f>SUM(Q589:Q593)</f>
        <v>-26350</v>
      </c>
      <c r="R594" s="555">
        <f>SUM(R589:R593)</f>
        <v>-5000</v>
      </c>
      <c r="S594" s="560">
        <f>SUM(S589:S593)</f>
        <v>-783000</v>
      </c>
      <c r="T594" s="558">
        <f>SUM(T589:T593)</f>
        <v>-5000</v>
      </c>
      <c r="U594" s="168">
        <f>SUM(S594)</f>
        <v>-783000</v>
      </c>
      <c r="V594" s="168">
        <f>SUM(T594)</f>
        <v>-5000</v>
      </c>
      <c r="W594" s="168">
        <f t="shared" si="9"/>
        <v>-778000</v>
      </c>
    </row>
    <row r="595" spans="1:23" ht="15.75" thickTop="1">
      <c r="B595" s="455"/>
      <c r="E595" s="150"/>
      <c r="O595" s="455"/>
      <c r="P595" s="455"/>
      <c r="Q595" s="455"/>
      <c r="R595" s="455"/>
      <c r="T595" s="523"/>
      <c r="W595" s="168">
        <f t="shared" si="9"/>
        <v>0</v>
      </c>
    </row>
    <row r="596" spans="1:23">
      <c r="A596" s="561" t="s">
        <v>3954</v>
      </c>
      <c r="B596" s="455"/>
      <c r="E596" s="150"/>
      <c r="O596" s="455"/>
      <c r="P596" s="455"/>
      <c r="Q596" s="455"/>
      <c r="R596" s="455"/>
      <c r="S596" s="168">
        <v>3884563.47</v>
      </c>
      <c r="T596" s="523"/>
      <c r="W596" s="168">
        <f t="shared" si="9"/>
        <v>3884563.47</v>
      </c>
    </row>
    <row r="597" spans="1:23">
      <c r="A597" s="168" t="s">
        <v>2056</v>
      </c>
      <c r="B597" s="455" t="s">
        <v>1552</v>
      </c>
      <c r="C597" s="455" t="s">
        <v>595</v>
      </c>
      <c r="D597" s="168" t="s">
        <v>1574</v>
      </c>
      <c r="E597" s="150">
        <v>100</v>
      </c>
      <c r="F597" s="456">
        <v>150</v>
      </c>
      <c r="G597" s="168">
        <v>232.85</v>
      </c>
      <c r="H597" s="168">
        <v>233</v>
      </c>
      <c r="N597" s="168" t="s">
        <v>2056</v>
      </c>
      <c r="O597" s="455" t="s">
        <v>1552</v>
      </c>
      <c r="P597" s="455" t="s">
        <v>595</v>
      </c>
      <c r="Q597" s="455">
        <v>100</v>
      </c>
      <c r="R597" s="455">
        <v>0</v>
      </c>
      <c r="S597" s="168">
        <v>318.64999999999998</v>
      </c>
      <c r="T597" s="523">
        <v>318</v>
      </c>
      <c r="W597" s="168">
        <f t="shared" si="9"/>
        <v>0.64999999999997726</v>
      </c>
    </row>
    <row r="598" spans="1:23">
      <c r="A598" s="168" t="s">
        <v>2057</v>
      </c>
      <c r="B598" s="455" t="s">
        <v>1552</v>
      </c>
      <c r="C598" s="455" t="s">
        <v>545</v>
      </c>
      <c r="D598" s="168" t="s">
        <v>1574</v>
      </c>
      <c r="E598" s="150">
        <v>205607.35</v>
      </c>
      <c r="F598" s="456">
        <v>207500</v>
      </c>
      <c r="G598" s="168">
        <v>148461.35</v>
      </c>
      <c r="H598" s="168">
        <v>148461</v>
      </c>
      <c r="N598" s="168" t="s">
        <v>2057</v>
      </c>
      <c r="O598" s="455" t="s">
        <v>1552</v>
      </c>
      <c r="P598" s="455" t="s">
        <v>545</v>
      </c>
      <c r="Q598" s="455">
        <v>205607</v>
      </c>
      <c r="R598" s="455"/>
      <c r="S598" s="168">
        <v>178513.09</v>
      </c>
      <c r="T598" s="523">
        <v>190120</v>
      </c>
      <c r="W598" s="168">
        <f t="shared" si="9"/>
        <v>-11606.910000000003</v>
      </c>
    </row>
    <row r="599" spans="1:23">
      <c r="A599" s="168" t="s">
        <v>2058</v>
      </c>
      <c r="B599" s="455" t="s">
        <v>2469</v>
      </c>
      <c r="C599" s="455" t="s">
        <v>2315</v>
      </c>
      <c r="D599" s="168" t="s">
        <v>1574</v>
      </c>
      <c r="E599" s="150">
        <v>430304.54</v>
      </c>
      <c r="F599" s="456">
        <v>431590</v>
      </c>
      <c r="G599" s="168">
        <v>752422.18</v>
      </c>
      <c r="H599" s="168">
        <v>752422</v>
      </c>
      <c r="N599" s="168" t="s">
        <v>2058</v>
      </c>
      <c r="O599" s="455" t="s">
        <v>2469</v>
      </c>
      <c r="P599" s="455" t="s">
        <v>2315</v>
      </c>
      <c r="Q599" s="455">
        <v>1155026</v>
      </c>
      <c r="R599" s="455">
        <v>1155026</v>
      </c>
      <c r="S599" s="168">
        <v>1593158.2</v>
      </c>
      <c r="T599" s="523">
        <v>1593158</v>
      </c>
      <c r="W599" s="168">
        <f t="shared" si="9"/>
        <v>0.19999999995343387</v>
      </c>
    </row>
    <row r="600" spans="1:23" s="147" customFormat="1">
      <c r="A600" s="147" t="s">
        <v>2059</v>
      </c>
      <c r="B600" s="148" t="s">
        <v>2469</v>
      </c>
      <c r="C600" s="148" t="s">
        <v>2333</v>
      </c>
      <c r="D600" s="147" t="s">
        <v>1574</v>
      </c>
      <c r="E600" s="151">
        <v>0</v>
      </c>
      <c r="F600" s="149">
        <v>154000</v>
      </c>
      <c r="G600" s="168">
        <v>0</v>
      </c>
      <c r="H600" s="168">
        <v>0</v>
      </c>
      <c r="N600" s="147" t="s">
        <v>2059</v>
      </c>
      <c r="O600" s="148" t="s">
        <v>2469</v>
      </c>
      <c r="P600" s="148" t="s">
        <v>2333</v>
      </c>
      <c r="Q600" s="148"/>
      <c r="R600" s="148"/>
      <c r="S600" s="168">
        <v>0</v>
      </c>
      <c r="T600" s="523">
        <v>0</v>
      </c>
      <c r="W600" s="168">
        <f t="shared" si="9"/>
        <v>0</v>
      </c>
    </row>
    <row r="601" spans="1:23">
      <c r="A601" s="168" t="s">
        <v>295</v>
      </c>
      <c r="B601" s="455" t="s">
        <v>1553</v>
      </c>
      <c r="C601" s="455" t="s">
        <v>595</v>
      </c>
      <c r="D601" s="168" t="s">
        <v>1574</v>
      </c>
      <c r="E601" s="150">
        <v>0</v>
      </c>
      <c r="F601" s="456">
        <v>0</v>
      </c>
      <c r="G601" s="168">
        <v>0</v>
      </c>
      <c r="H601" s="168">
        <v>0</v>
      </c>
      <c r="N601" s="168" t="s">
        <v>295</v>
      </c>
      <c r="O601" s="455" t="s">
        <v>1553</v>
      </c>
      <c r="P601" s="455" t="s">
        <v>595</v>
      </c>
      <c r="Q601" s="455"/>
      <c r="R601" s="455">
        <v>100</v>
      </c>
      <c r="S601" s="168">
        <v>0</v>
      </c>
      <c r="T601" s="523">
        <v>0</v>
      </c>
      <c r="W601" s="168">
        <f t="shared" si="9"/>
        <v>0</v>
      </c>
    </row>
    <row r="602" spans="1:23">
      <c r="A602" s="168" t="s">
        <v>296</v>
      </c>
      <c r="B602" s="455" t="s">
        <v>1553</v>
      </c>
      <c r="C602" s="455" t="s">
        <v>545</v>
      </c>
      <c r="D602" s="168" t="s">
        <v>1574</v>
      </c>
      <c r="E602" s="150">
        <v>0</v>
      </c>
      <c r="F602" s="456">
        <v>0</v>
      </c>
      <c r="G602" s="168">
        <v>0</v>
      </c>
      <c r="H602" s="168">
        <v>0</v>
      </c>
      <c r="N602" s="168" t="s">
        <v>296</v>
      </c>
      <c r="O602" s="455" t="s">
        <v>1553</v>
      </c>
      <c r="P602" s="455" t="s">
        <v>545</v>
      </c>
      <c r="Q602" s="455"/>
      <c r="R602" s="455">
        <v>70000</v>
      </c>
      <c r="S602" s="168">
        <v>0</v>
      </c>
      <c r="T602" s="523">
        <v>0</v>
      </c>
      <c r="W602" s="168">
        <f t="shared" si="9"/>
        <v>0</v>
      </c>
    </row>
    <row r="603" spans="1:23">
      <c r="A603" s="168" t="s">
        <v>297</v>
      </c>
      <c r="B603" s="455" t="s">
        <v>1553</v>
      </c>
      <c r="C603" s="455" t="s">
        <v>616</v>
      </c>
      <c r="D603" s="168" t="s">
        <v>1574</v>
      </c>
      <c r="E603" s="150">
        <v>34222.74</v>
      </c>
      <c r="F603" s="456">
        <v>35000</v>
      </c>
      <c r="G603" s="168">
        <v>72803.58</v>
      </c>
      <c r="H603" s="168">
        <v>72803</v>
      </c>
      <c r="N603" s="168" t="s">
        <v>297</v>
      </c>
      <c r="O603" s="455" t="s">
        <v>1553</v>
      </c>
      <c r="P603" s="455" t="s">
        <v>616</v>
      </c>
      <c r="Q603" s="455">
        <v>20144</v>
      </c>
      <c r="R603" s="455">
        <v>40000</v>
      </c>
      <c r="S603" s="168">
        <v>70525.34</v>
      </c>
      <c r="T603" s="523">
        <v>70525</v>
      </c>
      <c r="W603" s="168">
        <f t="shared" si="9"/>
        <v>0.33999999999650754</v>
      </c>
    </row>
    <row r="604" spans="1:23">
      <c r="A604" s="168" t="s">
        <v>298</v>
      </c>
      <c r="B604" s="455" t="s">
        <v>1553</v>
      </c>
      <c r="C604" s="455" t="s">
        <v>2322</v>
      </c>
      <c r="D604" s="168" t="s">
        <v>1574</v>
      </c>
      <c r="E604" s="150">
        <v>49998.3</v>
      </c>
      <c r="F604" s="456">
        <v>50098</v>
      </c>
      <c r="G604" s="168">
        <v>0</v>
      </c>
      <c r="H604" s="168">
        <v>0</v>
      </c>
      <c r="N604" s="168" t="s">
        <v>298</v>
      </c>
      <c r="O604" s="455" t="s">
        <v>1553</v>
      </c>
      <c r="P604" s="455" t="s">
        <v>2322</v>
      </c>
      <c r="Q604" s="455"/>
      <c r="R604" s="455"/>
      <c r="S604" s="168">
        <v>0</v>
      </c>
      <c r="T604" s="523">
        <v>0</v>
      </c>
      <c r="W604" s="168">
        <f t="shared" si="9"/>
        <v>0</v>
      </c>
    </row>
    <row r="605" spans="1:23">
      <c r="A605" s="168" t="s">
        <v>299</v>
      </c>
      <c r="B605" s="455" t="s">
        <v>1553</v>
      </c>
      <c r="C605" s="455" t="s">
        <v>59</v>
      </c>
      <c r="D605" s="168" t="s">
        <v>1574</v>
      </c>
      <c r="E605" s="150">
        <v>0</v>
      </c>
      <c r="F605" s="456">
        <v>2456000</v>
      </c>
      <c r="G605" s="168">
        <v>0</v>
      </c>
      <c r="H605" s="168">
        <v>2315197</v>
      </c>
      <c r="N605" s="168" t="s">
        <v>299</v>
      </c>
      <c r="O605" s="455" t="s">
        <v>1553</v>
      </c>
      <c r="P605" s="455" t="s">
        <v>59</v>
      </c>
      <c r="Q605" s="455"/>
      <c r="R605" s="455"/>
      <c r="S605" s="168">
        <v>0</v>
      </c>
      <c r="T605" s="523">
        <v>0</v>
      </c>
      <c r="W605" s="168">
        <f t="shared" si="9"/>
        <v>0</v>
      </c>
    </row>
    <row r="606" spans="1:23">
      <c r="A606" s="168" t="s">
        <v>2733</v>
      </c>
      <c r="B606" s="455"/>
      <c r="E606" s="150"/>
      <c r="H606" s="168">
        <v>8100000</v>
      </c>
      <c r="N606" s="168" t="s">
        <v>2733</v>
      </c>
      <c r="O606" s="455"/>
      <c r="P606" s="455"/>
      <c r="Q606" s="455"/>
      <c r="R606" s="455"/>
      <c r="T606" s="523">
        <v>0</v>
      </c>
      <c r="W606" s="168">
        <f t="shared" si="9"/>
        <v>0</v>
      </c>
    </row>
    <row r="607" spans="1:23">
      <c r="A607" s="168" t="s">
        <v>300</v>
      </c>
      <c r="B607" s="455" t="s">
        <v>1553</v>
      </c>
      <c r="C607" s="455" t="s">
        <v>273</v>
      </c>
      <c r="D607" s="168" t="s">
        <v>1574</v>
      </c>
      <c r="E607" s="150">
        <v>0</v>
      </c>
      <c r="F607" s="456">
        <v>0</v>
      </c>
      <c r="G607" s="168">
        <v>0</v>
      </c>
      <c r="H607" s="168">
        <v>3090039</v>
      </c>
      <c r="N607" s="168" t="s">
        <v>300</v>
      </c>
      <c r="O607" s="455" t="s">
        <v>1553</v>
      </c>
      <c r="P607" s="455" t="s">
        <v>273</v>
      </c>
      <c r="Q607" s="455"/>
      <c r="R607" s="455"/>
      <c r="S607" s="168">
        <v>0</v>
      </c>
      <c r="T607" s="523">
        <v>0</v>
      </c>
      <c r="W607" s="168">
        <f t="shared" si="9"/>
        <v>0</v>
      </c>
    </row>
    <row r="608" spans="1:23">
      <c r="A608" s="168" t="s">
        <v>301</v>
      </c>
      <c r="B608" s="455" t="s">
        <v>1553</v>
      </c>
      <c r="C608" s="455" t="s">
        <v>302</v>
      </c>
      <c r="D608" s="168" t="s">
        <v>1574</v>
      </c>
      <c r="E608" s="150">
        <v>0</v>
      </c>
      <c r="F608" s="456">
        <v>0</v>
      </c>
      <c r="G608" s="168">
        <v>0</v>
      </c>
      <c r="H608" s="168">
        <v>0</v>
      </c>
      <c r="N608" s="168" t="s">
        <v>301</v>
      </c>
      <c r="O608" s="455" t="s">
        <v>1553</v>
      </c>
      <c r="P608" s="455" t="s">
        <v>302</v>
      </c>
      <c r="Q608" s="455"/>
      <c r="R608" s="455"/>
      <c r="S608" s="168">
        <v>0</v>
      </c>
      <c r="T608" s="523">
        <v>0</v>
      </c>
      <c r="W608" s="168">
        <f t="shared" si="9"/>
        <v>0</v>
      </c>
    </row>
    <row r="609" spans="1:23">
      <c r="A609" s="168" t="s">
        <v>303</v>
      </c>
      <c r="B609" s="455" t="s">
        <v>1553</v>
      </c>
      <c r="C609" s="455" t="s">
        <v>304</v>
      </c>
      <c r="D609" s="168" t="s">
        <v>1574</v>
      </c>
      <c r="E609" s="150">
        <v>0</v>
      </c>
      <c r="F609" s="456">
        <v>0</v>
      </c>
      <c r="G609" s="168">
        <v>0</v>
      </c>
      <c r="H609" s="168">
        <v>0</v>
      </c>
      <c r="N609" s="168" t="s">
        <v>303</v>
      </c>
      <c r="O609" s="455" t="s">
        <v>1553</v>
      </c>
      <c r="P609" s="455" t="s">
        <v>304</v>
      </c>
      <c r="Q609" s="455"/>
      <c r="R609" s="455"/>
      <c r="S609" s="168">
        <v>0</v>
      </c>
      <c r="T609" s="523">
        <v>0</v>
      </c>
      <c r="W609" s="168">
        <f t="shared" si="9"/>
        <v>0</v>
      </c>
    </row>
    <row r="610" spans="1:23">
      <c r="A610" s="168" t="s">
        <v>305</v>
      </c>
      <c r="B610" s="455" t="s">
        <v>1553</v>
      </c>
      <c r="C610" s="455" t="s">
        <v>2329</v>
      </c>
      <c r="D610" s="168" t="s">
        <v>1574</v>
      </c>
      <c r="E610" s="150">
        <v>0</v>
      </c>
      <c r="F610" s="456">
        <v>0</v>
      </c>
      <c r="G610" s="168">
        <v>0</v>
      </c>
      <c r="H610" s="168">
        <v>0</v>
      </c>
      <c r="N610" s="168" t="s">
        <v>305</v>
      </c>
      <c r="O610" s="455" t="s">
        <v>1553</v>
      </c>
      <c r="P610" s="455" t="s">
        <v>2329</v>
      </c>
      <c r="Q610" s="455"/>
      <c r="R610" s="455"/>
      <c r="S610" s="168">
        <v>0</v>
      </c>
      <c r="T610" s="523">
        <v>0</v>
      </c>
      <c r="W610" s="168">
        <f t="shared" si="9"/>
        <v>0</v>
      </c>
    </row>
    <row r="611" spans="1:23">
      <c r="A611" s="168" t="s">
        <v>306</v>
      </c>
      <c r="B611" s="455" t="s">
        <v>1553</v>
      </c>
      <c r="C611" s="455" t="s">
        <v>307</v>
      </c>
      <c r="D611" s="168" t="s">
        <v>1574</v>
      </c>
      <c r="E611" s="150">
        <v>0</v>
      </c>
      <c r="F611" s="456">
        <v>0</v>
      </c>
      <c r="G611" s="168">
        <v>0</v>
      </c>
      <c r="H611" s="168">
        <v>0</v>
      </c>
      <c r="N611" s="168" t="s">
        <v>306</v>
      </c>
      <c r="O611" s="455" t="s">
        <v>1553</v>
      </c>
      <c r="P611" s="455" t="s">
        <v>307</v>
      </c>
      <c r="Q611" s="455"/>
      <c r="R611" s="455"/>
      <c r="S611" s="168">
        <v>0</v>
      </c>
      <c r="T611" s="523">
        <v>0</v>
      </c>
      <c r="W611" s="168">
        <f t="shared" si="9"/>
        <v>0</v>
      </c>
    </row>
    <row r="612" spans="1:23">
      <c r="A612" s="168" t="s">
        <v>308</v>
      </c>
      <c r="B612" s="455" t="s">
        <v>1553</v>
      </c>
      <c r="C612" s="455" t="s">
        <v>309</v>
      </c>
      <c r="D612" s="168" t="s">
        <v>1574</v>
      </c>
      <c r="E612" s="150">
        <v>0</v>
      </c>
      <c r="F612" s="456">
        <v>0</v>
      </c>
      <c r="G612" s="168">
        <v>0</v>
      </c>
      <c r="H612" s="168">
        <v>0</v>
      </c>
      <c r="N612" s="168" t="s">
        <v>308</v>
      </c>
      <c r="O612" s="455" t="s">
        <v>1553</v>
      </c>
      <c r="P612" s="455" t="s">
        <v>309</v>
      </c>
      <c r="Q612" s="455"/>
      <c r="R612" s="455"/>
      <c r="S612" s="168">
        <v>0</v>
      </c>
      <c r="T612" s="523">
        <v>0</v>
      </c>
      <c r="W612" s="168">
        <f t="shared" si="9"/>
        <v>0</v>
      </c>
    </row>
    <row r="613" spans="1:23">
      <c r="A613" s="168" t="s">
        <v>310</v>
      </c>
      <c r="B613" s="455" t="s">
        <v>1553</v>
      </c>
      <c r="C613" s="455" t="s">
        <v>311</v>
      </c>
      <c r="D613" s="168" t="s">
        <v>1574</v>
      </c>
      <c r="E613" s="150">
        <v>0</v>
      </c>
      <c r="F613" s="456">
        <v>0</v>
      </c>
      <c r="G613" s="168">
        <v>0</v>
      </c>
      <c r="H613" s="168">
        <v>0</v>
      </c>
      <c r="N613" s="168" t="s">
        <v>310</v>
      </c>
      <c r="O613" s="455" t="s">
        <v>1553</v>
      </c>
      <c r="P613" s="455" t="s">
        <v>311</v>
      </c>
      <c r="Q613" s="455"/>
      <c r="R613" s="455"/>
      <c r="S613" s="168">
        <v>0</v>
      </c>
      <c r="T613" s="523">
        <v>0</v>
      </c>
      <c r="W613" s="168">
        <f t="shared" si="9"/>
        <v>0</v>
      </c>
    </row>
    <row r="614" spans="1:23">
      <c r="A614" s="168" t="s">
        <v>312</v>
      </c>
      <c r="B614" s="455" t="s">
        <v>1553</v>
      </c>
      <c r="C614" s="455" t="s">
        <v>313</v>
      </c>
      <c r="D614" s="168" t="s">
        <v>1574</v>
      </c>
      <c r="E614" s="150">
        <v>0</v>
      </c>
      <c r="F614" s="456">
        <v>0</v>
      </c>
      <c r="G614" s="168">
        <v>0</v>
      </c>
      <c r="H614" s="168">
        <v>0</v>
      </c>
      <c r="N614" s="168" t="s">
        <v>312</v>
      </c>
      <c r="O614" s="455" t="s">
        <v>1553</v>
      </c>
      <c r="P614" s="455" t="s">
        <v>313</v>
      </c>
      <c r="Q614" s="455"/>
      <c r="R614" s="455"/>
      <c r="S614" s="168">
        <v>0</v>
      </c>
      <c r="T614" s="523">
        <v>0</v>
      </c>
      <c r="W614" s="168">
        <f t="shared" si="9"/>
        <v>0</v>
      </c>
    </row>
    <row r="615" spans="1:23">
      <c r="A615" s="168" t="s">
        <v>314</v>
      </c>
      <c r="B615" s="455" t="s">
        <v>1553</v>
      </c>
      <c r="C615" s="455" t="s">
        <v>315</v>
      </c>
      <c r="D615" s="168" t="s">
        <v>1574</v>
      </c>
      <c r="E615" s="150">
        <v>0</v>
      </c>
      <c r="F615" s="456">
        <v>0</v>
      </c>
      <c r="G615" s="168">
        <v>0</v>
      </c>
      <c r="H615" s="168">
        <v>0</v>
      </c>
      <c r="N615" s="168" t="s">
        <v>314</v>
      </c>
      <c r="O615" s="455" t="s">
        <v>1553</v>
      </c>
      <c r="P615" s="455" t="s">
        <v>315</v>
      </c>
      <c r="Q615" s="455"/>
      <c r="R615" s="455"/>
      <c r="S615" s="168">
        <v>0</v>
      </c>
      <c r="T615" s="523">
        <v>0</v>
      </c>
      <c r="W615" s="168">
        <f t="shared" si="9"/>
        <v>0</v>
      </c>
    </row>
    <row r="616" spans="1:23">
      <c r="A616" s="168" t="s">
        <v>316</v>
      </c>
      <c r="B616" s="455" t="s">
        <v>431</v>
      </c>
      <c r="C616" s="455" t="s">
        <v>59</v>
      </c>
      <c r="D616" s="168" t="s">
        <v>1574</v>
      </c>
      <c r="E616" s="150">
        <v>-0.4</v>
      </c>
      <c r="F616" s="456">
        <v>-1856000</v>
      </c>
      <c r="G616" s="168">
        <v>0</v>
      </c>
      <c r="H616" s="168">
        <v>-588666</v>
      </c>
      <c r="N616" s="168" t="s">
        <v>316</v>
      </c>
      <c r="O616" s="455" t="s">
        <v>431</v>
      </c>
      <c r="P616" s="455" t="s">
        <v>59</v>
      </c>
      <c r="Q616" s="455"/>
      <c r="R616" s="455"/>
      <c r="S616" s="168">
        <v>0</v>
      </c>
      <c r="T616" s="523">
        <v>0</v>
      </c>
      <c r="W616" s="168">
        <f t="shared" si="9"/>
        <v>0</v>
      </c>
    </row>
    <row r="617" spans="1:23">
      <c r="A617" s="168" t="s">
        <v>2734</v>
      </c>
      <c r="B617" s="455"/>
      <c r="E617" s="150"/>
      <c r="H617" s="168">
        <v>-8100000</v>
      </c>
      <c r="N617" s="168" t="s">
        <v>2734</v>
      </c>
      <c r="O617" s="455"/>
      <c r="P617" s="455"/>
      <c r="Q617" s="455"/>
      <c r="R617" s="455"/>
      <c r="S617" s="168">
        <v>0</v>
      </c>
      <c r="T617" s="523">
        <v>0</v>
      </c>
      <c r="W617" s="168">
        <f t="shared" si="9"/>
        <v>0</v>
      </c>
    </row>
    <row r="618" spans="1:23" ht="15.75" thickBot="1">
      <c r="A618" s="168" t="s">
        <v>317</v>
      </c>
      <c r="B618" s="455" t="s">
        <v>1553</v>
      </c>
      <c r="C618" s="455" t="s">
        <v>597</v>
      </c>
      <c r="D618" s="168" t="s">
        <v>1574</v>
      </c>
      <c r="E618" s="150">
        <v>0</v>
      </c>
      <c r="F618" s="456">
        <v>0</v>
      </c>
      <c r="G618" s="168">
        <v>0</v>
      </c>
      <c r="H618" s="168">
        <v>0</v>
      </c>
      <c r="N618" s="168" t="s">
        <v>317</v>
      </c>
      <c r="O618" s="455" t="s">
        <v>1553</v>
      </c>
      <c r="P618" s="455" t="s">
        <v>597</v>
      </c>
      <c r="Q618" s="455"/>
      <c r="R618" s="455"/>
      <c r="S618" s="168">
        <v>0</v>
      </c>
      <c r="T618" s="523">
        <v>0</v>
      </c>
      <c r="W618" s="168">
        <f t="shared" si="9"/>
        <v>0</v>
      </c>
    </row>
    <row r="619" spans="1:23" ht="16.5" thickTop="1" thickBot="1">
      <c r="A619" s="554" t="s">
        <v>2668</v>
      </c>
      <c r="B619" s="555"/>
      <c r="C619" s="555"/>
      <c r="D619" s="556"/>
      <c r="E619" s="560">
        <f>SUM(E597:E618)</f>
        <v>720232.53</v>
      </c>
      <c r="F619" s="560">
        <f>SUM(F597:F618)</f>
        <v>1478338</v>
      </c>
      <c r="G619" s="560">
        <f>SUM(G597:G618)</f>
        <v>973919.96000000008</v>
      </c>
      <c r="H619" s="560">
        <f>SUM(H597:H618)</f>
        <v>5790489</v>
      </c>
      <c r="N619" s="554" t="s">
        <v>2668</v>
      </c>
      <c r="O619" s="555"/>
      <c r="P619" s="555"/>
      <c r="Q619" s="555">
        <f>SUM(Q597:Q618)</f>
        <v>1380877</v>
      </c>
      <c r="R619" s="555">
        <f>SUM(R597:R618)</f>
        <v>1265126</v>
      </c>
      <c r="S619" s="560">
        <f>SUM(S596:S618)</f>
        <v>5727078.75</v>
      </c>
      <c r="T619" s="558">
        <f>SUM(T597:T618)</f>
        <v>1854121</v>
      </c>
      <c r="U619" s="168">
        <f>SUM(S619)</f>
        <v>5727078.75</v>
      </c>
      <c r="V619" s="168">
        <f>SUM(T619)</f>
        <v>1854121</v>
      </c>
      <c r="W619" s="168">
        <f t="shared" si="9"/>
        <v>3872957.75</v>
      </c>
    </row>
    <row r="620" spans="1:23" ht="15.75" thickTop="1">
      <c r="B620" s="455"/>
      <c r="E620" s="150"/>
      <c r="O620" s="455"/>
      <c r="P620" s="455"/>
      <c r="Q620" s="455"/>
      <c r="R620" s="455"/>
      <c r="T620" s="523"/>
      <c r="U620" s="168">
        <f>SUM(U594:U619)</f>
        <v>4944078.75</v>
      </c>
      <c r="V620" s="603">
        <f>SUM(V594:V619)</f>
        <v>1849121</v>
      </c>
      <c r="W620" s="168">
        <f t="shared" si="9"/>
        <v>0</v>
      </c>
    </row>
    <row r="621" spans="1:23">
      <c r="A621" s="168" t="s">
        <v>318</v>
      </c>
      <c r="B621" s="455" t="s">
        <v>1244</v>
      </c>
      <c r="C621" s="455" t="s">
        <v>1368</v>
      </c>
      <c r="D621" s="168" t="s">
        <v>1244</v>
      </c>
      <c r="E621" s="150">
        <v>-13128046.369999999</v>
      </c>
      <c r="F621" s="456">
        <v>-19448368</v>
      </c>
      <c r="G621" s="168">
        <v>-17210149.690000001</v>
      </c>
      <c r="H621" s="168">
        <v>-17635949</v>
      </c>
      <c r="N621" s="168" t="s">
        <v>318</v>
      </c>
      <c r="O621" s="455" t="s">
        <v>1244</v>
      </c>
      <c r="P621" s="455" t="s">
        <v>1368</v>
      </c>
      <c r="Q621" s="455">
        <v>-17591582</v>
      </c>
      <c r="R621" s="455">
        <v>-17591582</v>
      </c>
      <c r="S621" s="168">
        <v>-26885636.309999999</v>
      </c>
      <c r="T621" s="523">
        <v>-17591582</v>
      </c>
      <c r="W621" s="168">
        <f t="shared" si="9"/>
        <v>-9294054.3099999987</v>
      </c>
    </row>
    <row r="622" spans="1:23">
      <c r="A622" s="168" t="s">
        <v>319</v>
      </c>
      <c r="B622" s="455" t="s">
        <v>1244</v>
      </c>
      <c r="C622" s="455" t="s">
        <v>1368</v>
      </c>
      <c r="D622" s="168" t="s">
        <v>1244</v>
      </c>
      <c r="E622" s="150">
        <v>-190170.4</v>
      </c>
      <c r="F622" s="456">
        <v>-232290</v>
      </c>
      <c r="G622" s="168">
        <v>-233465.08</v>
      </c>
      <c r="H622" s="168">
        <v>-404974</v>
      </c>
      <c r="N622" s="168" t="s">
        <v>319</v>
      </c>
      <c r="O622" s="455" t="s">
        <v>1244</v>
      </c>
      <c r="P622" s="455" t="s">
        <v>1368</v>
      </c>
      <c r="Q622" s="455">
        <v>-254828</v>
      </c>
      <c r="R622" s="455">
        <v>-254828</v>
      </c>
      <c r="S622" s="168">
        <v>-248321.23</v>
      </c>
      <c r="T622" s="523">
        <v>-254828</v>
      </c>
      <c r="W622" s="168">
        <f t="shared" si="9"/>
        <v>6506.7699999999895</v>
      </c>
    </row>
    <row r="623" spans="1:23">
      <c r="A623" s="168" t="s">
        <v>320</v>
      </c>
      <c r="B623" s="455" t="s">
        <v>1244</v>
      </c>
      <c r="C623" s="455" t="s">
        <v>1368</v>
      </c>
      <c r="D623" s="168" t="s">
        <v>1244</v>
      </c>
      <c r="E623" s="150">
        <v>-66984.02</v>
      </c>
      <c r="F623" s="456">
        <v>-22136</v>
      </c>
      <c r="G623" s="168">
        <v>-156134.59</v>
      </c>
      <c r="H623" s="168">
        <v>-52748</v>
      </c>
      <c r="N623" s="168" t="s">
        <v>320</v>
      </c>
      <c r="O623" s="455" t="s">
        <v>1244</v>
      </c>
      <c r="P623" s="455" t="s">
        <v>1368</v>
      </c>
      <c r="Q623" s="455">
        <v>-89759</v>
      </c>
      <c r="R623" s="455">
        <v>-89759</v>
      </c>
      <c r="S623" s="168">
        <v>-175884.61</v>
      </c>
      <c r="T623" s="523">
        <v>-89759</v>
      </c>
      <c r="W623" s="168">
        <f t="shared" si="9"/>
        <v>-86125.609999999986</v>
      </c>
    </row>
    <row r="624" spans="1:23">
      <c r="A624" s="168" t="s">
        <v>321</v>
      </c>
      <c r="B624" s="455" t="s">
        <v>1244</v>
      </c>
      <c r="C624" s="455" t="s">
        <v>1368</v>
      </c>
      <c r="D624" s="168" t="s">
        <v>1244</v>
      </c>
      <c r="E624" s="150">
        <v>-7372369.5599999996</v>
      </c>
      <c r="F624" s="456">
        <v>-2476928</v>
      </c>
      <c r="G624" s="168">
        <f>-10426465.6-295466.29+169681.86</f>
        <v>-10552250.029999999</v>
      </c>
      <c r="H624" s="168">
        <v>-11015662</v>
      </c>
      <c r="N624" s="168" t="s">
        <v>321</v>
      </c>
      <c r="O624" s="455" t="s">
        <v>1244</v>
      </c>
      <c r="P624" s="455" t="s">
        <v>1368</v>
      </c>
      <c r="Q624" s="455">
        <v>-9878975</v>
      </c>
      <c r="R624" s="455">
        <v>-9878975</v>
      </c>
      <c r="S624" s="168">
        <v>-10749142.550000001</v>
      </c>
      <c r="T624" s="523">
        <v>-9878975</v>
      </c>
      <c r="W624" s="168">
        <f t="shared" si="9"/>
        <v>-870167.55000000075</v>
      </c>
    </row>
    <row r="625" spans="1:23">
      <c r="A625" s="168" t="s">
        <v>2714</v>
      </c>
      <c r="B625" s="455" t="s">
        <v>1244</v>
      </c>
      <c r="C625" s="455" t="s">
        <v>1368</v>
      </c>
      <c r="D625" s="168" t="s">
        <v>3548</v>
      </c>
      <c r="E625" s="150"/>
      <c r="G625" s="168">
        <v>-682535</v>
      </c>
      <c r="H625" s="168">
        <v>-682535</v>
      </c>
      <c r="N625" s="168" t="s">
        <v>2714</v>
      </c>
      <c r="O625" s="455" t="s">
        <v>1244</v>
      </c>
      <c r="P625" s="168" t="s">
        <v>3548</v>
      </c>
      <c r="S625" s="168">
        <v>-1492029.19</v>
      </c>
      <c r="T625" s="523">
        <v>0</v>
      </c>
      <c r="W625" s="168">
        <f t="shared" si="9"/>
        <v>-1492029.19</v>
      </c>
    </row>
    <row r="626" spans="1:23">
      <c r="A626" s="168" t="s">
        <v>2715</v>
      </c>
      <c r="B626" s="455" t="s">
        <v>1244</v>
      </c>
      <c r="C626" s="455" t="s">
        <v>1368</v>
      </c>
      <c r="D626" s="168" t="s">
        <v>3548</v>
      </c>
      <c r="E626" s="150"/>
      <c r="G626" s="168">
        <v>-366175</v>
      </c>
      <c r="H626" s="168">
        <v>-366175</v>
      </c>
      <c r="N626" s="168" t="s">
        <v>2715</v>
      </c>
      <c r="O626" s="455" t="s">
        <v>1244</v>
      </c>
      <c r="P626" s="168" t="s">
        <v>3548</v>
      </c>
      <c r="S626" s="168">
        <v>-1433810.11</v>
      </c>
      <c r="T626" s="523">
        <v>0</v>
      </c>
      <c r="W626" s="168">
        <f t="shared" si="9"/>
        <v>-1433810.11</v>
      </c>
    </row>
    <row r="627" spans="1:23">
      <c r="A627" s="168" t="s">
        <v>3480</v>
      </c>
      <c r="B627" s="455" t="s">
        <v>1244</v>
      </c>
      <c r="C627" s="455" t="s">
        <v>1368</v>
      </c>
      <c r="D627" s="168" t="s">
        <v>1244</v>
      </c>
      <c r="E627" s="150"/>
      <c r="N627" s="168" t="s">
        <v>3480</v>
      </c>
      <c r="O627" s="455" t="s">
        <v>1244</v>
      </c>
      <c r="P627" s="455" t="s">
        <v>1368</v>
      </c>
      <c r="Q627" s="455"/>
      <c r="R627" s="455"/>
      <c r="S627" s="168">
        <v>-9917.69</v>
      </c>
      <c r="T627" s="523">
        <v>0</v>
      </c>
      <c r="W627" s="168">
        <f t="shared" si="9"/>
        <v>-9917.69</v>
      </c>
    </row>
    <row r="628" spans="1:23">
      <c r="A628" s="168" t="s">
        <v>3534</v>
      </c>
      <c r="B628" s="455" t="s">
        <v>1244</v>
      </c>
      <c r="D628" s="168" t="s">
        <v>3349</v>
      </c>
      <c r="E628" s="150"/>
      <c r="G628" s="168">
        <v>-231262.92</v>
      </c>
      <c r="O628" s="455" t="s">
        <v>1244</v>
      </c>
      <c r="P628" s="168" t="s">
        <v>3349</v>
      </c>
      <c r="S628" s="598">
        <f>-890199.43+695616.6-560259.49</f>
        <v>-754842.32000000007</v>
      </c>
      <c r="T628" s="523"/>
      <c r="W628" s="168">
        <f t="shared" si="9"/>
        <v>-754842.32000000007</v>
      </c>
    </row>
    <row r="629" spans="1:23">
      <c r="A629" s="168" t="s">
        <v>2713</v>
      </c>
      <c r="B629" s="455" t="s">
        <v>1244</v>
      </c>
      <c r="C629" s="455" t="s">
        <v>2167</v>
      </c>
      <c r="D629" s="168" t="s">
        <v>1244</v>
      </c>
      <c r="E629" s="150"/>
      <c r="G629" s="168">
        <v>-3020000</v>
      </c>
      <c r="H629" s="168">
        <v>-2720000</v>
      </c>
      <c r="N629" s="168" t="s">
        <v>2713</v>
      </c>
      <c r="O629" s="455" t="s">
        <v>1244</v>
      </c>
      <c r="P629" s="455" t="s">
        <v>3549</v>
      </c>
      <c r="Q629" s="455">
        <v>-943000</v>
      </c>
      <c r="R629" s="455">
        <v>-943000</v>
      </c>
      <c r="S629" s="168">
        <v>0</v>
      </c>
      <c r="T629" s="523">
        <v>-943000</v>
      </c>
      <c r="W629" s="168">
        <f t="shared" si="9"/>
        <v>943000</v>
      </c>
    </row>
    <row r="630" spans="1:23">
      <c r="B630" s="455"/>
      <c r="E630" s="150"/>
      <c r="O630" s="455"/>
      <c r="P630" s="455"/>
      <c r="Q630" s="455"/>
      <c r="R630" s="455"/>
      <c r="T630" s="523"/>
      <c r="W630" s="168">
        <f t="shared" si="9"/>
        <v>0</v>
      </c>
    </row>
    <row r="631" spans="1:23" ht="15.75" thickBot="1">
      <c r="B631" s="455"/>
      <c r="E631" s="150"/>
      <c r="O631" s="455"/>
      <c r="P631" s="455"/>
      <c r="Q631" s="455"/>
      <c r="R631" s="455"/>
      <c r="T631" s="523"/>
      <c r="W631" s="168">
        <f t="shared" si="9"/>
        <v>0</v>
      </c>
    </row>
    <row r="632" spans="1:23" ht="16.5" thickTop="1" thickBot="1">
      <c r="A632" s="554" t="s">
        <v>2668</v>
      </c>
      <c r="B632" s="555"/>
      <c r="C632" s="555"/>
      <c r="D632" s="556"/>
      <c r="E632" s="560">
        <f>SUM(E621:E631)</f>
        <v>-20757570.349999998</v>
      </c>
      <c r="F632" s="560">
        <f>SUM(F621:F631)</f>
        <v>-22179722</v>
      </c>
      <c r="G632" s="560">
        <f>SUM(G621:G631)</f>
        <v>-32451972.310000002</v>
      </c>
      <c r="H632" s="560">
        <f>SUM(H621:H631)</f>
        <v>-32878043</v>
      </c>
      <c r="I632" s="168">
        <v>32878043</v>
      </c>
      <c r="N632" s="554" t="s">
        <v>2668</v>
      </c>
      <c r="O632" s="555"/>
      <c r="P632" s="555"/>
      <c r="Q632" s="555">
        <f>SUM(Q621:Q631)</f>
        <v>-28758144</v>
      </c>
      <c r="R632" s="555">
        <f>SUM(R621:R631)</f>
        <v>-28758144</v>
      </c>
      <c r="S632" s="560">
        <f>SUM(S621:S631)</f>
        <v>-41749584.009999998</v>
      </c>
      <c r="T632" s="558">
        <f>SUM(T621:T631)</f>
        <v>-28758144</v>
      </c>
      <c r="U632" s="168">
        <f>SUM(S632)</f>
        <v>-41749584.009999998</v>
      </c>
      <c r="V632" s="168">
        <f>SUM(T632)</f>
        <v>-28758144</v>
      </c>
      <c r="W632" s="168">
        <f t="shared" si="9"/>
        <v>-12991440.009999998</v>
      </c>
    </row>
    <row r="633" spans="1:23" ht="15.75" thickTop="1">
      <c r="B633" s="455"/>
      <c r="E633" s="150"/>
      <c r="O633" s="455"/>
      <c r="P633" s="455"/>
      <c r="Q633" s="455"/>
      <c r="R633" s="455"/>
      <c r="T633" s="523"/>
      <c r="W633" s="168">
        <f t="shared" si="9"/>
        <v>0</v>
      </c>
    </row>
    <row r="634" spans="1:23">
      <c r="A634" s="168" t="s">
        <v>323</v>
      </c>
      <c r="B634" s="455" t="s">
        <v>1549</v>
      </c>
      <c r="C634" s="455" t="s">
        <v>75</v>
      </c>
      <c r="D634" s="168" t="s">
        <v>1244</v>
      </c>
      <c r="E634" s="150">
        <v>832516.2</v>
      </c>
      <c r="F634" s="456">
        <v>1475000</v>
      </c>
      <c r="G634" s="168">
        <v>1086333.26</v>
      </c>
      <c r="H634" s="168">
        <v>1088354</v>
      </c>
      <c r="N634" s="168" t="s">
        <v>323</v>
      </c>
      <c r="O634" s="455" t="s">
        <v>1549</v>
      </c>
      <c r="P634" s="455" t="s">
        <v>75</v>
      </c>
      <c r="Q634" s="455">
        <v>2212628</v>
      </c>
      <c r="R634" s="455">
        <v>2212628</v>
      </c>
      <c r="S634" s="168">
        <v>1540309.83</v>
      </c>
      <c r="T634" s="523">
        <v>1540309</v>
      </c>
      <c r="W634" s="168">
        <f t="shared" si="9"/>
        <v>0.83000000007450581</v>
      </c>
    </row>
    <row r="635" spans="1:23">
      <c r="A635" s="168" t="s">
        <v>324</v>
      </c>
      <c r="B635" s="455" t="s">
        <v>1549</v>
      </c>
      <c r="C635" s="455" t="s">
        <v>77</v>
      </c>
      <c r="D635" s="168" t="s">
        <v>1244</v>
      </c>
      <c r="E635" s="150">
        <v>507366.75</v>
      </c>
      <c r="F635" s="456">
        <v>508000</v>
      </c>
      <c r="G635" s="168">
        <v>689062.63</v>
      </c>
      <c r="H635" s="168">
        <v>689062</v>
      </c>
      <c r="N635" s="168" t="s">
        <v>324</v>
      </c>
      <c r="O635" s="455" t="s">
        <v>1549</v>
      </c>
      <c r="P635" s="455" t="s">
        <v>77</v>
      </c>
      <c r="Q635" s="455">
        <v>500000</v>
      </c>
      <c r="R635" s="455">
        <v>500000</v>
      </c>
      <c r="S635" s="168">
        <v>920140.68</v>
      </c>
      <c r="T635" s="523">
        <v>920140</v>
      </c>
      <c r="W635" s="168">
        <f t="shared" si="9"/>
        <v>0.68000000005122274</v>
      </c>
    </row>
    <row r="636" spans="1:23">
      <c r="A636" s="168" t="s">
        <v>325</v>
      </c>
      <c r="B636" s="455" t="s">
        <v>1549</v>
      </c>
      <c r="C636" s="455" t="s">
        <v>60</v>
      </c>
      <c r="D636" s="168" t="s">
        <v>1244</v>
      </c>
      <c r="E636" s="150">
        <v>124440.09</v>
      </c>
      <c r="F636" s="456">
        <v>125224</v>
      </c>
      <c r="G636" s="168">
        <v>87863.039999999994</v>
      </c>
      <c r="H636" s="168">
        <v>87864</v>
      </c>
      <c r="N636" s="168" t="s">
        <v>325</v>
      </c>
      <c r="O636" s="455" t="s">
        <v>1549</v>
      </c>
      <c r="P636" s="455" t="s">
        <v>60</v>
      </c>
      <c r="Q636" s="455">
        <v>184386</v>
      </c>
      <c r="R636" s="455">
        <v>184386</v>
      </c>
      <c r="S636" s="168">
        <v>129195.8</v>
      </c>
      <c r="T636" s="523">
        <v>129196</v>
      </c>
      <c r="W636" s="168">
        <f t="shared" si="9"/>
        <v>-0.19999999999708962</v>
      </c>
    </row>
    <row r="637" spans="1:23">
      <c r="A637" s="168" t="s">
        <v>326</v>
      </c>
      <c r="B637" s="455" t="s">
        <v>1549</v>
      </c>
      <c r="C637" s="455" t="s">
        <v>1395</v>
      </c>
      <c r="D637" s="168" t="s">
        <v>1244</v>
      </c>
      <c r="E637" s="150">
        <v>119358.56</v>
      </c>
      <c r="F637" s="456">
        <v>120000</v>
      </c>
      <c r="G637" s="168">
        <v>77347.89</v>
      </c>
      <c r="H637" s="168">
        <v>77348</v>
      </c>
      <c r="N637" s="168" t="s">
        <v>326</v>
      </c>
      <c r="O637" s="455" t="s">
        <v>1549</v>
      </c>
      <c r="P637" s="455" t="s">
        <v>1395</v>
      </c>
      <c r="Q637" s="455"/>
      <c r="R637" s="455"/>
      <c r="S637" s="168">
        <v>99251.39</v>
      </c>
      <c r="T637" s="523">
        <v>99252</v>
      </c>
      <c r="W637" s="168">
        <f t="shared" si="9"/>
        <v>-0.61000000000058208</v>
      </c>
    </row>
    <row r="638" spans="1:23">
      <c r="A638" s="168" t="s">
        <v>327</v>
      </c>
      <c r="B638" s="455" t="s">
        <v>1549</v>
      </c>
      <c r="C638" s="455" t="s">
        <v>515</v>
      </c>
      <c r="D638" s="168" t="s">
        <v>1244</v>
      </c>
      <c r="E638" s="150">
        <v>1439.92</v>
      </c>
      <c r="F638" s="456">
        <v>1500</v>
      </c>
      <c r="G638" s="168">
        <v>29970.65</v>
      </c>
      <c r="H638" s="168">
        <v>29971</v>
      </c>
      <c r="N638" s="168" t="s">
        <v>327</v>
      </c>
      <c r="O638" s="455" t="s">
        <v>1549</v>
      </c>
      <c r="P638" s="455" t="s">
        <v>515</v>
      </c>
      <c r="Q638" s="455">
        <v>419540</v>
      </c>
      <c r="R638" s="455">
        <v>419540</v>
      </c>
      <c r="S638" s="168">
        <v>0</v>
      </c>
      <c r="T638" s="523">
        <v>0</v>
      </c>
      <c r="W638" s="168">
        <f t="shared" si="9"/>
        <v>0</v>
      </c>
    </row>
    <row r="639" spans="1:23">
      <c r="A639" s="168" t="s">
        <v>328</v>
      </c>
      <c r="B639" s="455" t="s">
        <v>1549</v>
      </c>
      <c r="C639" s="455" t="s">
        <v>660</v>
      </c>
      <c r="D639" s="168" t="s">
        <v>1244</v>
      </c>
      <c r="E639" s="150">
        <v>0</v>
      </c>
      <c r="F639" s="456">
        <v>0</v>
      </c>
      <c r="G639" s="168">
        <v>0</v>
      </c>
      <c r="H639" s="168">
        <v>0</v>
      </c>
      <c r="N639" s="168" t="s">
        <v>328</v>
      </c>
      <c r="O639" s="455" t="s">
        <v>1549</v>
      </c>
      <c r="P639" s="455" t="s">
        <v>660</v>
      </c>
      <c r="Q639" s="455"/>
      <c r="R639" s="455"/>
      <c r="S639" s="168">
        <v>0</v>
      </c>
      <c r="T639" s="523">
        <v>0</v>
      </c>
      <c r="W639" s="168">
        <f t="shared" si="9"/>
        <v>0</v>
      </c>
    </row>
    <row r="640" spans="1:23">
      <c r="A640" s="168" t="s">
        <v>329</v>
      </c>
      <c r="B640" s="455" t="s">
        <v>1549</v>
      </c>
      <c r="C640" s="455" t="s">
        <v>767</v>
      </c>
      <c r="D640" s="168" t="s">
        <v>1244</v>
      </c>
      <c r="E640" s="150">
        <v>13908</v>
      </c>
      <c r="F640" s="456">
        <v>15000</v>
      </c>
      <c r="G640" s="168">
        <v>990.4</v>
      </c>
      <c r="H640" s="168">
        <v>991</v>
      </c>
      <c r="N640" s="168" t="s">
        <v>329</v>
      </c>
      <c r="O640" s="455" t="s">
        <v>1549</v>
      </c>
      <c r="P640" s="455" t="s">
        <v>767</v>
      </c>
      <c r="Q640" s="455">
        <v>46872</v>
      </c>
      <c r="R640" s="455">
        <v>46872</v>
      </c>
      <c r="S640" s="168">
        <v>2595</v>
      </c>
      <c r="T640" s="523">
        <v>2595</v>
      </c>
      <c r="W640" s="168">
        <f t="shared" si="9"/>
        <v>0</v>
      </c>
    </row>
    <row r="641" spans="1:23">
      <c r="A641" s="168" t="s">
        <v>2716</v>
      </c>
      <c r="B641" s="455"/>
      <c r="E641" s="150"/>
      <c r="G641" s="168">
        <v>12052.42</v>
      </c>
      <c r="H641" s="168">
        <v>12052</v>
      </c>
      <c r="N641" s="168" t="s">
        <v>2716</v>
      </c>
      <c r="O641" s="455"/>
      <c r="P641" s="455"/>
      <c r="Q641" s="455"/>
      <c r="R641" s="455"/>
      <c r="S641" s="168">
        <v>73261.13</v>
      </c>
      <c r="T641" s="523">
        <v>73261</v>
      </c>
      <c r="W641" s="168">
        <f t="shared" si="9"/>
        <v>0.13000000000465661</v>
      </c>
    </row>
    <row r="642" spans="1:23">
      <c r="A642" s="168" t="s">
        <v>2717</v>
      </c>
      <c r="B642" s="455"/>
      <c r="E642" s="150"/>
      <c r="G642" s="168">
        <v>1225</v>
      </c>
      <c r="H642" s="168">
        <v>1225</v>
      </c>
      <c r="N642" s="168" t="s">
        <v>2717</v>
      </c>
      <c r="O642" s="455"/>
      <c r="P642" s="455"/>
      <c r="Q642" s="455"/>
      <c r="R642" s="455"/>
      <c r="S642" s="168">
        <v>0</v>
      </c>
      <c r="T642" s="523">
        <v>0</v>
      </c>
      <c r="W642" s="168">
        <f t="shared" si="9"/>
        <v>0</v>
      </c>
    </row>
    <row r="643" spans="1:23">
      <c r="A643" s="168" t="s">
        <v>330</v>
      </c>
      <c r="B643" s="455" t="s">
        <v>1549</v>
      </c>
      <c r="C643" s="455" t="s">
        <v>590</v>
      </c>
      <c r="D643" s="168" t="s">
        <v>1244</v>
      </c>
      <c r="E643" s="150">
        <v>59929.68</v>
      </c>
      <c r="F643" s="456">
        <v>63000</v>
      </c>
      <c r="G643" s="168">
        <v>40624</v>
      </c>
      <c r="H643" s="168">
        <v>40624</v>
      </c>
      <c r="N643" s="168" t="s">
        <v>330</v>
      </c>
      <c r="O643" s="455" t="s">
        <v>1549</v>
      </c>
      <c r="P643" s="455" t="s">
        <v>590</v>
      </c>
      <c r="Q643" s="455">
        <v>223579</v>
      </c>
      <c r="R643" s="455">
        <v>223579</v>
      </c>
      <c r="S643" s="168">
        <v>13113.74</v>
      </c>
      <c r="T643" s="523">
        <v>13114</v>
      </c>
      <c r="W643" s="168">
        <f t="shared" si="9"/>
        <v>-0.26000000000021828</v>
      </c>
    </row>
    <row r="644" spans="1:23">
      <c r="A644" s="168" t="s">
        <v>331</v>
      </c>
      <c r="B644" s="455" t="s">
        <v>1549</v>
      </c>
      <c r="C644" s="455" t="s">
        <v>590</v>
      </c>
      <c r="D644" s="168" t="s">
        <v>1244</v>
      </c>
      <c r="E644" s="150">
        <v>310948.84999999998</v>
      </c>
      <c r="F644" s="456">
        <v>317000</v>
      </c>
      <c r="G644" s="168">
        <v>235307.2</v>
      </c>
      <c r="H644" s="168">
        <v>235308</v>
      </c>
      <c r="N644" s="168" t="s">
        <v>331</v>
      </c>
      <c r="O644" s="455" t="s">
        <v>1549</v>
      </c>
      <c r="P644" s="455" t="s">
        <v>590</v>
      </c>
      <c r="Q644" s="455">
        <v>497051</v>
      </c>
      <c r="R644" s="455">
        <v>497051</v>
      </c>
      <c r="S644" s="168">
        <v>323969.2</v>
      </c>
      <c r="T644" s="523">
        <v>323970</v>
      </c>
      <c r="W644" s="168">
        <f t="shared" si="9"/>
        <v>-0.79999999998835847</v>
      </c>
    </row>
    <row r="645" spans="1:23">
      <c r="A645" s="168" t="s">
        <v>332</v>
      </c>
      <c r="B645" s="455" t="s">
        <v>1549</v>
      </c>
      <c r="C645" s="455" t="s">
        <v>590</v>
      </c>
      <c r="D645" s="168" t="s">
        <v>1244</v>
      </c>
      <c r="E645" s="150">
        <v>18370.490000000002</v>
      </c>
      <c r="F645" s="456">
        <v>19000</v>
      </c>
      <c r="G645" s="168">
        <v>15320.51</v>
      </c>
      <c r="H645" s="168">
        <v>15321</v>
      </c>
      <c r="N645" s="168" t="s">
        <v>332</v>
      </c>
      <c r="O645" s="455" t="s">
        <v>1549</v>
      </c>
      <c r="P645" s="455" t="s">
        <v>590</v>
      </c>
      <c r="Q645" s="455">
        <v>22126</v>
      </c>
      <c r="R645" s="455">
        <v>22126</v>
      </c>
      <c r="S645" s="168">
        <v>18448.810000000001</v>
      </c>
      <c r="T645" s="523">
        <v>18449</v>
      </c>
      <c r="W645" s="168">
        <f t="shared" ref="W645:W708" si="10">S645-T645</f>
        <v>-0.18999999999869033</v>
      </c>
    </row>
    <row r="646" spans="1:23">
      <c r="A646" s="168" t="s">
        <v>333</v>
      </c>
      <c r="B646" s="455" t="s">
        <v>1549</v>
      </c>
      <c r="C646" s="455" t="s">
        <v>590</v>
      </c>
      <c r="D646" s="168" t="s">
        <v>1244</v>
      </c>
      <c r="E646" s="150">
        <v>13188.6</v>
      </c>
      <c r="F646" s="456">
        <v>14000</v>
      </c>
      <c r="G646" s="168">
        <v>6363.12</v>
      </c>
      <c r="H646" s="168">
        <v>6364</v>
      </c>
      <c r="N646" s="168" t="s">
        <v>333</v>
      </c>
      <c r="O646" s="455" t="s">
        <v>1549</v>
      </c>
      <c r="P646" s="455" t="s">
        <v>590</v>
      </c>
      <c r="Q646" s="455">
        <v>33853</v>
      </c>
      <c r="R646" s="455">
        <v>33853</v>
      </c>
      <c r="S646" s="168">
        <v>13373.48</v>
      </c>
      <c r="T646" s="523">
        <v>13374</v>
      </c>
      <c r="W646" s="168">
        <f t="shared" si="10"/>
        <v>-0.52000000000043656</v>
      </c>
    </row>
    <row r="647" spans="1:23">
      <c r="A647" s="168" t="s">
        <v>334</v>
      </c>
      <c r="B647" s="455" t="s">
        <v>1549</v>
      </c>
      <c r="C647" s="455" t="s">
        <v>1807</v>
      </c>
      <c r="D647" s="168" t="s">
        <v>1244</v>
      </c>
      <c r="E647" s="150">
        <v>1027.2</v>
      </c>
      <c r="F647" s="456">
        <v>1100</v>
      </c>
      <c r="G647" s="168">
        <v>901.14</v>
      </c>
      <c r="H647" s="168">
        <v>902</v>
      </c>
      <c r="N647" s="168" t="s">
        <v>334</v>
      </c>
      <c r="O647" s="455" t="s">
        <v>1549</v>
      </c>
      <c r="P647" s="455" t="s">
        <v>1807</v>
      </c>
      <c r="Q647" s="455">
        <v>1408</v>
      </c>
      <c r="R647" s="455">
        <v>1408</v>
      </c>
      <c r="S647" s="168">
        <v>1053.54</v>
      </c>
      <c r="T647" s="523">
        <v>1054</v>
      </c>
      <c r="W647" s="168">
        <f t="shared" si="10"/>
        <v>-0.46000000000003638</v>
      </c>
    </row>
    <row r="648" spans="1:23">
      <c r="A648" s="168" t="s">
        <v>335</v>
      </c>
      <c r="B648" s="455" t="s">
        <v>1551</v>
      </c>
      <c r="C648" s="455" t="s">
        <v>592</v>
      </c>
      <c r="D648" s="168" t="s">
        <v>1244</v>
      </c>
      <c r="E648" s="150">
        <v>0</v>
      </c>
      <c r="F648" s="456">
        <v>82424</v>
      </c>
      <c r="G648" s="168">
        <v>851148</v>
      </c>
      <c r="H648" s="168">
        <v>491433</v>
      </c>
      <c r="N648" s="168" t="s">
        <v>335</v>
      </c>
      <c r="O648" s="455" t="s">
        <v>1551</v>
      </c>
      <c r="P648" s="455" t="s">
        <v>592</v>
      </c>
      <c r="Q648" s="455">
        <v>446346</v>
      </c>
      <c r="R648" s="455">
        <v>446346</v>
      </c>
      <c r="S648" s="168">
        <v>1069864.3799999999</v>
      </c>
      <c r="T648" s="523">
        <v>446346</v>
      </c>
      <c r="W648" s="462">
        <f t="shared" si="10"/>
        <v>623518.37999999989</v>
      </c>
    </row>
    <row r="649" spans="1:23">
      <c r="A649" s="168" t="s">
        <v>336</v>
      </c>
      <c r="B649" s="455" t="s">
        <v>1552</v>
      </c>
      <c r="C649" s="455" t="s">
        <v>595</v>
      </c>
      <c r="D649" s="168" t="s">
        <v>1244</v>
      </c>
      <c r="E649" s="150">
        <v>5024.21</v>
      </c>
      <c r="F649" s="456">
        <v>6000</v>
      </c>
      <c r="G649" s="168">
        <v>5073.24</v>
      </c>
      <c r="H649" s="168">
        <v>5073</v>
      </c>
      <c r="N649" s="168" t="s">
        <v>336</v>
      </c>
      <c r="O649" s="455" t="s">
        <v>1552</v>
      </c>
      <c r="P649" s="455" t="s">
        <v>595</v>
      </c>
      <c r="Q649" s="455">
        <v>15581</v>
      </c>
      <c r="R649" s="455">
        <v>15581</v>
      </c>
      <c r="S649" s="168">
        <v>1587.62</v>
      </c>
      <c r="T649" s="523">
        <v>1740</v>
      </c>
      <c r="W649" s="168">
        <f t="shared" si="10"/>
        <v>-152.38000000000011</v>
      </c>
    </row>
    <row r="650" spans="1:23">
      <c r="A650" s="168" t="s">
        <v>337</v>
      </c>
      <c r="B650" s="455" t="s">
        <v>1552</v>
      </c>
      <c r="C650" s="455" t="s">
        <v>338</v>
      </c>
      <c r="D650" s="168" t="s">
        <v>1244</v>
      </c>
      <c r="E650" s="150">
        <v>324648.15999999997</v>
      </c>
      <c r="F650" s="456">
        <v>326000</v>
      </c>
      <c r="G650" s="168">
        <v>1211751.73</v>
      </c>
      <c r="H650" s="168">
        <v>1211751</v>
      </c>
      <c r="N650" s="168" t="s">
        <v>337</v>
      </c>
      <c r="O650" s="455" t="s">
        <v>1552</v>
      </c>
      <c r="P650" s="455" t="s">
        <v>338</v>
      </c>
      <c r="Q650" s="455">
        <v>1061682</v>
      </c>
      <c r="R650" s="455">
        <v>780336</v>
      </c>
      <c r="S650" s="168">
        <v>1174481.3700000001</v>
      </c>
      <c r="T650" s="523">
        <v>1174558</v>
      </c>
      <c r="W650" s="462">
        <f t="shared" si="10"/>
        <v>-76.629999999888241</v>
      </c>
    </row>
    <row r="651" spans="1:23">
      <c r="A651" s="168" t="s">
        <v>339</v>
      </c>
      <c r="B651" s="455" t="s">
        <v>1552</v>
      </c>
      <c r="C651" s="455" t="s">
        <v>545</v>
      </c>
      <c r="D651" s="168" t="s">
        <v>1244</v>
      </c>
      <c r="E651" s="150">
        <v>53.33</v>
      </c>
      <c r="F651" s="456">
        <v>1000</v>
      </c>
      <c r="G651" s="168">
        <v>140.05000000000001</v>
      </c>
      <c r="H651" s="168">
        <v>141</v>
      </c>
      <c r="N651" s="168" t="s">
        <v>339</v>
      </c>
      <c r="O651" s="455" t="s">
        <v>1552</v>
      </c>
      <c r="P651" s="455" t="s">
        <v>545</v>
      </c>
      <c r="Q651" s="455">
        <v>1839</v>
      </c>
      <c r="R651" s="455">
        <v>500</v>
      </c>
      <c r="S651" s="168">
        <v>0</v>
      </c>
      <c r="T651" s="523">
        <v>0</v>
      </c>
      <c r="W651" s="168">
        <f t="shared" si="10"/>
        <v>0</v>
      </c>
    </row>
    <row r="652" spans="1:23">
      <c r="A652" s="168" t="s">
        <v>340</v>
      </c>
      <c r="B652" s="455" t="s">
        <v>1552</v>
      </c>
      <c r="C652" s="455" t="s">
        <v>545</v>
      </c>
      <c r="D652" s="168" t="s">
        <v>1244</v>
      </c>
      <c r="E652" s="150">
        <v>36268.74</v>
      </c>
      <c r="F652" s="456">
        <v>39000</v>
      </c>
      <c r="G652" s="168">
        <v>25450.37</v>
      </c>
      <c r="H652" s="168">
        <v>25451</v>
      </c>
      <c r="N652" s="168" t="s">
        <v>340</v>
      </c>
      <c r="O652" s="455" t="s">
        <v>1552</v>
      </c>
      <c r="P652" s="455" t="s">
        <v>545</v>
      </c>
      <c r="Q652" s="455">
        <v>32590</v>
      </c>
      <c r="R652" s="455">
        <v>32590</v>
      </c>
      <c r="S652" s="168">
        <v>39475.21</v>
      </c>
      <c r="T652" s="523">
        <v>39769</v>
      </c>
      <c r="W652" s="168">
        <f t="shared" si="10"/>
        <v>-293.79000000000087</v>
      </c>
    </row>
    <row r="653" spans="1:23">
      <c r="A653" s="168" t="s">
        <v>341</v>
      </c>
      <c r="B653" s="455" t="s">
        <v>2469</v>
      </c>
      <c r="C653" s="455" t="s">
        <v>2315</v>
      </c>
      <c r="D653" s="168" t="s">
        <v>1244</v>
      </c>
      <c r="E653" s="150">
        <v>61535.58</v>
      </c>
      <c r="F653" s="456">
        <v>302765</v>
      </c>
      <c r="G653" s="168">
        <v>229368.85</v>
      </c>
      <c r="H653" s="168">
        <v>229369</v>
      </c>
      <c r="N653" s="168" t="s">
        <v>341</v>
      </c>
      <c r="O653" s="455" t="s">
        <v>2469</v>
      </c>
      <c r="P653" s="455" t="s">
        <v>2315</v>
      </c>
      <c r="Q653" s="455">
        <v>369354</v>
      </c>
      <c r="R653" s="455">
        <v>369354</v>
      </c>
      <c r="S653" s="168">
        <v>251129.12</v>
      </c>
      <c r="T653" s="523">
        <v>251130</v>
      </c>
      <c r="W653" s="168">
        <f t="shared" si="10"/>
        <v>-0.88000000000465661</v>
      </c>
    </row>
    <row r="654" spans="1:23" s="147" customFormat="1">
      <c r="A654" s="147" t="s">
        <v>342</v>
      </c>
      <c r="B654" s="148" t="s">
        <v>2469</v>
      </c>
      <c r="C654" s="148" t="s">
        <v>2333</v>
      </c>
      <c r="D654" s="147" t="s">
        <v>1244</v>
      </c>
      <c r="E654" s="151">
        <v>0</v>
      </c>
      <c r="F654" s="149">
        <v>463142</v>
      </c>
      <c r="G654" s="168">
        <v>0</v>
      </c>
      <c r="H654" s="168">
        <v>0</v>
      </c>
      <c r="N654" s="147" t="s">
        <v>342</v>
      </c>
      <c r="O654" s="148" t="s">
        <v>2469</v>
      </c>
      <c r="P654" s="148" t="s">
        <v>2333</v>
      </c>
      <c r="Q654" s="148"/>
      <c r="R654" s="148"/>
      <c r="S654" s="168">
        <v>0</v>
      </c>
      <c r="T654" s="523">
        <v>0</v>
      </c>
      <c r="W654" s="168">
        <f t="shared" si="10"/>
        <v>0</v>
      </c>
    </row>
    <row r="655" spans="1:23">
      <c r="A655" s="168" t="s">
        <v>343</v>
      </c>
      <c r="B655" s="455" t="s">
        <v>18</v>
      </c>
      <c r="C655" s="455" t="s">
        <v>344</v>
      </c>
      <c r="D655" s="168" t="s">
        <v>1244</v>
      </c>
      <c r="E655" s="150">
        <v>12752281.619999999</v>
      </c>
      <c r="F655" s="456">
        <v>12853519</v>
      </c>
      <c r="G655" s="168">
        <v>16578331.51</v>
      </c>
      <c r="H655" s="168">
        <v>16578332</v>
      </c>
      <c r="N655" s="168" t="s">
        <v>343</v>
      </c>
      <c r="O655" s="455" t="s">
        <v>18</v>
      </c>
      <c r="P655" s="455" t="s">
        <v>344</v>
      </c>
      <c r="Q655" s="455">
        <v>16435531</v>
      </c>
      <c r="R655" s="455">
        <v>17210800</v>
      </c>
      <c r="S655" s="168">
        <v>28933065.280000001</v>
      </c>
      <c r="T655" s="523">
        <v>25764528</v>
      </c>
      <c r="W655" s="168">
        <f t="shared" si="10"/>
        <v>3168537.2800000012</v>
      </c>
    </row>
    <row r="656" spans="1:23">
      <c r="A656" s="168" t="s">
        <v>345</v>
      </c>
      <c r="B656" s="455" t="s">
        <v>1553</v>
      </c>
      <c r="C656" s="455" t="s">
        <v>612</v>
      </c>
      <c r="D656" s="168" t="s">
        <v>1244</v>
      </c>
      <c r="E656" s="150">
        <v>0</v>
      </c>
      <c r="F656" s="456">
        <v>0</v>
      </c>
      <c r="G656" s="168">
        <v>0</v>
      </c>
      <c r="H656" s="168">
        <v>0</v>
      </c>
      <c r="N656" s="168" t="s">
        <v>345</v>
      </c>
      <c r="O656" s="455" t="s">
        <v>1553</v>
      </c>
      <c r="P656" s="455" t="s">
        <v>612</v>
      </c>
      <c r="Q656" s="455">
        <v>2943</v>
      </c>
      <c r="R656" s="455"/>
      <c r="S656" s="168">
        <v>0</v>
      </c>
      <c r="T656" s="523">
        <v>0</v>
      </c>
      <c r="W656" s="168">
        <f t="shared" si="10"/>
        <v>0</v>
      </c>
    </row>
    <row r="657" spans="1:23">
      <c r="A657" s="168" t="s">
        <v>346</v>
      </c>
      <c r="B657" s="455" t="s">
        <v>1553</v>
      </c>
      <c r="C657" s="455" t="s">
        <v>616</v>
      </c>
      <c r="D657" s="168" t="s">
        <v>1244</v>
      </c>
      <c r="E657" s="150">
        <v>2875.2</v>
      </c>
      <c r="F657" s="456">
        <v>2900</v>
      </c>
      <c r="G657" s="168">
        <v>26119.919999999998</v>
      </c>
      <c r="H657" s="168">
        <v>26119</v>
      </c>
      <c r="N657" s="168" t="s">
        <v>346</v>
      </c>
      <c r="O657" s="455" t="s">
        <v>1553</v>
      </c>
      <c r="P657" s="455" t="s">
        <v>616</v>
      </c>
      <c r="Q657" s="455">
        <v>1692</v>
      </c>
      <c r="R657" s="455">
        <v>7000</v>
      </c>
      <c r="S657" s="168">
        <v>6652.45</v>
      </c>
      <c r="T657" s="523">
        <v>6653</v>
      </c>
      <c r="W657" s="168">
        <f t="shared" si="10"/>
        <v>-0.5500000000001819</v>
      </c>
    </row>
    <row r="658" spans="1:23">
      <c r="A658" s="168" t="s">
        <v>347</v>
      </c>
      <c r="B658" s="455" t="s">
        <v>1553</v>
      </c>
      <c r="C658" s="455" t="s">
        <v>622</v>
      </c>
      <c r="D658" s="168" t="s">
        <v>1244</v>
      </c>
      <c r="E658" s="150">
        <v>79289.98</v>
      </c>
      <c r="F658" s="456">
        <v>80000</v>
      </c>
      <c r="G658" s="168">
        <v>137124.97</v>
      </c>
      <c r="H658" s="168">
        <v>137124</v>
      </c>
      <c r="N658" s="168" t="s">
        <v>347</v>
      </c>
      <c r="O658" s="455" t="s">
        <v>1553</v>
      </c>
      <c r="P658" s="455" t="s">
        <v>622</v>
      </c>
      <c r="Q658" s="455">
        <v>46671</v>
      </c>
      <c r="R658" s="455">
        <v>90000</v>
      </c>
      <c r="S658" s="168">
        <v>137254.54999999999</v>
      </c>
      <c r="T658" s="523">
        <v>137254</v>
      </c>
      <c r="W658" s="168">
        <f t="shared" si="10"/>
        <v>0.54999999998835847</v>
      </c>
    </row>
    <row r="659" spans="1:23">
      <c r="A659" s="168" t="s">
        <v>348</v>
      </c>
      <c r="B659" s="455" t="s">
        <v>1553</v>
      </c>
      <c r="C659" s="455" t="s">
        <v>2322</v>
      </c>
      <c r="D659" s="168" t="s">
        <v>1244</v>
      </c>
      <c r="E659" s="150">
        <v>24578.080000000002</v>
      </c>
      <c r="F659" s="456">
        <v>25000</v>
      </c>
      <c r="G659" s="168">
        <v>0</v>
      </c>
      <c r="H659" s="168">
        <v>0</v>
      </c>
      <c r="N659" s="168" t="s">
        <v>348</v>
      </c>
      <c r="O659" s="455" t="s">
        <v>1553</v>
      </c>
      <c r="P659" s="455" t="s">
        <v>2322</v>
      </c>
      <c r="Q659" s="455">
        <v>27036</v>
      </c>
      <c r="R659" s="455">
        <v>27036</v>
      </c>
      <c r="S659" s="168">
        <v>924.88</v>
      </c>
      <c r="T659" s="523">
        <v>925</v>
      </c>
      <c r="W659" s="168">
        <f t="shared" si="10"/>
        <v>-0.12000000000000455</v>
      </c>
    </row>
    <row r="660" spans="1:23">
      <c r="A660" s="168" t="s">
        <v>349</v>
      </c>
      <c r="B660" s="455" t="s">
        <v>1553</v>
      </c>
      <c r="C660" s="455" t="s">
        <v>624</v>
      </c>
      <c r="D660" s="168" t="s">
        <v>1244</v>
      </c>
      <c r="E660" s="150">
        <v>2726.69</v>
      </c>
      <c r="F660" s="456">
        <v>4000</v>
      </c>
      <c r="G660" s="168">
        <v>5425</v>
      </c>
      <c r="H660" s="168">
        <v>5425</v>
      </c>
      <c r="N660" s="168" t="s">
        <v>349</v>
      </c>
      <c r="O660" s="455" t="s">
        <v>1553</v>
      </c>
      <c r="P660" s="455" t="s">
        <v>624</v>
      </c>
      <c r="Q660" s="455">
        <v>1605</v>
      </c>
      <c r="R660" s="455">
        <v>6000</v>
      </c>
      <c r="S660" s="168">
        <v>9193.2000000000007</v>
      </c>
      <c r="T660" s="523">
        <v>14653</v>
      </c>
      <c r="W660" s="462">
        <f t="shared" si="10"/>
        <v>-5459.7999999999993</v>
      </c>
    </row>
    <row r="661" spans="1:23">
      <c r="A661" s="168" t="s">
        <v>350</v>
      </c>
      <c r="B661" s="455" t="s">
        <v>1553</v>
      </c>
      <c r="C661" s="455" t="s">
        <v>633</v>
      </c>
      <c r="D661" s="168" t="s">
        <v>1244</v>
      </c>
      <c r="E661" s="150">
        <v>972.7</v>
      </c>
      <c r="F661" s="456">
        <v>1300</v>
      </c>
      <c r="G661" s="168">
        <v>97.01</v>
      </c>
      <c r="H661" s="168">
        <v>98</v>
      </c>
      <c r="N661" s="168" t="s">
        <v>350</v>
      </c>
      <c r="O661" s="455" t="s">
        <v>1553</v>
      </c>
      <c r="P661" s="455" t="s">
        <v>633</v>
      </c>
      <c r="Q661" s="455">
        <v>573</v>
      </c>
      <c r="R661" s="455">
        <v>316</v>
      </c>
      <c r="S661" s="168">
        <v>0</v>
      </c>
      <c r="T661" s="523">
        <v>0</v>
      </c>
      <c r="W661" s="168">
        <f t="shared" si="10"/>
        <v>0</v>
      </c>
    </row>
    <row r="662" spans="1:23">
      <c r="A662" s="168" t="s">
        <v>351</v>
      </c>
      <c r="B662" s="455" t="s">
        <v>1553</v>
      </c>
      <c r="C662" s="455" t="s">
        <v>253</v>
      </c>
      <c r="D662" s="168" t="s">
        <v>1244</v>
      </c>
      <c r="E662" s="150">
        <v>61581</v>
      </c>
      <c r="F662" s="456">
        <v>82000</v>
      </c>
      <c r="G662" s="168">
        <v>76457.88</v>
      </c>
      <c r="H662" s="168">
        <v>76457</v>
      </c>
      <c r="N662" s="168" t="s">
        <v>351</v>
      </c>
      <c r="O662" s="455" t="s">
        <v>1553</v>
      </c>
      <c r="P662" s="455" t="s">
        <v>253</v>
      </c>
      <c r="Q662" s="455">
        <v>57474</v>
      </c>
      <c r="R662" s="455">
        <v>57474</v>
      </c>
      <c r="S662" s="168">
        <v>48123.24</v>
      </c>
      <c r="T662" s="523">
        <v>48124</v>
      </c>
      <c r="W662" s="168">
        <f t="shared" si="10"/>
        <v>-0.76000000000203727</v>
      </c>
    </row>
    <row r="663" spans="1:23">
      <c r="A663" s="168" t="s">
        <v>352</v>
      </c>
      <c r="B663" s="455" t="s">
        <v>1553</v>
      </c>
      <c r="C663" s="455" t="s">
        <v>50</v>
      </c>
      <c r="D663" s="168" t="s">
        <v>1244</v>
      </c>
      <c r="E663" s="150">
        <v>10577.36</v>
      </c>
      <c r="F663" s="456">
        <v>13000</v>
      </c>
      <c r="G663" s="168">
        <v>968.53</v>
      </c>
      <c r="H663" s="168">
        <v>968</v>
      </c>
      <c r="N663" s="168" t="s">
        <v>352</v>
      </c>
      <c r="O663" s="455" t="s">
        <v>1553</v>
      </c>
      <c r="P663" s="455" t="s">
        <v>50</v>
      </c>
      <c r="Q663" s="455">
        <v>2602</v>
      </c>
      <c r="R663" s="455">
        <v>1912</v>
      </c>
      <c r="S663" s="168">
        <v>228.57</v>
      </c>
      <c r="T663" s="523">
        <v>229</v>
      </c>
      <c r="W663" s="168">
        <f t="shared" si="10"/>
        <v>-0.43000000000000682</v>
      </c>
    </row>
    <row r="664" spans="1:23">
      <c r="A664" s="168" t="s">
        <v>353</v>
      </c>
      <c r="B664" s="455" t="s">
        <v>1553</v>
      </c>
      <c r="C664" s="455" t="s">
        <v>52</v>
      </c>
      <c r="D664" s="168" t="s">
        <v>1244</v>
      </c>
      <c r="E664" s="150">
        <v>0</v>
      </c>
      <c r="F664" s="456">
        <v>0</v>
      </c>
      <c r="G664" s="168">
        <v>0</v>
      </c>
      <c r="H664" s="168">
        <v>0</v>
      </c>
      <c r="N664" s="168" t="s">
        <v>353</v>
      </c>
      <c r="O664" s="455" t="s">
        <v>1553</v>
      </c>
      <c r="P664" s="455" t="s">
        <v>52</v>
      </c>
      <c r="Q664" s="455">
        <v>3198</v>
      </c>
      <c r="R664" s="455">
        <v>1763</v>
      </c>
      <c r="S664" s="168">
        <v>0</v>
      </c>
      <c r="T664" s="523">
        <v>0</v>
      </c>
      <c r="W664" s="168">
        <f t="shared" si="10"/>
        <v>0</v>
      </c>
    </row>
    <row r="665" spans="1:23">
      <c r="A665" s="168" t="s">
        <v>354</v>
      </c>
      <c r="B665" s="455" t="s">
        <v>1553</v>
      </c>
      <c r="C665" s="455" t="s">
        <v>52</v>
      </c>
      <c r="D665" s="168" t="s">
        <v>1244</v>
      </c>
      <c r="E665" s="150">
        <v>45253.09</v>
      </c>
      <c r="F665" s="456">
        <v>45300</v>
      </c>
      <c r="G665" s="168">
        <v>16506.64</v>
      </c>
      <c r="H665" s="168">
        <v>16506</v>
      </c>
      <c r="N665" s="168" t="s">
        <v>354</v>
      </c>
      <c r="O665" s="455" t="s">
        <v>1553</v>
      </c>
      <c r="P665" s="455" t="s">
        <v>52</v>
      </c>
      <c r="Q665" s="455">
        <v>36949</v>
      </c>
      <c r="R665" s="455">
        <v>18700</v>
      </c>
      <c r="S665" s="168">
        <v>58780.58</v>
      </c>
      <c r="T665" s="523">
        <v>58780</v>
      </c>
      <c r="W665" s="168">
        <f t="shared" si="10"/>
        <v>0.58000000000174623</v>
      </c>
    </row>
    <row r="666" spans="1:23">
      <c r="A666" s="168" t="s">
        <v>2735</v>
      </c>
      <c r="B666" s="455"/>
      <c r="E666" s="150"/>
      <c r="H666" s="168">
        <v>2538503</v>
      </c>
      <c r="N666" s="168" t="s">
        <v>2735</v>
      </c>
      <c r="O666" s="455"/>
      <c r="P666" s="455"/>
      <c r="Q666" s="455"/>
      <c r="R666" s="455"/>
      <c r="T666" s="523">
        <v>0</v>
      </c>
      <c r="W666" s="168">
        <f t="shared" si="10"/>
        <v>0</v>
      </c>
    </row>
    <row r="667" spans="1:23">
      <c r="A667" s="168" t="s">
        <v>355</v>
      </c>
      <c r="B667" s="455" t="s">
        <v>1553</v>
      </c>
      <c r="C667" s="455" t="s">
        <v>2053</v>
      </c>
      <c r="D667" s="168" t="s">
        <v>1244</v>
      </c>
      <c r="E667" s="150">
        <v>0</v>
      </c>
      <c r="F667" s="456">
        <v>0</v>
      </c>
      <c r="G667" s="168">
        <v>0</v>
      </c>
      <c r="H667" s="168">
        <v>0</v>
      </c>
      <c r="N667" s="168" t="s">
        <v>355</v>
      </c>
      <c r="O667" s="455" t="s">
        <v>1553</v>
      </c>
      <c r="P667" s="455" t="s">
        <v>2053</v>
      </c>
      <c r="Q667" s="455"/>
      <c r="R667" s="455"/>
      <c r="S667" s="168">
        <v>0</v>
      </c>
      <c r="T667" s="523">
        <v>0</v>
      </c>
      <c r="W667" s="168">
        <f t="shared" si="10"/>
        <v>0</v>
      </c>
    </row>
    <row r="668" spans="1:23">
      <c r="A668" s="168" t="s">
        <v>356</v>
      </c>
      <c r="B668" s="455" t="s">
        <v>1553</v>
      </c>
      <c r="C668" s="455" t="s">
        <v>2330</v>
      </c>
      <c r="D668" s="168" t="s">
        <v>1244</v>
      </c>
      <c r="E668" s="150">
        <v>0</v>
      </c>
      <c r="F668" s="456">
        <v>0</v>
      </c>
      <c r="G668" s="168">
        <v>0</v>
      </c>
      <c r="H668" s="168">
        <v>0</v>
      </c>
      <c r="N668" s="168" t="s">
        <v>356</v>
      </c>
      <c r="O668" s="455" t="s">
        <v>1553</v>
      </c>
      <c r="P668" s="455" t="s">
        <v>2330</v>
      </c>
      <c r="Q668" s="455"/>
      <c r="R668" s="455"/>
      <c r="S668" s="168">
        <v>0</v>
      </c>
      <c r="T668" s="523">
        <v>0</v>
      </c>
      <c r="W668" s="168">
        <f t="shared" si="10"/>
        <v>0</v>
      </c>
    </row>
    <row r="669" spans="1:23">
      <c r="A669" s="168" t="s">
        <v>357</v>
      </c>
      <c r="B669" s="455" t="s">
        <v>1553</v>
      </c>
      <c r="C669" s="455" t="s">
        <v>322</v>
      </c>
      <c r="D669" s="168" t="s">
        <v>1244</v>
      </c>
      <c r="E669" s="150">
        <v>0</v>
      </c>
      <c r="F669" s="456">
        <v>0</v>
      </c>
      <c r="G669" s="168">
        <v>0</v>
      </c>
      <c r="H669" s="168">
        <v>0</v>
      </c>
      <c r="N669" s="168" t="s">
        <v>3481</v>
      </c>
      <c r="O669" s="455" t="s">
        <v>1553</v>
      </c>
      <c r="P669" s="455" t="s">
        <v>322</v>
      </c>
      <c r="Q669" s="455"/>
      <c r="R669" s="455"/>
      <c r="S669" s="168">
        <v>0</v>
      </c>
      <c r="T669" s="523">
        <v>1743000</v>
      </c>
      <c r="W669" s="168">
        <f t="shared" si="10"/>
        <v>-1743000</v>
      </c>
    </row>
    <row r="670" spans="1:23">
      <c r="A670" s="168" t="s">
        <v>358</v>
      </c>
      <c r="B670" s="455" t="s">
        <v>1553</v>
      </c>
      <c r="C670" s="455" t="s">
        <v>359</v>
      </c>
      <c r="D670" s="168" t="s">
        <v>1244</v>
      </c>
      <c r="E670" s="150">
        <v>0</v>
      </c>
      <c r="F670" s="456">
        <v>0</v>
      </c>
      <c r="G670" s="168">
        <v>0</v>
      </c>
      <c r="H670" s="168">
        <v>0</v>
      </c>
      <c r="N670" s="168" t="s">
        <v>358</v>
      </c>
      <c r="O670" s="455" t="s">
        <v>1553</v>
      </c>
      <c r="P670" s="455" t="s">
        <v>359</v>
      </c>
      <c r="Q670" s="455"/>
      <c r="R670" s="455"/>
      <c r="S670" s="168">
        <v>0</v>
      </c>
      <c r="T670" s="523">
        <v>0</v>
      </c>
      <c r="W670" s="168">
        <f t="shared" si="10"/>
        <v>0</v>
      </c>
    </row>
    <row r="671" spans="1:23" ht="18" customHeight="1" thickBot="1">
      <c r="A671" s="168" t="s">
        <v>360</v>
      </c>
      <c r="B671" s="455" t="s">
        <v>1553</v>
      </c>
      <c r="C671" s="455" t="s">
        <v>322</v>
      </c>
      <c r="D671" s="168" t="s">
        <v>1244</v>
      </c>
      <c r="E671" s="150">
        <v>0</v>
      </c>
      <c r="F671" s="456">
        <v>0</v>
      </c>
      <c r="G671" s="168">
        <v>0</v>
      </c>
      <c r="H671" s="168">
        <v>0</v>
      </c>
      <c r="N671" s="168" t="s">
        <v>360</v>
      </c>
      <c r="O671" s="455" t="s">
        <v>1553</v>
      </c>
      <c r="P671" s="455" t="s">
        <v>322</v>
      </c>
      <c r="Q671" s="455"/>
      <c r="R671" s="455"/>
      <c r="S671" s="168">
        <v>0</v>
      </c>
      <c r="T671" s="523">
        <v>0</v>
      </c>
      <c r="W671" s="168">
        <f t="shared" si="10"/>
        <v>0</v>
      </c>
    </row>
    <row r="672" spans="1:23" ht="18" customHeight="1" thickTop="1" thickBot="1">
      <c r="A672" s="554" t="s">
        <v>2668</v>
      </c>
      <c r="B672" s="555"/>
      <c r="C672" s="555"/>
      <c r="D672" s="556"/>
      <c r="E672" s="560">
        <f>SUM(E634:E671)</f>
        <v>15410160.079999998</v>
      </c>
      <c r="F672" s="560">
        <f>SUM(F634:F671)</f>
        <v>16986174</v>
      </c>
      <c r="G672" s="560">
        <f>SUM(G634:G671)</f>
        <v>21447324.960000001</v>
      </c>
      <c r="H672" s="560">
        <f>SUM(H634:H671)</f>
        <v>23628136</v>
      </c>
      <c r="N672" s="554" t="s">
        <v>2668</v>
      </c>
      <c r="O672" s="555"/>
      <c r="P672" s="555"/>
      <c r="Q672" s="555">
        <f>SUM(Q634:Q671)</f>
        <v>22685109</v>
      </c>
      <c r="R672" s="555">
        <f>SUM(R634:R671)</f>
        <v>23207151</v>
      </c>
      <c r="S672" s="560">
        <f>SUM(S634:S671)</f>
        <v>34865473.050000004</v>
      </c>
      <c r="T672" s="558">
        <f>SUM(T634:T671)</f>
        <v>32822403</v>
      </c>
      <c r="U672" s="168">
        <f>SUM(S672)</f>
        <v>34865473.050000004</v>
      </c>
      <c r="V672" s="168">
        <f>SUM(T672)</f>
        <v>32822403</v>
      </c>
      <c r="W672" s="168">
        <f t="shared" si="10"/>
        <v>2043070.0500000045</v>
      </c>
    </row>
    <row r="673" spans="1:23" ht="18" customHeight="1" thickTop="1">
      <c r="B673" s="455"/>
      <c r="E673" s="150"/>
      <c r="O673" s="455"/>
      <c r="P673" s="455"/>
      <c r="Q673" s="455"/>
      <c r="R673" s="455"/>
      <c r="T673" s="523"/>
      <c r="U673" s="603">
        <f>SUM(U632:U672)</f>
        <v>-6884110.9599999934</v>
      </c>
      <c r="V673" s="603">
        <f>SUM(V631:V672)</f>
        <v>4064259</v>
      </c>
      <c r="W673" s="168">
        <f t="shared" si="10"/>
        <v>0</v>
      </c>
    </row>
    <row r="674" spans="1:23" ht="15.75" customHeight="1">
      <c r="A674" s="168" t="s">
        <v>361</v>
      </c>
      <c r="B674" s="455" t="s">
        <v>1552</v>
      </c>
      <c r="C674" s="455" t="s">
        <v>595</v>
      </c>
      <c r="D674" s="168" t="s">
        <v>1575</v>
      </c>
      <c r="E674" s="150">
        <v>0</v>
      </c>
      <c r="F674" s="456">
        <v>1000</v>
      </c>
      <c r="G674" s="168">
        <v>0</v>
      </c>
      <c r="H674" s="168">
        <v>0</v>
      </c>
      <c r="N674" s="168" t="s">
        <v>361</v>
      </c>
      <c r="O674" s="455" t="s">
        <v>1552</v>
      </c>
      <c r="P674" s="455" t="s">
        <v>595</v>
      </c>
      <c r="Q674" s="455">
        <v>6215</v>
      </c>
      <c r="R674" s="455">
        <v>5919</v>
      </c>
      <c r="S674" s="168">
        <v>0</v>
      </c>
      <c r="T674" s="523">
        <v>0</v>
      </c>
      <c r="W674" s="168">
        <f t="shared" si="10"/>
        <v>0</v>
      </c>
    </row>
    <row r="675" spans="1:23">
      <c r="A675" s="168" t="s">
        <v>362</v>
      </c>
      <c r="B675" s="455" t="s">
        <v>1552</v>
      </c>
      <c r="C675" s="455" t="s">
        <v>2331</v>
      </c>
      <c r="D675" s="168" t="s">
        <v>1575</v>
      </c>
      <c r="E675" s="150">
        <v>5688</v>
      </c>
      <c r="F675" s="456">
        <v>7000</v>
      </c>
      <c r="G675" s="168">
        <v>0</v>
      </c>
      <c r="H675" s="168">
        <v>0</v>
      </c>
      <c r="N675" s="168" t="s">
        <v>362</v>
      </c>
      <c r="O675" s="455" t="s">
        <v>1552</v>
      </c>
      <c r="P675" s="455" t="s">
        <v>2331</v>
      </c>
      <c r="Q675" s="455">
        <v>18647</v>
      </c>
      <c r="R675" s="455">
        <v>18647</v>
      </c>
      <c r="S675" s="168">
        <v>0</v>
      </c>
      <c r="T675" s="523">
        <v>0</v>
      </c>
      <c r="W675" s="168">
        <f t="shared" si="10"/>
        <v>0</v>
      </c>
    </row>
    <row r="676" spans="1:23">
      <c r="A676" s="168" t="s">
        <v>363</v>
      </c>
      <c r="B676" s="455" t="s">
        <v>18</v>
      </c>
      <c r="C676" s="455" t="s">
        <v>344</v>
      </c>
      <c r="D676" s="168" t="s">
        <v>1575</v>
      </c>
      <c r="E676" s="150">
        <v>0</v>
      </c>
      <c r="F676" s="456">
        <v>295250</v>
      </c>
      <c r="G676" s="168">
        <v>0</v>
      </c>
      <c r="H676" s="168">
        <v>0</v>
      </c>
      <c r="N676" s="168" t="s">
        <v>363</v>
      </c>
      <c r="O676" s="455" t="s">
        <v>18</v>
      </c>
      <c r="P676" s="455" t="s">
        <v>344</v>
      </c>
      <c r="Q676" s="455">
        <v>353525</v>
      </c>
      <c r="R676" s="455"/>
      <c r="S676" s="168">
        <v>0</v>
      </c>
      <c r="T676" s="523">
        <v>0</v>
      </c>
      <c r="W676" s="168">
        <f t="shared" si="10"/>
        <v>0</v>
      </c>
    </row>
    <row r="677" spans="1:23">
      <c r="A677" s="168" t="s">
        <v>364</v>
      </c>
      <c r="B677" s="455" t="s">
        <v>1553</v>
      </c>
      <c r="C677" s="455" t="s">
        <v>622</v>
      </c>
      <c r="D677" s="168" t="s">
        <v>1575</v>
      </c>
      <c r="E677" s="150">
        <v>0</v>
      </c>
      <c r="F677" s="456">
        <v>1000</v>
      </c>
      <c r="G677" s="168">
        <v>0</v>
      </c>
      <c r="H677" s="168">
        <v>0</v>
      </c>
      <c r="N677" s="168" t="s">
        <v>364</v>
      </c>
      <c r="O677" s="455" t="s">
        <v>1553</v>
      </c>
      <c r="P677" s="455" t="s">
        <v>622</v>
      </c>
      <c r="Q677" s="455">
        <v>4751</v>
      </c>
      <c r="R677" s="455"/>
      <c r="S677" s="168">
        <v>0</v>
      </c>
      <c r="T677" s="523">
        <v>0</v>
      </c>
      <c r="W677" s="168">
        <f t="shared" si="10"/>
        <v>0</v>
      </c>
    </row>
    <row r="678" spans="1:23">
      <c r="A678" s="168" t="s">
        <v>365</v>
      </c>
      <c r="B678" s="455" t="s">
        <v>1553</v>
      </c>
      <c r="C678" s="455" t="s">
        <v>2322</v>
      </c>
      <c r="D678" s="168" t="s">
        <v>1575</v>
      </c>
      <c r="E678" s="150">
        <v>4176.6499999999996</v>
      </c>
      <c r="F678" s="456">
        <v>4177</v>
      </c>
      <c r="G678" s="168">
        <v>0</v>
      </c>
      <c r="H678" s="168">
        <v>0</v>
      </c>
      <c r="N678" s="168" t="s">
        <v>365</v>
      </c>
      <c r="O678" s="455" t="s">
        <v>1553</v>
      </c>
      <c r="P678" s="455" t="s">
        <v>2322</v>
      </c>
      <c r="Q678" s="455">
        <v>4800</v>
      </c>
      <c r="R678" s="455">
        <v>4800</v>
      </c>
      <c r="S678" s="168">
        <v>0</v>
      </c>
      <c r="T678" s="523">
        <v>0</v>
      </c>
      <c r="W678" s="168">
        <f t="shared" si="10"/>
        <v>0</v>
      </c>
    </row>
    <row r="679" spans="1:23">
      <c r="A679" s="168" t="s">
        <v>366</v>
      </c>
      <c r="B679" s="455" t="s">
        <v>1553</v>
      </c>
      <c r="C679" s="455" t="s">
        <v>633</v>
      </c>
      <c r="D679" s="168" t="s">
        <v>1575</v>
      </c>
      <c r="E679" s="150">
        <v>0</v>
      </c>
      <c r="F679" s="456">
        <v>0</v>
      </c>
      <c r="G679" s="168">
        <v>0</v>
      </c>
      <c r="H679" s="168">
        <v>0</v>
      </c>
      <c r="N679" s="168" t="s">
        <v>366</v>
      </c>
      <c r="O679" s="455" t="s">
        <v>1553</v>
      </c>
      <c r="P679" s="455" t="s">
        <v>633</v>
      </c>
      <c r="Q679" s="455">
        <v>1057</v>
      </c>
      <c r="R679" s="455"/>
      <c r="S679" s="168">
        <v>0</v>
      </c>
      <c r="T679" s="523">
        <v>0</v>
      </c>
      <c r="W679" s="168">
        <f t="shared" si="10"/>
        <v>0</v>
      </c>
    </row>
    <row r="680" spans="1:23" ht="15.75" thickBot="1">
      <c r="A680" s="168" t="s">
        <v>367</v>
      </c>
      <c r="B680" s="455" t="s">
        <v>1553</v>
      </c>
      <c r="C680" s="455" t="s">
        <v>253</v>
      </c>
      <c r="D680" s="168" t="s">
        <v>1575</v>
      </c>
      <c r="E680" s="150">
        <v>0</v>
      </c>
      <c r="F680" s="456">
        <v>0</v>
      </c>
      <c r="G680" s="168">
        <v>0</v>
      </c>
      <c r="H680" s="168">
        <v>0</v>
      </c>
      <c r="N680" s="168" t="s">
        <v>367</v>
      </c>
      <c r="O680" s="455" t="s">
        <v>1553</v>
      </c>
      <c r="P680" s="455" t="s">
        <v>253</v>
      </c>
      <c r="Q680" s="455">
        <v>628</v>
      </c>
      <c r="R680" s="455"/>
      <c r="S680" s="168">
        <v>0</v>
      </c>
      <c r="T680" s="523">
        <v>0</v>
      </c>
      <c r="W680" s="168">
        <f t="shared" si="10"/>
        <v>0</v>
      </c>
    </row>
    <row r="681" spans="1:23" ht="16.5" thickTop="1" thickBot="1">
      <c r="A681" s="562"/>
      <c r="B681" s="563"/>
      <c r="C681" s="563"/>
      <c r="D681" s="562"/>
      <c r="E681" s="560">
        <f>SUM(E674:E680)</f>
        <v>9864.65</v>
      </c>
      <c r="F681" s="560">
        <f>SUM(F674:F680)</f>
        <v>308427</v>
      </c>
      <c r="G681" s="560">
        <f>SUM(G674:G680)</f>
        <v>0</v>
      </c>
      <c r="H681" s="560">
        <f>SUM(H674:H680)</f>
        <v>0</v>
      </c>
      <c r="N681" s="562"/>
      <c r="O681" s="563"/>
      <c r="P681" s="563"/>
      <c r="Q681" s="563">
        <f>SUM(Q674:Q680)</f>
        <v>389623</v>
      </c>
      <c r="R681" s="563">
        <f>SUM(R674:R680)</f>
        <v>29366</v>
      </c>
      <c r="S681" s="560">
        <f>SUM(S674:S680)</f>
        <v>0</v>
      </c>
      <c r="T681" s="558">
        <f>SUM(T674:T680)</f>
        <v>0</v>
      </c>
      <c r="W681" s="168">
        <f t="shared" si="10"/>
        <v>0</v>
      </c>
    </row>
    <row r="682" spans="1:23" ht="15.75" thickTop="1">
      <c r="B682" s="455"/>
      <c r="E682" s="150"/>
      <c r="O682" s="455"/>
      <c r="P682" s="455"/>
      <c r="Q682" s="455"/>
      <c r="R682" s="455"/>
      <c r="T682" s="523"/>
      <c r="W682" s="168">
        <f t="shared" si="10"/>
        <v>0</v>
      </c>
    </row>
    <row r="683" spans="1:23">
      <c r="A683" s="168" t="s">
        <v>368</v>
      </c>
      <c r="B683" s="455" t="s">
        <v>1551</v>
      </c>
      <c r="C683" s="455" t="s">
        <v>592</v>
      </c>
      <c r="D683" s="168" t="s">
        <v>1576</v>
      </c>
      <c r="E683" s="150">
        <v>0</v>
      </c>
      <c r="F683" s="456">
        <v>42094</v>
      </c>
      <c r="G683" s="168">
        <v>0</v>
      </c>
      <c r="H683" s="168">
        <v>0</v>
      </c>
      <c r="N683" s="168" t="s">
        <v>368</v>
      </c>
      <c r="O683" s="455" t="s">
        <v>1551</v>
      </c>
      <c r="P683" s="455" t="s">
        <v>592</v>
      </c>
      <c r="Q683" s="455">
        <v>14147</v>
      </c>
      <c r="R683" s="455">
        <v>14147</v>
      </c>
      <c r="S683" s="168">
        <v>0</v>
      </c>
      <c r="T683" s="523">
        <v>14147</v>
      </c>
      <c r="W683" s="462">
        <f t="shared" si="10"/>
        <v>-14147</v>
      </c>
    </row>
    <row r="684" spans="1:23">
      <c r="A684" s="168" t="s">
        <v>369</v>
      </c>
      <c r="B684" s="455" t="s">
        <v>1552</v>
      </c>
      <c r="C684" s="455" t="s">
        <v>545</v>
      </c>
      <c r="D684" s="168" t="s">
        <v>1576</v>
      </c>
      <c r="E684" s="150">
        <v>1682.76</v>
      </c>
      <c r="F684" s="456">
        <v>2000</v>
      </c>
      <c r="G684" s="168">
        <v>70.61</v>
      </c>
      <c r="H684" s="168">
        <v>71</v>
      </c>
      <c r="N684" s="168" t="s">
        <v>369</v>
      </c>
      <c r="O684" s="455" t="s">
        <v>1552</v>
      </c>
      <c r="P684" s="455" t="s">
        <v>545</v>
      </c>
      <c r="Q684" s="455">
        <v>1174</v>
      </c>
      <c r="R684" s="455">
        <v>1174</v>
      </c>
      <c r="S684" s="168">
        <v>0</v>
      </c>
      <c r="T684" s="523">
        <v>0</v>
      </c>
      <c r="W684" s="168">
        <f t="shared" si="10"/>
        <v>0</v>
      </c>
    </row>
    <row r="685" spans="1:23">
      <c r="A685" s="168" t="s">
        <v>370</v>
      </c>
      <c r="B685" s="455" t="s">
        <v>1553</v>
      </c>
      <c r="C685" s="455" t="s">
        <v>616</v>
      </c>
      <c r="D685" s="168" t="s">
        <v>1576</v>
      </c>
      <c r="E685" s="150">
        <v>5985</v>
      </c>
      <c r="F685" s="456">
        <v>8000</v>
      </c>
      <c r="G685" s="168">
        <v>280.17</v>
      </c>
      <c r="H685" s="168">
        <v>280</v>
      </c>
      <c r="N685" s="168" t="s">
        <v>370</v>
      </c>
      <c r="O685" s="455" t="s">
        <v>1553</v>
      </c>
      <c r="P685" s="455" t="s">
        <v>616</v>
      </c>
      <c r="Q685" s="455">
        <v>3523</v>
      </c>
      <c r="R685" s="455">
        <v>1942</v>
      </c>
      <c r="S685" s="168">
        <v>2446.89</v>
      </c>
      <c r="T685" s="523">
        <v>2446</v>
      </c>
      <c r="W685" s="168">
        <f t="shared" si="10"/>
        <v>0.88999999999987267</v>
      </c>
    </row>
    <row r="686" spans="1:23">
      <c r="A686" s="168" t="s">
        <v>371</v>
      </c>
      <c r="B686" s="455" t="s">
        <v>1553</v>
      </c>
      <c r="C686" s="455" t="s">
        <v>2322</v>
      </c>
      <c r="D686" s="168" t="s">
        <v>1576</v>
      </c>
      <c r="E686" s="150">
        <v>3597.3</v>
      </c>
      <c r="F686" s="456">
        <v>3697</v>
      </c>
      <c r="G686" s="168">
        <v>0</v>
      </c>
      <c r="H686" s="168">
        <v>0</v>
      </c>
      <c r="N686" s="168" t="s">
        <v>371</v>
      </c>
      <c r="O686" s="455" t="s">
        <v>1553</v>
      </c>
      <c r="P686" s="455" t="s">
        <v>2322</v>
      </c>
      <c r="Q686" s="455">
        <v>3957</v>
      </c>
      <c r="R686" s="455">
        <v>3957</v>
      </c>
      <c r="S686" s="168">
        <v>0</v>
      </c>
      <c r="T686" s="523">
        <v>0</v>
      </c>
      <c r="W686" s="168">
        <f t="shared" si="10"/>
        <v>0</v>
      </c>
    </row>
    <row r="687" spans="1:23">
      <c r="A687" s="168" t="s">
        <v>372</v>
      </c>
      <c r="B687" s="455" t="s">
        <v>1553</v>
      </c>
      <c r="C687" s="455" t="s">
        <v>633</v>
      </c>
      <c r="D687" s="168" t="s">
        <v>1576</v>
      </c>
      <c r="E687" s="150">
        <v>0</v>
      </c>
      <c r="F687" s="456">
        <v>0</v>
      </c>
      <c r="G687" s="168">
        <v>0</v>
      </c>
      <c r="H687" s="168">
        <v>0</v>
      </c>
      <c r="N687" s="168" t="s">
        <v>372</v>
      </c>
      <c r="O687" s="455" t="s">
        <v>1553</v>
      </c>
      <c r="P687" s="455" t="s">
        <v>633</v>
      </c>
      <c r="Q687" s="455">
        <v>203</v>
      </c>
      <c r="R687" s="455">
        <v>112</v>
      </c>
      <c r="S687" s="168">
        <v>0</v>
      </c>
      <c r="T687" s="523">
        <v>0</v>
      </c>
      <c r="W687" s="168">
        <f t="shared" si="10"/>
        <v>0</v>
      </c>
    </row>
    <row r="688" spans="1:23" ht="15.75" thickBot="1">
      <c r="A688" s="168" t="s">
        <v>373</v>
      </c>
      <c r="B688" s="455" t="s">
        <v>1553</v>
      </c>
      <c r="C688" s="455" t="s">
        <v>253</v>
      </c>
      <c r="D688" s="168" t="s">
        <v>1576</v>
      </c>
      <c r="E688" s="150">
        <v>0</v>
      </c>
      <c r="F688" s="456">
        <v>0</v>
      </c>
      <c r="G688" s="168">
        <v>0</v>
      </c>
      <c r="H688" s="168">
        <v>0</v>
      </c>
      <c r="N688" s="168" t="s">
        <v>373</v>
      </c>
      <c r="O688" s="455" t="s">
        <v>1553</v>
      </c>
      <c r="P688" s="455" t="s">
        <v>253</v>
      </c>
      <c r="Q688" s="455">
        <v>106</v>
      </c>
      <c r="R688" s="455">
        <v>58</v>
      </c>
      <c r="S688" s="168">
        <v>0</v>
      </c>
      <c r="T688" s="523">
        <v>0</v>
      </c>
      <c r="W688" s="168">
        <f t="shared" si="10"/>
        <v>0</v>
      </c>
    </row>
    <row r="689" spans="1:23" ht="16.5" thickTop="1" thickBot="1">
      <c r="A689" s="554" t="s">
        <v>2668</v>
      </c>
      <c r="B689" s="555"/>
      <c r="C689" s="555"/>
      <c r="D689" s="556"/>
      <c r="E689" s="560">
        <f>SUM(E683:E688)</f>
        <v>11265.060000000001</v>
      </c>
      <c r="F689" s="560">
        <f>SUM(F683:F688)</f>
        <v>55791</v>
      </c>
      <c r="G689" s="560">
        <f>SUM(G683:G688)</f>
        <v>350.78000000000003</v>
      </c>
      <c r="H689" s="560">
        <f>SUM(H683:H688)</f>
        <v>351</v>
      </c>
      <c r="N689" s="554" t="s">
        <v>2668</v>
      </c>
      <c r="O689" s="555"/>
      <c r="P689" s="555"/>
      <c r="Q689" s="555">
        <f>SUM(Q683:Q688)</f>
        <v>23110</v>
      </c>
      <c r="R689" s="555">
        <f>SUM(R683:R688)</f>
        <v>21390</v>
      </c>
      <c r="S689" s="560">
        <f>SUM(S683:S688)</f>
        <v>2446.89</v>
      </c>
      <c r="T689" s="558">
        <f>SUM(T683:T688)</f>
        <v>16593</v>
      </c>
      <c r="U689" s="603">
        <f>SUM(S689)</f>
        <v>2446.89</v>
      </c>
      <c r="V689" s="603">
        <f>SUM(T689)</f>
        <v>16593</v>
      </c>
      <c r="W689" s="168">
        <f t="shared" si="10"/>
        <v>-14146.11</v>
      </c>
    </row>
    <row r="690" spans="1:23" ht="15.75" thickTop="1">
      <c r="B690" s="455"/>
      <c r="E690" s="150"/>
      <c r="O690" s="455"/>
      <c r="P690" s="455"/>
      <c r="Q690" s="455"/>
      <c r="R690" s="455"/>
      <c r="T690" s="523"/>
      <c r="W690" s="168">
        <f t="shared" si="10"/>
        <v>0</v>
      </c>
    </row>
    <row r="691" spans="1:23">
      <c r="A691" s="168" t="s">
        <v>374</v>
      </c>
      <c r="B691" s="455" t="s">
        <v>1549</v>
      </c>
      <c r="C691" s="455" t="s">
        <v>75</v>
      </c>
      <c r="D691" s="168" t="s">
        <v>458</v>
      </c>
      <c r="E691" s="150">
        <v>0</v>
      </c>
      <c r="F691" s="456">
        <v>70000</v>
      </c>
      <c r="G691" s="168">
        <v>89293.67</v>
      </c>
      <c r="H691" s="168">
        <v>89295</v>
      </c>
      <c r="N691" s="168" t="s">
        <v>374</v>
      </c>
      <c r="O691" s="455" t="s">
        <v>1549</v>
      </c>
      <c r="P691" s="455" t="s">
        <v>75</v>
      </c>
      <c r="Q691" s="455">
        <v>146823</v>
      </c>
      <c r="R691" s="455">
        <v>146823</v>
      </c>
      <c r="S691" s="168">
        <v>155507.85</v>
      </c>
      <c r="T691" s="523">
        <v>155507</v>
      </c>
      <c r="W691" s="168">
        <f t="shared" si="10"/>
        <v>0.85000000000582077</v>
      </c>
    </row>
    <row r="692" spans="1:23">
      <c r="A692" s="168" t="s">
        <v>375</v>
      </c>
      <c r="B692" s="455" t="s">
        <v>1549</v>
      </c>
      <c r="C692" s="455" t="s">
        <v>60</v>
      </c>
      <c r="D692" s="168" t="s">
        <v>458</v>
      </c>
      <c r="E692" s="150">
        <v>0</v>
      </c>
      <c r="F692" s="456">
        <v>5700</v>
      </c>
      <c r="G692" s="168">
        <v>10686.61</v>
      </c>
      <c r="H692" s="168">
        <v>10687</v>
      </c>
      <c r="N692" s="168" t="s">
        <v>375</v>
      </c>
      <c r="O692" s="455" t="s">
        <v>1549</v>
      </c>
      <c r="P692" s="455" t="s">
        <v>60</v>
      </c>
      <c r="Q692" s="455">
        <v>12240</v>
      </c>
      <c r="R692" s="455">
        <v>12240</v>
      </c>
      <c r="S692" s="168">
        <v>12408.69</v>
      </c>
      <c r="T692" s="523">
        <v>12408</v>
      </c>
      <c r="W692" s="168">
        <f t="shared" si="10"/>
        <v>0.69000000000050932</v>
      </c>
    </row>
    <row r="693" spans="1:23">
      <c r="A693" s="168" t="s">
        <v>2718</v>
      </c>
      <c r="B693" s="455"/>
      <c r="E693" s="150"/>
      <c r="G693" s="168">
        <v>3424</v>
      </c>
      <c r="H693" s="168">
        <v>3424</v>
      </c>
      <c r="N693" s="168" t="s">
        <v>2718</v>
      </c>
      <c r="O693" s="455"/>
      <c r="P693" s="455"/>
      <c r="Q693" s="455">
        <v>5136</v>
      </c>
      <c r="R693" s="455">
        <v>5136</v>
      </c>
      <c r="S693" s="168">
        <v>3831.18</v>
      </c>
      <c r="T693" s="523">
        <v>3832</v>
      </c>
      <c r="W693" s="168">
        <f t="shared" si="10"/>
        <v>-0.82000000000016371</v>
      </c>
    </row>
    <row r="694" spans="1:23">
      <c r="A694" s="168" t="s">
        <v>2719</v>
      </c>
      <c r="B694" s="455"/>
      <c r="E694" s="150"/>
      <c r="G694" s="168">
        <v>14652.9</v>
      </c>
      <c r="H694" s="168">
        <v>14652</v>
      </c>
      <c r="N694" s="168" t="s">
        <v>2719</v>
      </c>
      <c r="O694" s="455"/>
      <c r="P694" s="455"/>
      <c r="Q694" s="455"/>
      <c r="R694" s="455"/>
      <c r="S694" s="168">
        <v>38376.720000000001</v>
      </c>
      <c r="T694" s="523">
        <v>38376</v>
      </c>
      <c r="W694" s="168">
        <f t="shared" si="10"/>
        <v>0.72000000000116415</v>
      </c>
    </row>
    <row r="695" spans="1:23">
      <c r="A695" s="168" t="s">
        <v>376</v>
      </c>
      <c r="B695" s="455" t="s">
        <v>1549</v>
      </c>
      <c r="C695" s="455" t="s">
        <v>575</v>
      </c>
      <c r="D695" s="168" t="s">
        <v>458</v>
      </c>
      <c r="E695" s="150">
        <v>0</v>
      </c>
      <c r="F695" s="456">
        <v>15000</v>
      </c>
      <c r="G695" s="168">
        <v>11756.4</v>
      </c>
      <c r="H695" s="168">
        <v>11756</v>
      </c>
      <c r="N695" s="168" t="s">
        <v>376</v>
      </c>
      <c r="O695" s="455" t="s">
        <v>1549</v>
      </c>
      <c r="P695" s="455" t="s">
        <v>575</v>
      </c>
      <c r="Q695" s="455">
        <v>24842</v>
      </c>
      <c r="R695" s="455">
        <v>24842</v>
      </c>
      <c r="S695" s="168">
        <v>19504.8</v>
      </c>
      <c r="T695" s="523">
        <v>19505</v>
      </c>
      <c r="W695" s="168">
        <f t="shared" si="10"/>
        <v>-0.2000000000007276</v>
      </c>
    </row>
    <row r="696" spans="1:23">
      <c r="A696" s="168" t="s">
        <v>377</v>
      </c>
      <c r="B696" s="455" t="s">
        <v>1549</v>
      </c>
      <c r="C696" s="455" t="s">
        <v>575</v>
      </c>
      <c r="D696" s="168" t="s">
        <v>458</v>
      </c>
      <c r="E696" s="150">
        <v>0</v>
      </c>
      <c r="F696" s="456">
        <v>15000</v>
      </c>
      <c r="G696" s="168">
        <v>19644.62</v>
      </c>
      <c r="H696" s="168">
        <v>19644</v>
      </c>
      <c r="N696" s="168" t="s">
        <v>377</v>
      </c>
      <c r="O696" s="455" t="s">
        <v>1549</v>
      </c>
      <c r="P696" s="455" t="s">
        <v>575</v>
      </c>
      <c r="Q696" s="455">
        <v>32314</v>
      </c>
      <c r="R696" s="455">
        <v>32314</v>
      </c>
      <c r="S696" s="168">
        <v>33732.629999999997</v>
      </c>
      <c r="T696" s="523">
        <v>33732</v>
      </c>
      <c r="W696" s="168">
        <f t="shared" si="10"/>
        <v>0.62999999999738066</v>
      </c>
    </row>
    <row r="697" spans="1:23">
      <c r="A697" s="168" t="s">
        <v>378</v>
      </c>
      <c r="B697" s="455" t="s">
        <v>1549</v>
      </c>
      <c r="C697" s="455" t="s">
        <v>575</v>
      </c>
      <c r="D697" s="168" t="s">
        <v>458</v>
      </c>
      <c r="E697" s="150">
        <v>0</v>
      </c>
      <c r="F697" s="456">
        <v>700</v>
      </c>
      <c r="G697" s="168">
        <v>987.23</v>
      </c>
      <c r="H697" s="168">
        <v>987</v>
      </c>
      <c r="N697" s="168" t="s">
        <v>378</v>
      </c>
      <c r="O697" s="455" t="s">
        <v>1549</v>
      </c>
      <c r="P697" s="455" t="s">
        <v>575</v>
      </c>
      <c r="Q697" s="455">
        <v>1469</v>
      </c>
      <c r="R697" s="455">
        <v>1469</v>
      </c>
      <c r="S697" s="168">
        <v>1497.36</v>
      </c>
      <c r="T697" s="523">
        <v>1497</v>
      </c>
      <c r="W697" s="168">
        <f t="shared" si="10"/>
        <v>0.35999999999989996</v>
      </c>
    </row>
    <row r="698" spans="1:23">
      <c r="A698" s="168" t="s">
        <v>379</v>
      </c>
      <c r="B698" s="455" t="s">
        <v>1549</v>
      </c>
      <c r="C698" s="455" t="s">
        <v>575</v>
      </c>
      <c r="D698" s="168" t="s">
        <v>458</v>
      </c>
      <c r="E698" s="150">
        <v>0</v>
      </c>
      <c r="F698" s="456">
        <v>1400</v>
      </c>
      <c r="G698" s="168">
        <v>1357.27</v>
      </c>
      <c r="H698" s="168">
        <v>1357</v>
      </c>
      <c r="N698" s="168" t="s">
        <v>379</v>
      </c>
      <c r="O698" s="455" t="s">
        <v>1549</v>
      </c>
      <c r="P698" s="455" t="s">
        <v>575</v>
      </c>
      <c r="Q698" s="455">
        <v>2247</v>
      </c>
      <c r="R698" s="455">
        <v>2247</v>
      </c>
      <c r="S698" s="168">
        <v>2312.67</v>
      </c>
      <c r="T698" s="523">
        <v>2312</v>
      </c>
      <c r="W698" s="168">
        <f t="shared" si="10"/>
        <v>0.67000000000007276</v>
      </c>
    </row>
    <row r="699" spans="1:23">
      <c r="A699" s="168" t="s">
        <v>380</v>
      </c>
      <c r="B699" s="455" t="s">
        <v>1549</v>
      </c>
      <c r="C699" s="455" t="s">
        <v>1807</v>
      </c>
      <c r="D699" s="168" t="s">
        <v>458</v>
      </c>
      <c r="E699" s="150">
        <v>0</v>
      </c>
      <c r="F699" s="456">
        <v>22</v>
      </c>
      <c r="G699" s="168">
        <v>27.6</v>
      </c>
      <c r="H699" s="168">
        <v>27</v>
      </c>
      <c r="N699" s="168" t="s">
        <v>380</v>
      </c>
      <c r="O699" s="455" t="s">
        <v>1549</v>
      </c>
      <c r="P699" s="455" t="s">
        <v>1807</v>
      </c>
      <c r="Q699" s="455">
        <v>41</v>
      </c>
      <c r="R699" s="455">
        <v>41</v>
      </c>
      <c r="S699" s="168">
        <v>45</v>
      </c>
      <c r="T699" s="523">
        <v>45</v>
      </c>
      <c r="W699" s="168">
        <f t="shared" si="10"/>
        <v>0</v>
      </c>
    </row>
    <row r="700" spans="1:23">
      <c r="A700" s="168" t="s">
        <v>381</v>
      </c>
      <c r="B700" s="455" t="s">
        <v>1553</v>
      </c>
      <c r="C700" s="455" t="s">
        <v>610</v>
      </c>
      <c r="D700" s="168" t="s">
        <v>458</v>
      </c>
      <c r="E700" s="150">
        <v>0</v>
      </c>
      <c r="F700" s="456">
        <v>0</v>
      </c>
      <c r="G700" s="168">
        <v>0</v>
      </c>
      <c r="H700" s="168">
        <v>0</v>
      </c>
      <c r="N700" s="168" t="s">
        <v>381</v>
      </c>
      <c r="O700" s="455" t="s">
        <v>1553</v>
      </c>
      <c r="P700" s="455" t="s">
        <v>610</v>
      </c>
      <c r="Q700" s="455">
        <v>2482</v>
      </c>
      <c r="R700" s="455">
        <v>2482</v>
      </c>
      <c r="S700" s="168">
        <v>0</v>
      </c>
      <c r="T700" s="523">
        <v>0</v>
      </c>
      <c r="W700" s="168">
        <f t="shared" si="10"/>
        <v>0</v>
      </c>
    </row>
    <row r="701" spans="1:23">
      <c r="A701" s="168" t="s">
        <v>382</v>
      </c>
      <c r="B701" s="455" t="s">
        <v>1553</v>
      </c>
      <c r="C701" s="455" t="s">
        <v>50</v>
      </c>
      <c r="D701" s="168" t="s">
        <v>458</v>
      </c>
      <c r="E701" s="150">
        <v>23694.11</v>
      </c>
      <c r="F701" s="456">
        <v>24000</v>
      </c>
      <c r="G701" s="168">
        <v>77153.039999999994</v>
      </c>
      <c r="H701" s="168">
        <v>77153</v>
      </c>
      <c r="N701" s="168" t="s">
        <v>382</v>
      </c>
      <c r="O701" s="455" t="s">
        <v>1553</v>
      </c>
      <c r="P701" s="455" t="s">
        <v>50</v>
      </c>
      <c r="Q701" s="455">
        <v>24879</v>
      </c>
      <c r="R701" s="455">
        <v>90000</v>
      </c>
      <c r="S701" s="168">
        <v>166189.49</v>
      </c>
      <c r="T701" s="523">
        <v>166189</v>
      </c>
      <c r="W701" s="168">
        <f t="shared" si="10"/>
        <v>0.48999999999068677</v>
      </c>
    </row>
    <row r="702" spans="1:23">
      <c r="A702" s="168" t="s">
        <v>383</v>
      </c>
      <c r="B702" s="455" t="s">
        <v>1553</v>
      </c>
      <c r="C702" s="455" t="s">
        <v>52</v>
      </c>
      <c r="D702" s="168" t="s">
        <v>458</v>
      </c>
      <c r="E702" s="150">
        <v>0</v>
      </c>
      <c r="F702" s="456">
        <v>5000</v>
      </c>
      <c r="G702" s="168">
        <v>0</v>
      </c>
      <c r="H702" s="168">
        <v>0</v>
      </c>
      <c r="N702" s="168" t="s">
        <v>383</v>
      </c>
      <c r="O702" s="455" t="s">
        <v>1553</v>
      </c>
      <c r="P702" s="455" t="s">
        <v>52</v>
      </c>
      <c r="Q702" s="455">
        <v>150869</v>
      </c>
      <c r="R702" s="455">
        <v>100000</v>
      </c>
      <c r="S702" s="168">
        <v>0</v>
      </c>
      <c r="T702" s="523">
        <v>0</v>
      </c>
      <c r="W702" s="168">
        <f t="shared" si="10"/>
        <v>0</v>
      </c>
    </row>
    <row r="703" spans="1:23">
      <c r="A703" s="168" t="s">
        <v>384</v>
      </c>
      <c r="B703" s="455" t="s">
        <v>1553</v>
      </c>
      <c r="C703" s="455" t="s">
        <v>458</v>
      </c>
      <c r="D703" s="168" t="s">
        <v>458</v>
      </c>
      <c r="E703" s="150">
        <v>0</v>
      </c>
      <c r="F703" s="456">
        <v>0</v>
      </c>
      <c r="G703" s="168">
        <v>0</v>
      </c>
      <c r="H703" s="168">
        <v>0</v>
      </c>
      <c r="N703" s="168" t="s">
        <v>384</v>
      </c>
      <c r="O703" s="455" t="s">
        <v>1553</v>
      </c>
      <c r="P703" s="455" t="s">
        <v>458</v>
      </c>
      <c r="Q703" s="455">
        <v>251449</v>
      </c>
      <c r="R703" s="455">
        <v>100000</v>
      </c>
      <c r="S703" s="168">
        <v>0</v>
      </c>
      <c r="T703" s="523">
        <v>0</v>
      </c>
      <c r="W703" s="168">
        <f t="shared" si="10"/>
        <v>0</v>
      </c>
    </row>
    <row r="704" spans="1:23">
      <c r="A704" s="168" t="s">
        <v>2720</v>
      </c>
      <c r="B704" s="455"/>
      <c r="E704" s="150"/>
      <c r="G704" s="168">
        <v>1503.07</v>
      </c>
      <c r="H704" s="168">
        <v>1503</v>
      </c>
      <c r="N704" s="168" t="s">
        <v>2720</v>
      </c>
      <c r="O704" s="455"/>
      <c r="P704" s="455"/>
      <c r="Q704" s="455">
        <v>450000</v>
      </c>
      <c r="R704" s="455"/>
      <c r="S704" s="168">
        <v>0</v>
      </c>
      <c r="T704" s="523">
        <v>0</v>
      </c>
      <c r="W704" s="168">
        <f t="shared" si="10"/>
        <v>0</v>
      </c>
    </row>
    <row r="705" spans="1:23" ht="15.75" thickBot="1">
      <c r="A705" s="168" t="s">
        <v>385</v>
      </c>
      <c r="B705" s="455" t="s">
        <v>1553</v>
      </c>
      <c r="C705" s="455" t="s">
        <v>458</v>
      </c>
      <c r="D705" s="168" t="s">
        <v>458</v>
      </c>
      <c r="E705" s="150">
        <v>245000</v>
      </c>
      <c r="F705" s="456">
        <v>245000</v>
      </c>
      <c r="G705" s="168">
        <v>0</v>
      </c>
      <c r="H705" s="168">
        <v>0</v>
      </c>
      <c r="N705" s="168" t="s">
        <v>385</v>
      </c>
      <c r="O705" s="455" t="s">
        <v>1553</v>
      </c>
      <c r="P705" s="455" t="s">
        <v>458</v>
      </c>
      <c r="Q705" s="455"/>
      <c r="R705" s="455">
        <v>245000</v>
      </c>
      <c r="S705" s="168">
        <v>0</v>
      </c>
      <c r="T705" s="523">
        <v>0</v>
      </c>
      <c r="W705" s="168">
        <f t="shared" si="10"/>
        <v>0</v>
      </c>
    </row>
    <row r="706" spans="1:23" ht="16.5" thickTop="1" thickBot="1">
      <c r="A706" s="554" t="s">
        <v>2668</v>
      </c>
      <c r="B706" s="555"/>
      <c r="C706" s="555"/>
      <c r="D706" s="556"/>
      <c r="E706" s="560">
        <f>SUM(E691:E705)</f>
        <v>268694.11</v>
      </c>
      <c r="F706" s="560">
        <f>SUM(F691:F705)</f>
        <v>381822</v>
      </c>
      <c r="G706" s="560">
        <f>SUM(G691:G705)</f>
        <v>230486.40999999997</v>
      </c>
      <c r="H706" s="560">
        <f>SUM(H691:H705)</f>
        <v>230485</v>
      </c>
      <c r="N706" s="554" t="s">
        <v>2668</v>
      </c>
      <c r="O706" s="555"/>
      <c r="P706" s="555"/>
      <c r="Q706" s="555">
        <f>SUM(Q691:Q705)</f>
        <v>1104791</v>
      </c>
      <c r="R706" s="555">
        <f>SUM(R691:R705)</f>
        <v>762594</v>
      </c>
      <c r="S706" s="560">
        <f>SUM(S691:S705)</f>
        <v>433406.38999999996</v>
      </c>
      <c r="T706" s="558">
        <f>SUM(T691:T705)</f>
        <v>433403</v>
      </c>
      <c r="U706" s="603">
        <f>SUM(S706)</f>
        <v>433406.38999999996</v>
      </c>
      <c r="V706" s="603">
        <f>SUM(T706)</f>
        <v>433403</v>
      </c>
      <c r="W706" s="168">
        <f t="shared" si="10"/>
        <v>3.3899999999557622</v>
      </c>
    </row>
    <row r="707" spans="1:23" ht="15.75" thickTop="1">
      <c r="B707" s="455"/>
      <c r="E707" s="150"/>
      <c r="O707" s="455"/>
      <c r="P707" s="455"/>
      <c r="Q707" s="455"/>
      <c r="R707" s="455"/>
      <c r="T707" s="523"/>
      <c r="W707" s="168">
        <f t="shared" si="10"/>
        <v>0</v>
      </c>
    </row>
    <row r="708" spans="1:23">
      <c r="B708" s="455"/>
      <c r="E708" s="150"/>
      <c r="N708" s="168" t="s">
        <v>1410</v>
      </c>
      <c r="O708" s="455"/>
      <c r="P708" s="455" t="s">
        <v>3739</v>
      </c>
      <c r="Q708" s="455"/>
      <c r="R708" s="455">
        <v>40232</v>
      </c>
      <c r="T708" s="523"/>
      <c r="W708" s="168">
        <f t="shared" si="10"/>
        <v>0</v>
      </c>
    </row>
    <row r="709" spans="1:23">
      <c r="A709" s="168" t="s">
        <v>1407</v>
      </c>
      <c r="B709" s="455" t="s">
        <v>1553</v>
      </c>
      <c r="C709" s="455" t="s">
        <v>610</v>
      </c>
      <c r="D709" s="168" t="s">
        <v>461</v>
      </c>
      <c r="E709" s="150">
        <v>2364.2800000000002</v>
      </c>
      <c r="F709" s="456">
        <v>2500</v>
      </c>
      <c r="G709" s="168">
        <v>0</v>
      </c>
      <c r="H709" s="168">
        <v>0</v>
      </c>
      <c r="N709" s="168" t="s">
        <v>1407</v>
      </c>
      <c r="O709" s="455" t="s">
        <v>1553</v>
      </c>
      <c r="P709" s="455" t="s">
        <v>610</v>
      </c>
      <c r="Q709" s="455">
        <v>5030</v>
      </c>
      <c r="R709" s="455">
        <v>5030</v>
      </c>
      <c r="S709" s="168">
        <v>0</v>
      </c>
      <c r="T709" s="523">
        <v>0</v>
      </c>
      <c r="W709" s="168">
        <f t="shared" ref="W709:W772" si="11">S709-T709</f>
        <v>0</v>
      </c>
    </row>
    <row r="710" spans="1:23">
      <c r="A710" s="168" t="s">
        <v>1408</v>
      </c>
      <c r="B710" s="455" t="s">
        <v>1553</v>
      </c>
      <c r="C710" s="455" t="s">
        <v>633</v>
      </c>
      <c r="D710" s="168" t="s">
        <v>461</v>
      </c>
      <c r="E710" s="150">
        <v>2714.82</v>
      </c>
      <c r="F710" s="456">
        <v>2750</v>
      </c>
      <c r="G710" s="168">
        <v>2077.02</v>
      </c>
      <c r="H710" s="168">
        <v>2078</v>
      </c>
      <c r="N710" s="168" t="s">
        <v>1408</v>
      </c>
      <c r="O710" s="455" t="s">
        <v>1553</v>
      </c>
      <c r="P710" s="455" t="s">
        <v>633</v>
      </c>
      <c r="Q710" s="455">
        <v>40232</v>
      </c>
      <c r="R710" s="455">
        <v>5000</v>
      </c>
      <c r="S710" s="168">
        <v>4215.54</v>
      </c>
      <c r="T710" s="523">
        <v>4023</v>
      </c>
      <c r="W710" s="462">
        <f t="shared" si="11"/>
        <v>192.53999999999996</v>
      </c>
    </row>
    <row r="711" spans="1:23">
      <c r="A711" s="168" t="s">
        <v>1409</v>
      </c>
      <c r="B711" s="455" t="s">
        <v>1553</v>
      </c>
      <c r="C711" s="455" t="s">
        <v>50</v>
      </c>
      <c r="D711" s="168" t="s">
        <v>461</v>
      </c>
      <c r="E711" s="150">
        <v>9657.2000000000007</v>
      </c>
      <c r="F711" s="456">
        <v>13000</v>
      </c>
      <c r="G711" s="168">
        <v>22611.47</v>
      </c>
      <c r="H711" s="168">
        <v>22611</v>
      </c>
      <c r="N711" s="168" t="s">
        <v>1409</v>
      </c>
      <c r="O711" s="455" t="s">
        <v>1553</v>
      </c>
      <c r="P711" s="455" t="s">
        <v>50</v>
      </c>
      <c r="Q711" s="455">
        <v>35203</v>
      </c>
      <c r="R711" s="455">
        <v>35203</v>
      </c>
      <c r="S711" s="168">
        <v>30438.09</v>
      </c>
      <c r="T711" s="523">
        <v>30439</v>
      </c>
      <c r="W711" s="168">
        <f t="shared" si="11"/>
        <v>-0.90999999999985448</v>
      </c>
    </row>
    <row r="712" spans="1:23" ht="15.75" thickBot="1">
      <c r="A712" s="168" t="s">
        <v>1410</v>
      </c>
      <c r="B712" s="455" t="s">
        <v>1553</v>
      </c>
      <c r="C712" s="455" t="s">
        <v>461</v>
      </c>
      <c r="D712" s="168" t="s">
        <v>461</v>
      </c>
      <c r="E712" s="150">
        <v>28827.5</v>
      </c>
      <c r="F712" s="456">
        <v>38000</v>
      </c>
      <c r="G712" s="168">
        <v>22650</v>
      </c>
      <c r="H712" s="168">
        <v>22650</v>
      </c>
      <c r="N712" s="168" t="s">
        <v>1410</v>
      </c>
      <c r="O712" s="455" t="s">
        <v>1553</v>
      </c>
      <c r="P712" s="455" t="s">
        <v>461</v>
      </c>
      <c r="Q712" s="455">
        <v>40232</v>
      </c>
      <c r="R712" s="455"/>
      <c r="S712" s="168">
        <v>27544.85</v>
      </c>
      <c r="T712" s="523">
        <v>27545</v>
      </c>
      <c r="W712" s="168">
        <f t="shared" si="11"/>
        <v>-0.15000000000145519</v>
      </c>
    </row>
    <row r="713" spans="1:23" ht="16.5" thickTop="1" thickBot="1">
      <c r="A713" s="554" t="s">
        <v>2668</v>
      </c>
      <c r="B713" s="555"/>
      <c r="C713" s="555"/>
      <c r="D713" s="556"/>
      <c r="E713" s="560">
        <f>SUM(E709:E712)</f>
        <v>43563.8</v>
      </c>
      <c r="F713" s="560">
        <f>SUM(F709:F712)</f>
        <v>56250</v>
      </c>
      <c r="G713" s="560">
        <f>SUM(G709:G712)</f>
        <v>47338.490000000005</v>
      </c>
      <c r="H713" s="560">
        <f>SUM(H709:H712)</f>
        <v>47339</v>
      </c>
      <c r="N713" s="554" t="s">
        <v>2668</v>
      </c>
      <c r="O713" s="555"/>
      <c r="P713" s="555"/>
      <c r="Q713" s="555">
        <f>SUM(Q709:Q712)</f>
        <v>120697</v>
      </c>
      <c r="R713" s="555">
        <f>SUM(R708:R712)</f>
        <v>85465</v>
      </c>
      <c r="S713" s="560">
        <f>SUM(S709:S712)</f>
        <v>62198.479999999996</v>
      </c>
      <c r="T713" s="558">
        <f>SUM(T709:T712)</f>
        <v>62007</v>
      </c>
      <c r="U713" s="603">
        <f>SUM(S713)</f>
        <v>62198.479999999996</v>
      </c>
      <c r="V713" s="603">
        <f>SUM(T713)</f>
        <v>62007</v>
      </c>
      <c r="W713" s="168">
        <f t="shared" si="11"/>
        <v>191.47999999999593</v>
      </c>
    </row>
    <row r="714" spans="1:23" ht="15.75" thickTop="1">
      <c r="B714" s="455"/>
      <c r="E714" s="150"/>
      <c r="O714" s="455"/>
      <c r="P714" s="455"/>
      <c r="Q714" s="455"/>
      <c r="R714" s="455"/>
      <c r="T714" s="523"/>
      <c r="W714" s="168">
        <f t="shared" si="11"/>
        <v>0</v>
      </c>
    </row>
    <row r="715" spans="1:23">
      <c r="B715" s="455"/>
      <c r="E715" s="150"/>
      <c r="O715" s="455"/>
      <c r="P715" s="455"/>
      <c r="Q715" s="455"/>
      <c r="R715" s="455"/>
      <c r="T715" s="523"/>
      <c r="W715" s="168">
        <f t="shared" si="11"/>
        <v>0</v>
      </c>
    </row>
    <row r="716" spans="1:23">
      <c r="B716" s="455"/>
      <c r="E716" s="150"/>
      <c r="N716" s="598" t="s">
        <v>3740</v>
      </c>
      <c r="O716" s="599" t="s">
        <v>1549</v>
      </c>
      <c r="P716" s="599" t="s">
        <v>75</v>
      </c>
      <c r="Q716" s="599">
        <v>334229</v>
      </c>
      <c r="R716" s="455"/>
      <c r="T716" s="523"/>
      <c r="W716" s="168">
        <f t="shared" si="11"/>
        <v>0</v>
      </c>
    </row>
    <row r="717" spans="1:23">
      <c r="B717" s="455"/>
      <c r="E717" s="150"/>
      <c r="N717" s="598" t="s">
        <v>3741</v>
      </c>
      <c r="O717" s="599"/>
      <c r="P717" s="599" t="s">
        <v>3765</v>
      </c>
      <c r="Q717" s="599">
        <v>15000</v>
      </c>
      <c r="R717" s="455"/>
      <c r="T717" s="523"/>
      <c r="W717" s="168">
        <f t="shared" si="11"/>
        <v>0</v>
      </c>
    </row>
    <row r="718" spans="1:23">
      <c r="B718" s="455"/>
      <c r="E718" s="150"/>
      <c r="N718" s="598" t="s">
        <v>3742</v>
      </c>
      <c r="O718" s="599"/>
      <c r="P718" s="599" t="s">
        <v>3766</v>
      </c>
      <c r="Q718" s="599">
        <v>27852</v>
      </c>
      <c r="R718" s="455"/>
      <c r="T718" s="523"/>
      <c r="W718" s="168">
        <f t="shared" si="11"/>
        <v>0</v>
      </c>
    </row>
    <row r="719" spans="1:23">
      <c r="B719" s="455"/>
      <c r="E719" s="150"/>
      <c r="N719" s="598"/>
      <c r="O719" s="599"/>
      <c r="P719" s="599"/>
      <c r="Q719" s="599">
        <v>74534</v>
      </c>
      <c r="R719" s="455"/>
      <c r="T719" s="523"/>
      <c r="W719" s="168">
        <f t="shared" si="11"/>
        <v>0</v>
      </c>
    </row>
    <row r="720" spans="1:23">
      <c r="B720" s="455"/>
      <c r="E720" s="150"/>
      <c r="N720" s="598"/>
      <c r="O720" s="599"/>
      <c r="P720" s="599"/>
      <c r="Q720" s="599">
        <v>73530</v>
      </c>
      <c r="R720" s="455"/>
      <c r="T720" s="523"/>
      <c r="W720" s="168">
        <f t="shared" si="11"/>
        <v>0</v>
      </c>
    </row>
    <row r="721" spans="1:23">
      <c r="B721" s="455"/>
      <c r="E721" s="150"/>
      <c r="N721" s="598"/>
      <c r="O721" s="599"/>
      <c r="P721" s="599"/>
      <c r="Q721" s="599">
        <v>3342</v>
      </c>
      <c r="R721" s="455"/>
      <c r="T721" s="523"/>
      <c r="W721" s="168">
        <f t="shared" si="11"/>
        <v>0</v>
      </c>
    </row>
    <row r="722" spans="1:23">
      <c r="B722" s="455"/>
      <c r="E722" s="150"/>
      <c r="N722" s="598"/>
      <c r="O722" s="599"/>
      <c r="P722" s="599"/>
      <c r="Q722" s="599">
        <v>2569</v>
      </c>
      <c r="R722" s="455"/>
      <c r="T722" s="523"/>
      <c r="W722" s="168">
        <f t="shared" si="11"/>
        <v>0</v>
      </c>
    </row>
    <row r="723" spans="1:23">
      <c r="B723" s="455"/>
      <c r="E723" s="150"/>
      <c r="N723" s="598"/>
      <c r="O723" s="599"/>
      <c r="P723" s="599"/>
      <c r="Q723" s="599"/>
      <c r="R723" s="455"/>
      <c r="T723" s="523"/>
      <c r="W723" s="168">
        <f t="shared" si="11"/>
        <v>0</v>
      </c>
    </row>
    <row r="724" spans="1:23">
      <c r="B724" s="455"/>
      <c r="E724" s="150"/>
      <c r="N724" s="598"/>
      <c r="O724" s="599"/>
      <c r="P724" s="599"/>
      <c r="Q724" s="599"/>
      <c r="R724" s="455"/>
      <c r="T724" s="523"/>
      <c r="W724" s="168">
        <f t="shared" si="11"/>
        <v>0</v>
      </c>
    </row>
    <row r="725" spans="1:23">
      <c r="A725" s="168" t="s">
        <v>1411</v>
      </c>
      <c r="B725" s="455" t="s">
        <v>1553</v>
      </c>
      <c r="C725" s="455" t="s">
        <v>612</v>
      </c>
      <c r="D725" s="168" t="s">
        <v>1240</v>
      </c>
      <c r="E725" s="150">
        <v>0</v>
      </c>
      <c r="F725" s="456">
        <v>0</v>
      </c>
      <c r="G725" s="168">
        <v>411.43</v>
      </c>
      <c r="H725" s="168">
        <v>411</v>
      </c>
      <c r="N725" s="598" t="s">
        <v>1411</v>
      </c>
      <c r="O725" s="599" t="s">
        <v>1553</v>
      </c>
      <c r="P725" s="599" t="s">
        <v>612</v>
      </c>
      <c r="Q725" s="599">
        <v>15000</v>
      </c>
      <c r="R725" s="455">
        <v>15000</v>
      </c>
      <c r="S725" s="168">
        <v>0</v>
      </c>
      <c r="T725" s="523">
        <v>0</v>
      </c>
      <c r="W725" s="168">
        <f t="shared" si="11"/>
        <v>0</v>
      </c>
    </row>
    <row r="726" spans="1:23">
      <c r="A726" s="168" t="s">
        <v>1412</v>
      </c>
      <c r="B726" s="455" t="s">
        <v>1553</v>
      </c>
      <c r="C726" s="455" t="s">
        <v>616</v>
      </c>
      <c r="D726" s="168" t="s">
        <v>1240</v>
      </c>
      <c r="E726" s="150">
        <v>611.74</v>
      </c>
      <c r="F726" s="456">
        <v>700</v>
      </c>
      <c r="G726" s="168">
        <v>292.42</v>
      </c>
      <c r="H726" s="168">
        <v>292</v>
      </c>
      <c r="N726" s="168" t="s">
        <v>1412</v>
      </c>
      <c r="O726" s="455" t="s">
        <v>1553</v>
      </c>
      <c r="P726" s="455" t="s">
        <v>616</v>
      </c>
      <c r="Q726" s="455">
        <v>360</v>
      </c>
      <c r="R726" s="455">
        <v>198</v>
      </c>
      <c r="S726" s="168">
        <v>0</v>
      </c>
      <c r="T726" s="523">
        <v>0</v>
      </c>
      <c r="W726" s="168">
        <f t="shared" si="11"/>
        <v>0</v>
      </c>
    </row>
    <row r="727" spans="1:23">
      <c r="A727" s="168" t="s">
        <v>1413</v>
      </c>
      <c r="B727" s="455" t="s">
        <v>1553</v>
      </c>
      <c r="C727" s="455" t="s">
        <v>631</v>
      </c>
      <c r="D727" s="168" t="s">
        <v>1240</v>
      </c>
      <c r="E727" s="150">
        <v>0</v>
      </c>
      <c r="F727" s="456">
        <v>0</v>
      </c>
      <c r="G727" s="168">
        <v>0</v>
      </c>
      <c r="H727" s="168">
        <v>0</v>
      </c>
      <c r="N727" s="168" t="s">
        <v>1413</v>
      </c>
      <c r="O727" s="455" t="s">
        <v>1553</v>
      </c>
      <c r="P727" s="455" t="s">
        <v>631</v>
      </c>
      <c r="Q727" s="455">
        <v>1369</v>
      </c>
      <c r="R727" s="455">
        <v>755</v>
      </c>
      <c r="S727" s="168">
        <v>0</v>
      </c>
      <c r="T727" s="523">
        <v>0</v>
      </c>
      <c r="W727" s="168">
        <f t="shared" si="11"/>
        <v>0</v>
      </c>
    </row>
    <row r="728" spans="1:23">
      <c r="A728" s="168" t="s">
        <v>1414</v>
      </c>
      <c r="B728" s="455" t="s">
        <v>1553</v>
      </c>
      <c r="C728" s="455" t="s">
        <v>633</v>
      </c>
      <c r="D728" s="168" t="s">
        <v>1240</v>
      </c>
      <c r="E728" s="150">
        <v>52.49</v>
      </c>
      <c r="F728" s="456">
        <v>100</v>
      </c>
      <c r="G728" s="168">
        <v>1060.2</v>
      </c>
      <c r="H728" s="168">
        <v>1061</v>
      </c>
      <c r="N728" s="168" t="s">
        <v>1414</v>
      </c>
      <c r="O728" s="455" t="s">
        <v>1553</v>
      </c>
      <c r="P728" s="455" t="s">
        <v>633</v>
      </c>
      <c r="Q728" s="455">
        <v>31</v>
      </c>
      <c r="R728" s="455">
        <v>17</v>
      </c>
      <c r="S728" s="168">
        <v>246.97</v>
      </c>
      <c r="T728" s="523">
        <v>239</v>
      </c>
      <c r="W728" s="168">
        <f t="shared" si="11"/>
        <v>7.9699999999999989</v>
      </c>
    </row>
    <row r="729" spans="1:23">
      <c r="A729" s="168" t="s">
        <v>1415</v>
      </c>
      <c r="B729" s="455" t="s">
        <v>1553</v>
      </c>
      <c r="C729" s="455" t="s">
        <v>253</v>
      </c>
      <c r="D729" s="168" t="s">
        <v>1240</v>
      </c>
      <c r="E729" s="150">
        <v>0</v>
      </c>
      <c r="F729" s="456">
        <v>0</v>
      </c>
      <c r="G729" s="168">
        <v>0</v>
      </c>
      <c r="H729" s="168">
        <v>0</v>
      </c>
      <c r="N729" s="168" t="s">
        <v>1415</v>
      </c>
      <c r="O729" s="455" t="s">
        <v>1553</v>
      </c>
      <c r="P729" s="455" t="s">
        <v>253</v>
      </c>
      <c r="Q729" s="455"/>
      <c r="R729" s="455"/>
      <c r="S729" s="168">
        <v>0</v>
      </c>
      <c r="T729" s="523">
        <v>0</v>
      </c>
      <c r="W729" s="168">
        <f t="shared" si="11"/>
        <v>0</v>
      </c>
    </row>
    <row r="730" spans="1:23">
      <c r="A730" s="168" t="s">
        <v>1416</v>
      </c>
      <c r="B730" s="455" t="s">
        <v>1553</v>
      </c>
      <c r="C730" s="455" t="s">
        <v>50</v>
      </c>
      <c r="D730" s="168" t="s">
        <v>1240</v>
      </c>
      <c r="E730" s="150">
        <v>3067.51</v>
      </c>
      <c r="F730" s="456">
        <v>4000</v>
      </c>
      <c r="G730" s="168">
        <v>6477.4</v>
      </c>
      <c r="H730" s="168">
        <v>6478</v>
      </c>
      <c r="N730" s="168" t="s">
        <v>1416</v>
      </c>
      <c r="O730" s="455" t="s">
        <v>1553</v>
      </c>
      <c r="P730" s="455" t="s">
        <v>50</v>
      </c>
      <c r="Q730" s="455">
        <v>15000</v>
      </c>
      <c r="R730" s="455">
        <v>11025</v>
      </c>
      <c r="S730" s="168">
        <v>457.14</v>
      </c>
      <c r="T730" s="523">
        <v>458</v>
      </c>
      <c r="W730" s="168">
        <f t="shared" si="11"/>
        <v>-0.86000000000001364</v>
      </c>
    </row>
    <row r="731" spans="1:23">
      <c r="A731" s="168" t="s">
        <v>1417</v>
      </c>
      <c r="B731" s="455" t="s">
        <v>1553</v>
      </c>
      <c r="C731" s="455" t="s">
        <v>52</v>
      </c>
      <c r="D731" s="168" t="s">
        <v>1240</v>
      </c>
      <c r="E731" s="150">
        <v>0</v>
      </c>
      <c r="F731" s="456">
        <v>4200</v>
      </c>
      <c r="G731" s="168">
        <v>0</v>
      </c>
      <c r="H731" s="168">
        <v>0</v>
      </c>
      <c r="N731" s="168" t="s">
        <v>1417</v>
      </c>
      <c r="O731" s="455" t="s">
        <v>1553</v>
      </c>
      <c r="P731" s="455" t="s">
        <v>52</v>
      </c>
      <c r="Q731" s="455">
        <v>67</v>
      </c>
      <c r="R731" s="455">
        <v>37</v>
      </c>
      <c r="S731" s="168">
        <v>0</v>
      </c>
      <c r="T731" s="523">
        <v>0</v>
      </c>
      <c r="W731" s="168">
        <f t="shared" si="11"/>
        <v>0</v>
      </c>
    </row>
    <row r="732" spans="1:23" ht="15.75" thickBot="1">
      <c r="A732" s="168" t="s">
        <v>1418</v>
      </c>
      <c r="B732" s="455" t="s">
        <v>1553</v>
      </c>
      <c r="C732" s="455" t="s">
        <v>52</v>
      </c>
      <c r="D732" s="168" t="s">
        <v>1240</v>
      </c>
      <c r="E732" s="150">
        <v>0</v>
      </c>
      <c r="F732" s="456">
        <v>0</v>
      </c>
      <c r="G732" s="168">
        <v>0</v>
      </c>
      <c r="H732" s="168">
        <v>0</v>
      </c>
      <c r="N732" s="168" t="s">
        <v>1418</v>
      </c>
      <c r="O732" s="455" t="s">
        <v>1553</v>
      </c>
      <c r="P732" s="455" t="s">
        <v>52</v>
      </c>
      <c r="Q732" s="455"/>
      <c r="R732" s="455"/>
      <c r="S732" s="168">
        <v>0</v>
      </c>
      <c r="T732" s="523">
        <v>0</v>
      </c>
      <c r="W732" s="168">
        <f t="shared" si="11"/>
        <v>0</v>
      </c>
    </row>
    <row r="733" spans="1:23" ht="16.5" thickTop="1" thickBot="1">
      <c r="A733" s="554" t="s">
        <v>2668</v>
      </c>
      <c r="B733" s="555"/>
      <c r="C733" s="555"/>
      <c r="D733" s="556"/>
      <c r="E733" s="560">
        <f>SUM(E725:E732)</f>
        <v>3731.7400000000002</v>
      </c>
      <c r="F733" s="560">
        <f>SUM(F725:F732)</f>
        <v>9000</v>
      </c>
      <c r="G733" s="560">
        <f>SUM(G725:G732)</f>
        <v>8241.4500000000007</v>
      </c>
      <c r="H733" s="560">
        <f>SUM(H725:H732)</f>
        <v>8242</v>
      </c>
      <c r="N733" s="554" t="s">
        <v>2668</v>
      </c>
      <c r="O733" s="555"/>
      <c r="P733" s="555"/>
      <c r="Q733" s="555">
        <f>SUM(Q716:Q732)</f>
        <v>562883</v>
      </c>
      <c r="R733" s="555">
        <f>SUM(R715:R732)</f>
        <v>27032</v>
      </c>
      <c r="S733" s="560">
        <f>SUM(S725:S732)</f>
        <v>704.11</v>
      </c>
      <c r="T733" s="558">
        <f>SUM(T725:T732)</f>
        <v>697</v>
      </c>
      <c r="U733" s="603">
        <f>SUM(S733)</f>
        <v>704.11</v>
      </c>
      <c r="V733" s="603">
        <f>SUM(T733)</f>
        <v>697</v>
      </c>
      <c r="W733" s="168">
        <f t="shared" si="11"/>
        <v>7.1100000000000136</v>
      </c>
    </row>
    <row r="734" spans="1:23" ht="15.75" thickTop="1">
      <c r="B734" s="455"/>
      <c r="E734" s="150"/>
      <c r="O734" s="455"/>
      <c r="P734" s="455"/>
      <c r="Q734" s="455"/>
      <c r="R734" s="455"/>
      <c r="T734" s="523"/>
      <c r="W734" s="168">
        <f t="shared" si="11"/>
        <v>0</v>
      </c>
    </row>
    <row r="735" spans="1:23">
      <c r="A735" s="168" t="s">
        <v>1419</v>
      </c>
      <c r="B735" s="455" t="s">
        <v>1553</v>
      </c>
      <c r="C735" s="455" t="s">
        <v>612</v>
      </c>
      <c r="D735" s="168" t="s">
        <v>1577</v>
      </c>
      <c r="E735" s="150">
        <v>0</v>
      </c>
      <c r="F735" s="456">
        <v>0</v>
      </c>
      <c r="G735" s="168">
        <v>16000</v>
      </c>
      <c r="H735" s="168">
        <v>16000</v>
      </c>
      <c r="N735" s="168" t="s">
        <v>1419</v>
      </c>
      <c r="O735" s="455" t="s">
        <v>1553</v>
      </c>
      <c r="P735" s="455" t="s">
        <v>612</v>
      </c>
      <c r="Q735" s="455">
        <v>30000</v>
      </c>
      <c r="R735" s="455">
        <v>10000</v>
      </c>
      <c r="S735" s="168">
        <v>3085</v>
      </c>
      <c r="T735" s="523">
        <v>3085</v>
      </c>
      <c r="W735" s="168">
        <f t="shared" si="11"/>
        <v>0</v>
      </c>
    </row>
    <row r="736" spans="1:23">
      <c r="A736" s="168" t="s">
        <v>1420</v>
      </c>
      <c r="B736" s="455" t="s">
        <v>1553</v>
      </c>
      <c r="C736" s="455" t="s">
        <v>616</v>
      </c>
      <c r="D736" s="168" t="s">
        <v>1577</v>
      </c>
      <c r="E736" s="150">
        <v>82.5</v>
      </c>
      <c r="F736" s="456">
        <v>100</v>
      </c>
      <c r="G736" s="168">
        <v>0</v>
      </c>
      <c r="H736" s="168">
        <v>0</v>
      </c>
      <c r="N736" s="168" t="s">
        <v>1420</v>
      </c>
      <c r="O736" s="455" t="s">
        <v>1553</v>
      </c>
      <c r="P736" s="455" t="s">
        <v>616</v>
      </c>
      <c r="Q736" s="455">
        <v>2190</v>
      </c>
      <c r="R736" s="455">
        <v>1000</v>
      </c>
      <c r="S736" s="168">
        <v>0</v>
      </c>
      <c r="T736" s="523">
        <v>0</v>
      </c>
      <c r="W736" s="168">
        <f t="shared" si="11"/>
        <v>0</v>
      </c>
    </row>
    <row r="737" spans="1:23">
      <c r="A737" s="168" t="s">
        <v>1421</v>
      </c>
      <c r="B737" s="455" t="s">
        <v>1553</v>
      </c>
      <c r="C737" s="455" t="s">
        <v>631</v>
      </c>
      <c r="D737" s="168" t="s">
        <v>1577</v>
      </c>
      <c r="E737" s="150">
        <v>0</v>
      </c>
      <c r="F737" s="456">
        <v>0</v>
      </c>
      <c r="G737" s="168">
        <v>0</v>
      </c>
      <c r="H737" s="168">
        <v>0</v>
      </c>
      <c r="N737" s="168" t="s">
        <v>1421</v>
      </c>
      <c r="O737" s="455" t="s">
        <v>1553</v>
      </c>
      <c r="P737" s="455" t="s">
        <v>631</v>
      </c>
      <c r="Q737" s="455">
        <v>1081</v>
      </c>
      <c r="R737" s="455">
        <v>596</v>
      </c>
      <c r="S737" s="168">
        <v>0</v>
      </c>
      <c r="T737" s="523">
        <v>0</v>
      </c>
      <c r="W737" s="168">
        <f t="shared" si="11"/>
        <v>0</v>
      </c>
    </row>
    <row r="738" spans="1:23">
      <c r="A738" s="168" t="s">
        <v>1422</v>
      </c>
      <c r="B738" s="455" t="s">
        <v>1553</v>
      </c>
      <c r="C738" s="455" t="s">
        <v>633</v>
      </c>
      <c r="D738" s="168" t="s">
        <v>1577</v>
      </c>
      <c r="E738" s="150">
        <v>2902.44</v>
      </c>
      <c r="F738" s="456">
        <v>3000</v>
      </c>
      <c r="G738" s="168">
        <v>0</v>
      </c>
      <c r="H738" s="168">
        <v>0</v>
      </c>
      <c r="N738" s="168" t="s">
        <v>1422</v>
      </c>
      <c r="O738" s="455" t="s">
        <v>1553</v>
      </c>
      <c r="P738" s="455" t="s">
        <v>633</v>
      </c>
      <c r="Q738" s="455">
        <v>1708</v>
      </c>
      <c r="R738" s="455">
        <v>942</v>
      </c>
      <c r="S738" s="168">
        <v>0</v>
      </c>
      <c r="T738" s="523">
        <v>0</v>
      </c>
      <c r="W738" s="168">
        <f t="shared" si="11"/>
        <v>0</v>
      </c>
    </row>
    <row r="739" spans="1:23">
      <c r="A739" s="168" t="s">
        <v>1423</v>
      </c>
      <c r="B739" s="455" t="s">
        <v>1553</v>
      </c>
      <c r="C739" s="455" t="s">
        <v>253</v>
      </c>
      <c r="D739" s="168" t="s">
        <v>1577</v>
      </c>
      <c r="E739" s="150">
        <v>0</v>
      </c>
      <c r="F739" s="456">
        <v>0</v>
      </c>
      <c r="G739" s="168">
        <v>0</v>
      </c>
      <c r="H739" s="168">
        <v>0</v>
      </c>
      <c r="N739" s="168" t="s">
        <v>1423</v>
      </c>
      <c r="O739" s="455" t="s">
        <v>1553</v>
      </c>
      <c r="P739" s="455" t="s">
        <v>253</v>
      </c>
      <c r="Q739" s="455"/>
      <c r="R739" s="455"/>
      <c r="S739" s="168">
        <v>0</v>
      </c>
      <c r="T739" s="523">
        <v>0</v>
      </c>
      <c r="W739" s="168">
        <f t="shared" si="11"/>
        <v>0</v>
      </c>
    </row>
    <row r="740" spans="1:23">
      <c r="A740" s="168" t="s">
        <v>1424</v>
      </c>
      <c r="B740" s="455" t="s">
        <v>1553</v>
      </c>
      <c r="C740" s="455" t="s">
        <v>50</v>
      </c>
      <c r="D740" s="168" t="s">
        <v>1577</v>
      </c>
      <c r="E740" s="150">
        <v>0</v>
      </c>
      <c r="F740" s="456">
        <v>8900</v>
      </c>
      <c r="G740" s="168">
        <v>548.57000000000005</v>
      </c>
      <c r="H740" s="168">
        <v>549</v>
      </c>
      <c r="N740" s="168" t="s">
        <v>1424</v>
      </c>
      <c r="O740" s="455" t="s">
        <v>1553</v>
      </c>
      <c r="P740" s="455" t="s">
        <v>50</v>
      </c>
      <c r="Q740" s="455">
        <v>40000</v>
      </c>
      <c r="R740" s="455">
        <v>7000</v>
      </c>
      <c r="S740" s="168">
        <v>3030.67</v>
      </c>
      <c r="T740" s="523">
        <v>3031</v>
      </c>
      <c r="W740" s="168">
        <f t="shared" si="11"/>
        <v>-0.32999999999992724</v>
      </c>
    </row>
    <row r="741" spans="1:23">
      <c r="A741" s="168" t="s">
        <v>1425</v>
      </c>
      <c r="B741" s="455" t="s">
        <v>1553</v>
      </c>
      <c r="C741" s="455" t="s">
        <v>52</v>
      </c>
      <c r="D741" s="168" t="s">
        <v>1577</v>
      </c>
      <c r="E741" s="150">
        <v>0</v>
      </c>
      <c r="F741" s="456">
        <v>0</v>
      </c>
      <c r="G741" s="168">
        <v>0</v>
      </c>
      <c r="H741" s="168">
        <v>0</v>
      </c>
      <c r="N741" s="168" t="s">
        <v>1425</v>
      </c>
      <c r="O741" s="455" t="s">
        <v>1553</v>
      </c>
      <c r="P741" s="455" t="s">
        <v>52</v>
      </c>
      <c r="Q741" s="455"/>
      <c r="R741" s="455"/>
      <c r="S741" s="168">
        <v>0</v>
      </c>
      <c r="T741" s="523">
        <v>0</v>
      </c>
      <c r="W741" s="168">
        <f t="shared" si="11"/>
        <v>0</v>
      </c>
    </row>
    <row r="742" spans="1:23" ht="15.75" thickBot="1">
      <c r="A742" s="168" t="s">
        <v>1426</v>
      </c>
      <c r="B742" s="455" t="s">
        <v>1553</v>
      </c>
      <c r="C742" s="455" t="s">
        <v>52</v>
      </c>
      <c r="D742" s="168" t="s">
        <v>1577</v>
      </c>
      <c r="E742" s="150">
        <v>0</v>
      </c>
      <c r="F742" s="456">
        <v>0</v>
      </c>
      <c r="G742" s="168">
        <v>0</v>
      </c>
      <c r="H742" s="168">
        <v>0</v>
      </c>
      <c r="N742" s="168" t="s">
        <v>1426</v>
      </c>
      <c r="O742" s="455" t="s">
        <v>1553</v>
      </c>
      <c r="P742" s="455" t="s">
        <v>52</v>
      </c>
      <c r="Q742" s="455"/>
      <c r="R742" s="455"/>
      <c r="S742" s="168">
        <v>0</v>
      </c>
      <c r="T742" s="523">
        <v>0</v>
      </c>
      <c r="W742" s="168">
        <f t="shared" si="11"/>
        <v>0</v>
      </c>
    </row>
    <row r="743" spans="1:23" ht="16.5" thickTop="1" thickBot="1">
      <c r="A743" s="554" t="s">
        <v>2668</v>
      </c>
      <c r="B743" s="555"/>
      <c r="C743" s="555"/>
      <c r="D743" s="556"/>
      <c r="E743" s="560">
        <f>SUM(E735:E742)</f>
        <v>2984.94</v>
      </c>
      <c r="F743" s="560">
        <f>SUM(F735:F742)</f>
        <v>12000</v>
      </c>
      <c r="G743" s="560">
        <f>SUM(G735:G742)</f>
        <v>16548.57</v>
      </c>
      <c r="H743" s="560">
        <f>SUM(H735:H742)</f>
        <v>16549</v>
      </c>
      <c r="N743" s="554" t="s">
        <v>2668</v>
      </c>
      <c r="O743" s="555"/>
      <c r="P743" s="555"/>
      <c r="Q743" s="555">
        <f>SUM(Q735:Q742)</f>
        <v>74979</v>
      </c>
      <c r="R743" s="555">
        <f>SUM(R735:R742)</f>
        <v>19538</v>
      </c>
      <c r="S743" s="560">
        <f>SUM(S735:S742)</f>
        <v>6115.67</v>
      </c>
      <c r="T743" s="558">
        <f>SUM(T735:T742)</f>
        <v>6116</v>
      </c>
      <c r="U743" s="603">
        <f>SUM(S743)</f>
        <v>6115.67</v>
      </c>
      <c r="V743" s="603">
        <f>SUM(T743)</f>
        <v>6116</v>
      </c>
      <c r="W743" s="168">
        <f t="shared" si="11"/>
        <v>-0.32999999999992724</v>
      </c>
    </row>
    <row r="744" spans="1:23" ht="15.75" thickTop="1">
      <c r="B744" s="455"/>
      <c r="E744" s="150"/>
      <c r="O744" s="455"/>
      <c r="P744" s="455"/>
      <c r="Q744" s="455"/>
      <c r="R744" s="455"/>
      <c r="T744" s="523"/>
      <c r="W744" s="168">
        <f t="shared" si="11"/>
        <v>0</v>
      </c>
    </row>
    <row r="745" spans="1:23">
      <c r="B745" s="455"/>
      <c r="E745" s="150"/>
      <c r="N745" s="168" t="s">
        <v>3743</v>
      </c>
      <c r="O745" s="455"/>
      <c r="P745" s="455"/>
      <c r="Q745" s="455">
        <v>112511</v>
      </c>
      <c r="R745" s="455"/>
      <c r="T745" s="523"/>
      <c r="W745" s="168">
        <f t="shared" si="11"/>
        <v>0</v>
      </c>
    </row>
    <row r="746" spans="1:23">
      <c r="B746" s="455"/>
      <c r="E746" s="150"/>
      <c r="O746" s="455"/>
      <c r="P746" s="455"/>
      <c r="Q746" s="455">
        <v>10000</v>
      </c>
      <c r="R746" s="455"/>
      <c r="T746" s="523"/>
      <c r="W746" s="168">
        <f t="shared" si="11"/>
        <v>0</v>
      </c>
    </row>
    <row r="747" spans="1:23">
      <c r="B747" s="455"/>
      <c r="E747" s="150"/>
      <c r="O747" s="455"/>
      <c r="P747" s="455"/>
      <c r="Q747" s="455">
        <v>9376</v>
      </c>
      <c r="R747" s="455"/>
      <c r="T747" s="523"/>
      <c r="W747" s="168">
        <f t="shared" si="11"/>
        <v>0</v>
      </c>
    </row>
    <row r="748" spans="1:23">
      <c r="B748" s="455"/>
      <c r="E748" s="150"/>
      <c r="O748" s="455"/>
      <c r="P748" s="455"/>
      <c r="Q748" s="455">
        <v>8444</v>
      </c>
      <c r="R748" s="455"/>
      <c r="T748" s="523"/>
      <c r="W748" s="168">
        <f t="shared" si="11"/>
        <v>0</v>
      </c>
    </row>
    <row r="749" spans="1:23">
      <c r="B749" s="455"/>
      <c r="E749" s="150"/>
      <c r="O749" s="455"/>
      <c r="P749" s="455"/>
      <c r="Q749" s="455">
        <v>24842</v>
      </c>
      <c r="R749" s="455"/>
      <c r="T749" s="523"/>
      <c r="W749" s="168">
        <f t="shared" si="11"/>
        <v>0</v>
      </c>
    </row>
    <row r="750" spans="1:23">
      <c r="B750" s="455"/>
      <c r="E750" s="150"/>
      <c r="O750" s="455"/>
      <c r="P750" s="455"/>
      <c r="Q750" s="455">
        <v>24752</v>
      </c>
      <c r="R750" s="455"/>
      <c r="T750" s="523"/>
      <c r="W750" s="168">
        <f t="shared" si="11"/>
        <v>0</v>
      </c>
    </row>
    <row r="751" spans="1:23">
      <c r="B751" s="455"/>
      <c r="E751" s="150"/>
      <c r="O751" s="455"/>
      <c r="P751" s="455"/>
      <c r="Q751" s="455">
        <v>1125</v>
      </c>
      <c r="R751" s="455"/>
      <c r="T751" s="523"/>
      <c r="W751" s="168">
        <f t="shared" si="11"/>
        <v>0</v>
      </c>
    </row>
    <row r="752" spans="1:23">
      <c r="B752" s="455"/>
      <c r="E752" s="150"/>
      <c r="O752" s="455"/>
      <c r="P752" s="455"/>
      <c r="Q752" s="455">
        <v>1721</v>
      </c>
      <c r="R752" s="455"/>
      <c r="T752" s="523"/>
      <c r="W752" s="168">
        <f t="shared" si="11"/>
        <v>0</v>
      </c>
    </row>
    <row r="753" spans="1:23">
      <c r="B753" s="455"/>
      <c r="E753" s="150"/>
      <c r="O753" s="455"/>
      <c r="P753" s="455"/>
      <c r="Q753" s="455"/>
      <c r="R753" s="455"/>
      <c r="T753" s="523"/>
      <c r="W753" s="168">
        <f t="shared" si="11"/>
        <v>0</v>
      </c>
    </row>
    <row r="754" spans="1:23">
      <c r="B754" s="455"/>
      <c r="E754" s="150"/>
      <c r="O754" s="455"/>
      <c r="P754" s="455"/>
      <c r="Q754" s="455"/>
      <c r="R754" s="455"/>
      <c r="T754" s="523"/>
      <c r="W754" s="168">
        <f t="shared" si="11"/>
        <v>0</v>
      </c>
    </row>
    <row r="755" spans="1:23">
      <c r="A755" s="168" t="s">
        <v>1427</v>
      </c>
      <c r="B755" s="455" t="s">
        <v>1553</v>
      </c>
      <c r="C755" s="455" t="s">
        <v>612</v>
      </c>
      <c r="D755" s="168" t="s">
        <v>1578</v>
      </c>
      <c r="E755" s="150">
        <v>0</v>
      </c>
      <c r="F755" s="456">
        <v>0</v>
      </c>
      <c r="G755" s="168">
        <v>0</v>
      </c>
      <c r="H755" s="168">
        <v>0</v>
      </c>
      <c r="N755" s="168" t="s">
        <v>1427</v>
      </c>
      <c r="O755" s="455" t="s">
        <v>1553</v>
      </c>
      <c r="P755" s="455" t="s">
        <v>612</v>
      </c>
      <c r="Q755" s="455">
        <v>20000</v>
      </c>
      <c r="R755" s="455">
        <v>8500</v>
      </c>
      <c r="S755" s="168">
        <v>981</v>
      </c>
      <c r="T755" s="523">
        <v>981</v>
      </c>
      <c r="W755" s="168">
        <f t="shared" si="11"/>
        <v>0</v>
      </c>
    </row>
    <row r="756" spans="1:23">
      <c r="A756" s="168" t="s">
        <v>1428</v>
      </c>
      <c r="B756" s="455" t="s">
        <v>1553</v>
      </c>
      <c r="C756" s="455" t="s">
        <v>616</v>
      </c>
      <c r="D756" s="168" t="s">
        <v>1578</v>
      </c>
      <c r="E756" s="150">
        <v>0</v>
      </c>
      <c r="F756" s="456">
        <v>0</v>
      </c>
      <c r="G756" s="168">
        <v>0</v>
      </c>
      <c r="H756" s="168">
        <v>0</v>
      </c>
      <c r="N756" s="168" t="s">
        <v>1428</v>
      </c>
      <c r="O756" s="455" t="s">
        <v>1553</v>
      </c>
      <c r="P756" s="455" t="s">
        <v>616</v>
      </c>
      <c r="Q756" s="455">
        <v>2441</v>
      </c>
      <c r="R756" s="455">
        <v>2325</v>
      </c>
      <c r="S756" s="168">
        <v>0</v>
      </c>
      <c r="T756" s="523">
        <v>0</v>
      </c>
      <c r="W756" s="168">
        <f t="shared" si="11"/>
        <v>0</v>
      </c>
    </row>
    <row r="757" spans="1:23">
      <c r="A757" s="168" t="s">
        <v>1429</v>
      </c>
      <c r="B757" s="455" t="s">
        <v>1553</v>
      </c>
      <c r="C757" s="455" t="s">
        <v>631</v>
      </c>
      <c r="D757" s="168" t="s">
        <v>1578</v>
      </c>
      <c r="E757" s="150">
        <v>0</v>
      </c>
      <c r="F757" s="456">
        <v>0</v>
      </c>
      <c r="G757" s="168">
        <v>0</v>
      </c>
      <c r="H757" s="168">
        <v>0</v>
      </c>
      <c r="N757" s="168" t="s">
        <v>1429</v>
      </c>
      <c r="O757" s="455" t="s">
        <v>1553</v>
      </c>
      <c r="P757" s="455" t="s">
        <v>631</v>
      </c>
      <c r="Q757" s="455">
        <v>1953</v>
      </c>
      <c r="R757" s="455">
        <v>953</v>
      </c>
      <c r="S757" s="168">
        <v>0</v>
      </c>
      <c r="T757" s="523">
        <v>0</v>
      </c>
      <c r="W757" s="168">
        <f t="shared" si="11"/>
        <v>0</v>
      </c>
    </row>
    <row r="758" spans="1:23">
      <c r="A758" s="168" t="s">
        <v>1430</v>
      </c>
      <c r="B758" s="455" t="s">
        <v>1553</v>
      </c>
      <c r="C758" s="455" t="s">
        <v>633</v>
      </c>
      <c r="D758" s="168" t="s">
        <v>1578</v>
      </c>
      <c r="E758" s="150">
        <v>0</v>
      </c>
      <c r="F758" s="456">
        <v>0</v>
      </c>
      <c r="G758" s="168">
        <v>4850</v>
      </c>
      <c r="H758" s="168">
        <v>4850</v>
      </c>
      <c r="N758" s="168" t="s">
        <v>1430</v>
      </c>
      <c r="O758" s="455" t="s">
        <v>1553</v>
      </c>
      <c r="P758" s="455" t="s">
        <v>633</v>
      </c>
      <c r="Q758" s="455">
        <v>14648</v>
      </c>
      <c r="R758" s="455">
        <v>8500</v>
      </c>
      <c r="S758" s="168">
        <v>0</v>
      </c>
      <c r="T758" s="523">
        <v>0</v>
      </c>
      <c r="W758" s="168">
        <f t="shared" si="11"/>
        <v>0</v>
      </c>
    </row>
    <row r="759" spans="1:23">
      <c r="A759" s="168" t="s">
        <v>1431</v>
      </c>
      <c r="B759" s="455" t="s">
        <v>1553</v>
      </c>
      <c r="C759" s="455" t="s">
        <v>253</v>
      </c>
      <c r="D759" s="168" t="s">
        <v>1578</v>
      </c>
      <c r="E759" s="150">
        <v>0</v>
      </c>
      <c r="F759" s="456">
        <v>0</v>
      </c>
      <c r="G759" s="168">
        <v>0</v>
      </c>
      <c r="H759" s="168">
        <v>0</v>
      </c>
      <c r="N759" s="168" t="s">
        <v>1431</v>
      </c>
      <c r="O759" s="455" t="s">
        <v>1553</v>
      </c>
      <c r="P759" s="455" t="s">
        <v>253</v>
      </c>
      <c r="Q759" s="455">
        <v>9765</v>
      </c>
      <c r="R759" s="455">
        <v>9765</v>
      </c>
      <c r="S759" s="168">
        <v>550</v>
      </c>
      <c r="T759" s="523">
        <v>550</v>
      </c>
      <c r="W759" s="168">
        <f t="shared" si="11"/>
        <v>0</v>
      </c>
    </row>
    <row r="760" spans="1:23">
      <c r="A760" s="168" t="s">
        <v>1432</v>
      </c>
      <c r="B760" s="455" t="s">
        <v>1553</v>
      </c>
      <c r="C760" s="455" t="s">
        <v>50</v>
      </c>
      <c r="D760" s="168" t="s">
        <v>1578</v>
      </c>
      <c r="E760" s="150">
        <v>0</v>
      </c>
      <c r="F760" s="456">
        <v>0</v>
      </c>
      <c r="G760" s="168">
        <v>0</v>
      </c>
      <c r="H760" s="168">
        <v>0</v>
      </c>
      <c r="N760" s="168" t="s">
        <v>1432</v>
      </c>
      <c r="O760" s="455" t="s">
        <v>1553</v>
      </c>
      <c r="P760" s="455" t="s">
        <v>50</v>
      </c>
      <c r="Q760" s="455">
        <v>42000</v>
      </c>
      <c r="R760" s="455">
        <v>8500</v>
      </c>
      <c r="S760" s="168">
        <v>3671.58</v>
      </c>
      <c r="T760" s="523">
        <v>3672</v>
      </c>
      <c r="W760" s="168">
        <f t="shared" si="11"/>
        <v>-0.42000000000007276</v>
      </c>
    </row>
    <row r="761" spans="1:23">
      <c r="A761" s="168" t="s">
        <v>1433</v>
      </c>
      <c r="B761" s="455" t="s">
        <v>1553</v>
      </c>
      <c r="C761" s="455" t="s">
        <v>52</v>
      </c>
      <c r="D761" s="168" t="s">
        <v>1578</v>
      </c>
      <c r="E761" s="150">
        <v>0</v>
      </c>
      <c r="F761" s="456">
        <v>0</v>
      </c>
      <c r="G761" s="168">
        <v>0</v>
      </c>
      <c r="H761" s="168">
        <v>0</v>
      </c>
      <c r="N761" s="168" t="s">
        <v>1433</v>
      </c>
      <c r="O761" s="455" t="s">
        <v>1553</v>
      </c>
      <c r="P761" s="455" t="s">
        <v>52</v>
      </c>
      <c r="Q761" s="455"/>
      <c r="R761" s="455"/>
      <c r="S761" s="168">
        <v>0</v>
      </c>
      <c r="T761" s="523">
        <v>0</v>
      </c>
      <c r="W761" s="168">
        <f t="shared" si="11"/>
        <v>0</v>
      </c>
    </row>
    <row r="762" spans="1:23" ht="15.75" thickBot="1">
      <c r="A762" s="168" t="s">
        <v>1434</v>
      </c>
      <c r="B762" s="455" t="s">
        <v>1553</v>
      </c>
      <c r="C762" s="455" t="s">
        <v>52</v>
      </c>
      <c r="D762" s="168" t="s">
        <v>1578</v>
      </c>
      <c r="E762" s="150">
        <v>0</v>
      </c>
      <c r="F762" s="456">
        <v>0</v>
      </c>
      <c r="G762" s="168">
        <v>0</v>
      </c>
      <c r="H762" s="168">
        <v>0</v>
      </c>
      <c r="N762" s="168" t="s">
        <v>1434</v>
      </c>
      <c r="O762" s="455" t="s">
        <v>1553</v>
      </c>
      <c r="P762" s="455" t="s">
        <v>52</v>
      </c>
      <c r="Q762" s="455"/>
      <c r="R762" s="455"/>
      <c r="S762" s="168">
        <v>0</v>
      </c>
      <c r="T762" s="523">
        <v>0</v>
      </c>
      <c r="W762" s="168">
        <f t="shared" si="11"/>
        <v>0</v>
      </c>
    </row>
    <row r="763" spans="1:23" ht="16.5" thickTop="1" thickBot="1">
      <c r="A763" s="554" t="s">
        <v>2668</v>
      </c>
      <c r="B763" s="555"/>
      <c r="C763" s="555"/>
      <c r="D763" s="556"/>
      <c r="E763" s="560">
        <f>SUM(E755:E762)</f>
        <v>0</v>
      </c>
      <c r="F763" s="560">
        <f>SUM(F755:F762)</f>
        <v>0</v>
      </c>
      <c r="G763" s="560">
        <f>SUM(G755:G762)</f>
        <v>4850</v>
      </c>
      <c r="H763" s="560">
        <f>SUM(H755:H762)</f>
        <v>4850</v>
      </c>
      <c r="N763" s="554" t="s">
        <v>2668</v>
      </c>
      <c r="O763" s="555"/>
      <c r="P763" s="555"/>
      <c r="Q763" s="555">
        <f>SUM(Q745:Q762)</f>
        <v>283578</v>
      </c>
      <c r="R763" s="555">
        <f>SUM(R745:R762)</f>
        <v>38543</v>
      </c>
      <c r="S763" s="560">
        <f>SUM(S755:S762)</f>
        <v>5202.58</v>
      </c>
      <c r="T763" s="558">
        <f>SUM(T755:T762)</f>
        <v>5203</v>
      </c>
      <c r="U763" s="603">
        <f>SUM(S763)</f>
        <v>5202.58</v>
      </c>
      <c r="V763" s="603">
        <f>SUM(T763)</f>
        <v>5203</v>
      </c>
      <c r="W763" s="168">
        <f t="shared" si="11"/>
        <v>-0.42000000000007276</v>
      </c>
    </row>
    <row r="764" spans="1:23" ht="15.75" thickTop="1">
      <c r="B764" s="455"/>
      <c r="E764" s="150"/>
      <c r="O764" s="455"/>
      <c r="P764" s="455"/>
      <c r="Q764" s="455"/>
      <c r="R764" s="455"/>
      <c r="T764" s="523"/>
      <c r="W764" s="168">
        <f t="shared" si="11"/>
        <v>0</v>
      </c>
    </row>
    <row r="765" spans="1:23">
      <c r="A765" s="168" t="s">
        <v>3482</v>
      </c>
      <c r="B765" s="455"/>
      <c r="C765" s="455" t="s">
        <v>3543</v>
      </c>
      <c r="E765" s="150"/>
      <c r="N765" s="168" t="s">
        <v>3482</v>
      </c>
      <c r="O765" s="455"/>
      <c r="P765" s="455"/>
      <c r="Q765" s="455"/>
      <c r="R765" s="455"/>
      <c r="S765" s="168">
        <v>-14819.44</v>
      </c>
      <c r="T765" s="523"/>
      <c r="W765" s="168">
        <f t="shared" si="11"/>
        <v>-14819.44</v>
      </c>
    </row>
    <row r="766" spans="1:23">
      <c r="A766" s="168" t="s">
        <v>1435</v>
      </c>
      <c r="B766" s="455" t="s">
        <v>30</v>
      </c>
      <c r="C766" s="455" t="s">
        <v>1436</v>
      </c>
      <c r="D766" s="168" t="s">
        <v>1579</v>
      </c>
      <c r="E766" s="150">
        <v>-2200014.21</v>
      </c>
      <c r="F766" s="456">
        <v>-960000</v>
      </c>
      <c r="G766" s="168">
        <v>-2281141.0499999998</v>
      </c>
      <c r="H766" s="168">
        <v>-1281055</v>
      </c>
      <c r="N766" s="168" t="s">
        <v>1435</v>
      </c>
      <c r="O766" s="455" t="s">
        <v>30</v>
      </c>
      <c r="P766" s="455" t="s">
        <v>1436</v>
      </c>
      <c r="Q766" s="455">
        <v>-2000000</v>
      </c>
      <c r="R766" s="455">
        <v>-2000000</v>
      </c>
      <c r="S766" s="168">
        <v>-2343576.65</v>
      </c>
      <c r="T766" s="523">
        <v>-2000000</v>
      </c>
      <c r="W766" s="168">
        <f t="shared" si="11"/>
        <v>-343576.64999999991</v>
      </c>
    </row>
    <row r="767" spans="1:23" ht="15.75" thickBot="1">
      <c r="A767" s="168" t="s">
        <v>1437</v>
      </c>
      <c r="B767" s="455" t="s">
        <v>31</v>
      </c>
      <c r="C767" s="455" t="s">
        <v>1235</v>
      </c>
      <c r="D767" s="168" t="s">
        <v>1579</v>
      </c>
      <c r="E767" s="150">
        <v>-828950</v>
      </c>
      <c r="F767" s="456">
        <v>-1800000</v>
      </c>
      <c r="G767" s="168">
        <v>-445740</v>
      </c>
      <c r="H767" s="168">
        <v>-349686</v>
      </c>
      <c r="N767" s="168" t="s">
        <v>1437</v>
      </c>
      <c r="O767" s="455" t="s">
        <v>31</v>
      </c>
      <c r="P767" s="455" t="s">
        <v>1235</v>
      </c>
      <c r="Q767" s="455">
        <v>-3000000</v>
      </c>
      <c r="R767" s="455">
        <v>-3000000</v>
      </c>
      <c r="S767" s="168">
        <v>-444496</v>
      </c>
      <c r="T767" s="523">
        <v>-3000000</v>
      </c>
      <c r="W767" s="168">
        <f t="shared" si="11"/>
        <v>2555504</v>
      </c>
    </row>
    <row r="768" spans="1:23" ht="16.5" thickTop="1" thickBot="1">
      <c r="A768" s="554" t="s">
        <v>2668</v>
      </c>
      <c r="B768" s="555"/>
      <c r="C768" s="555"/>
      <c r="D768" s="556"/>
      <c r="E768" s="560">
        <f>SUM(E766:E767)</f>
        <v>-3028964.21</v>
      </c>
      <c r="F768" s="560">
        <f>SUM(F766:F767)</f>
        <v>-2760000</v>
      </c>
      <c r="G768" s="560">
        <f>SUM(G766:G767)</f>
        <v>-2726881.05</v>
      </c>
      <c r="H768" s="560">
        <f>SUM(H766:H767)</f>
        <v>-1630741</v>
      </c>
      <c r="I768" s="168">
        <v>1630741</v>
      </c>
      <c r="N768" s="554" t="s">
        <v>2668</v>
      </c>
      <c r="O768" s="555"/>
      <c r="P768" s="555"/>
      <c r="Q768" s="555">
        <f>SUM(Q766:Q767)</f>
        <v>-5000000</v>
      </c>
      <c r="R768" s="555">
        <f>SUM(R766:R767)</f>
        <v>-5000000</v>
      </c>
      <c r="S768" s="560">
        <f>SUM(S765:S767)</f>
        <v>-2802892.09</v>
      </c>
      <c r="T768" s="558">
        <f>SUM(T766:T767)</f>
        <v>-5000000</v>
      </c>
      <c r="U768" s="168">
        <f>SUM(S768)</f>
        <v>-2802892.09</v>
      </c>
      <c r="V768" s="168">
        <f>SUM(T768)</f>
        <v>-5000000</v>
      </c>
      <c r="W768" s="168">
        <f t="shared" si="11"/>
        <v>2197107.91</v>
      </c>
    </row>
    <row r="769" spans="1:23" ht="15.75" thickTop="1">
      <c r="B769" s="455"/>
      <c r="E769" s="150"/>
      <c r="I769" s="168">
        <f>SUM(I4:I768)</f>
        <v>95008399.689999998</v>
      </c>
      <c r="O769" s="455"/>
      <c r="P769" s="455"/>
      <c r="Q769" s="455"/>
      <c r="R769" s="455"/>
      <c r="T769" s="523"/>
      <c r="W769" s="168">
        <f t="shared" si="11"/>
        <v>0</v>
      </c>
    </row>
    <row r="770" spans="1:23">
      <c r="A770" s="168" t="s">
        <v>1438</v>
      </c>
      <c r="B770" s="455" t="s">
        <v>1549</v>
      </c>
      <c r="C770" s="455" t="s">
        <v>75</v>
      </c>
      <c r="D770" s="168" t="s">
        <v>1579</v>
      </c>
      <c r="E770" s="150">
        <v>1540877.02</v>
      </c>
      <c r="F770" s="456">
        <v>1541000</v>
      </c>
      <c r="G770" s="168">
        <v>1605110.55</v>
      </c>
      <c r="H770" s="168">
        <v>1605110</v>
      </c>
      <c r="N770" s="168" t="s">
        <v>1438</v>
      </c>
      <c r="O770" s="455" t="s">
        <v>1549</v>
      </c>
      <c r="P770" s="455" t="s">
        <v>75</v>
      </c>
      <c r="Q770" s="455">
        <v>2796944</v>
      </c>
      <c r="R770" s="455">
        <v>2796944</v>
      </c>
      <c r="S770" s="168">
        <v>1867931.09</v>
      </c>
      <c r="T770" s="523">
        <v>1867932</v>
      </c>
      <c r="W770" s="168">
        <f t="shared" si="11"/>
        <v>-0.90999999991618097</v>
      </c>
    </row>
    <row r="771" spans="1:23">
      <c r="A771" s="168" t="s">
        <v>1439</v>
      </c>
      <c r="B771" s="455" t="s">
        <v>1549</v>
      </c>
      <c r="C771" s="455" t="s">
        <v>77</v>
      </c>
      <c r="D771" s="168" t="s">
        <v>1579</v>
      </c>
      <c r="E771" s="150">
        <v>156662.29999999999</v>
      </c>
      <c r="F771" s="456">
        <v>157000</v>
      </c>
      <c r="G771" s="168">
        <v>257721.3</v>
      </c>
      <c r="H771" s="168">
        <v>257722</v>
      </c>
      <c r="N771" s="168" t="s">
        <v>1439</v>
      </c>
      <c r="O771" s="455" t="s">
        <v>1549</v>
      </c>
      <c r="P771" s="455" t="s">
        <v>77</v>
      </c>
      <c r="Q771" s="455">
        <v>200000</v>
      </c>
      <c r="R771" s="455">
        <v>200000</v>
      </c>
      <c r="S771" s="168">
        <v>175363.77</v>
      </c>
      <c r="T771" s="523">
        <v>175364</v>
      </c>
      <c r="W771" s="168">
        <f t="shared" si="11"/>
        <v>-0.23000000001047738</v>
      </c>
    </row>
    <row r="772" spans="1:23">
      <c r="A772" s="168" t="s">
        <v>1440</v>
      </c>
      <c r="B772" s="455" t="s">
        <v>1549</v>
      </c>
      <c r="C772" s="455" t="s">
        <v>60</v>
      </c>
      <c r="D772" s="168" t="s">
        <v>1579</v>
      </c>
      <c r="E772" s="150">
        <v>108270.19</v>
      </c>
      <c r="F772" s="456">
        <v>108305</v>
      </c>
      <c r="G772" s="168">
        <v>153436.57999999999</v>
      </c>
      <c r="H772" s="168">
        <v>153437</v>
      </c>
      <c r="N772" s="168" t="s">
        <v>1440</v>
      </c>
      <c r="O772" s="455" t="s">
        <v>1549</v>
      </c>
      <c r="P772" s="455" t="s">
        <v>60</v>
      </c>
      <c r="Q772" s="455">
        <v>192470</v>
      </c>
      <c r="R772" s="455">
        <v>194270</v>
      </c>
      <c r="S772" s="168">
        <v>160134.35999999999</v>
      </c>
      <c r="T772" s="523">
        <v>160135</v>
      </c>
      <c r="W772" s="168">
        <f t="shared" si="11"/>
        <v>-0.64000000001396984</v>
      </c>
    </row>
    <row r="773" spans="1:23">
      <c r="A773" s="168" t="s">
        <v>1441</v>
      </c>
      <c r="B773" s="455" t="s">
        <v>1549</v>
      </c>
      <c r="C773" s="455" t="s">
        <v>1395</v>
      </c>
      <c r="D773" s="168" t="s">
        <v>1579</v>
      </c>
      <c r="E773" s="150">
        <v>40451.279999999999</v>
      </c>
      <c r="F773" s="456">
        <v>40500</v>
      </c>
      <c r="G773" s="168">
        <v>38576.76</v>
      </c>
      <c r="H773" s="168">
        <v>38576</v>
      </c>
      <c r="N773" s="168" t="s">
        <v>1441</v>
      </c>
      <c r="O773" s="455" t="s">
        <v>1549</v>
      </c>
      <c r="P773" s="455" t="s">
        <v>1395</v>
      </c>
      <c r="Q773" s="455">
        <v>245216</v>
      </c>
      <c r="R773" s="455">
        <v>245216</v>
      </c>
      <c r="S773" s="168">
        <v>43820.45</v>
      </c>
      <c r="T773" s="523">
        <v>43821</v>
      </c>
      <c r="W773" s="168">
        <f t="shared" ref="W773:W836" si="12">S773-T773</f>
        <v>-0.55000000000291038</v>
      </c>
    </row>
    <row r="774" spans="1:23">
      <c r="A774" s="168" t="s">
        <v>1442</v>
      </c>
      <c r="B774" s="455" t="s">
        <v>1549</v>
      </c>
      <c r="C774" s="455" t="s">
        <v>515</v>
      </c>
      <c r="D774" s="168" t="s">
        <v>1579</v>
      </c>
      <c r="E774" s="150">
        <v>67567.320000000007</v>
      </c>
      <c r="F774" s="456">
        <v>67600</v>
      </c>
      <c r="G774" s="168">
        <v>106836.97</v>
      </c>
      <c r="H774" s="168">
        <v>106837</v>
      </c>
      <c r="N774" s="168" t="s">
        <v>1442</v>
      </c>
      <c r="O774" s="455" t="s">
        <v>1549</v>
      </c>
      <c r="P774" s="455" t="s">
        <v>515</v>
      </c>
      <c r="Q774" s="455"/>
      <c r="R774" s="455"/>
      <c r="S774" s="168">
        <v>88819.19</v>
      </c>
      <c r="T774" s="523">
        <v>88819</v>
      </c>
      <c r="W774" s="168">
        <f t="shared" si="12"/>
        <v>0.19000000000232831</v>
      </c>
    </row>
    <row r="775" spans="1:23">
      <c r="A775" s="168" t="s">
        <v>1443</v>
      </c>
      <c r="B775" s="455" t="s">
        <v>1549</v>
      </c>
      <c r="C775" s="455" t="s">
        <v>660</v>
      </c>
      <c r="D775" s="168" t="s">
        <v>1579</v>
      </c>
      <c r="E775" s="150">
        <v>0</v>
      </c>
      <c r="F775" s="456">
        <v>0</v>
      </c>
      <c r="G775" s="168">
        <v>0</v>
      </c>
      <c r="H775" s="168">
        <v>0</v>
      </c>
      <c r="N775" s="168" t="s">
        <v>1443</v>
      </c>
      <c r="O775" s="455" t="s">
        <v>1549</v>
      </c>
      <c r="P775" s="455" t="s">
        <v>660</v>
      </c>
      <c r="Q775" s="455"/>
      <c r="R775" s="455"/>
      <c r="S775" s="168">
        <v>0</v>
      </c>
      <c r="T775" s="523">
        <v>0</v>
      </c>
      <c r="W775" s="168">
        <f t="shared" si="12"/>
        <v>0</v>
      </c>
    </row>
    <row r="776" spans="1:23">
      <c r="A776" s="168" t="s">
        <v>1444</v>
      </c>
      <c r="B776" s="455" t="s">
        <v>1549</v>
      </c>
      <c r="C776" s="455" t="s">
        <v>767</v>
      </c>
      <c r="D776" s="168" t="s">
        <v>1579</v>
      </c>
      <c r="E776" s="150">
        <v>11947</v>
      </c>
      <c r="F776" s="456">
        <v>13000</v>
      </c>
      <c r="G776" s="168">
        <v>17245</v>
      </c>
      <c r="H776" s="168">
        <v>17245</v>
      </c>
      <c r="N776" s="168" t="s">
        <v>1444</v>
      </c>
      <c r="O776" s="455" t="s">
        <v>1549</v>
      </c>
      <c r="P776" s="455" t="s">
        <v>767</v>
      </c>
      <c r="Q776" s="455"/>
      <c r="R776" s="455"/>
      <c r="S776" s="168">
        <v>17367</v>
      </c>
      <c r="T776" s="523">
        <v>17367</v>
      </c>
      <c r="W776" s="168">
        <f t="shared" si="12"/>
        <v>0</v>
      </c>
    </row>
    <row r="777" spans="1:23">
      <c r="A777" s="168" t="s">
        <v>1445</v>
      </c>
      <c r="B777" s="455" t="s">
        <v>1549</v>
      </c>
      <c r="C777" s="455" t="s">
        <v>84</v>
      </c>
      <c r="D777" s="168" t="s">
        <v>1579</v>
      </c>
      <c r="E777" s="150">
        <v>179992.82</v>
      </c>
      <c r="F777" s="456">
        <v>180000</v>
      </c>
      <c r="G777" s="168">
        <v>197144.69</v>
      </c>
      <c r="H777" s="168">
        <v>197144</v>
      </c>
      <c r="N777" s="168" t="s">
        <v>1445</v>
      </c>
      <c r="O777" s="455" t="s">
        <v>1549</v>
      </c>
      <c r="P777" s="455" t="s">
        <v>84</v>
      </c>
      <c r="Q777" s="455">
        <v>57864</v>
      </c>
      <c r="R777" s="455">
        <v>57864</v>
      </c>
      <c r="S777" s="168">
        <v>203665.76</v>
      </c>
      <c r="T777" s="523">
        <v>203665</v>
      </c>
      <c r="W777" s="168">
        <f t="shared" si="12"/>
        <v>0.76000000000931323</v>
      </c>
    </row>
    <row r="778" spans="1:23">
      <c r="A778" s="168" t="s">
        <v>1446</v>
      </c>
      <c r="B778" s="455" t="s">
        <v>1549</v>
      </c>
      <c r="C778" s="455" t="s">
        <v>572</v>
      </c>
      <c r="D778" s="168" t="s">
        <v>1579</v>
      </c>
      <c r="E778" s="150">
        <v>458.28</v>
      </c>
      <c r="F778" s="456">
        <v>500</v>
      </c>
      <c r="G778" s="168">
        <v>0</v>
      </c>
      <c r="H778" s="168">
        <v>0</v>
      </c>
      <c r="N778" s="168" t="s">
        <v>1446</v>
      </c>
      <c r="O778" s="455" t="s">
        <v>1549</v>
      </c>
      <c r="P778" s="455" t="s">
        <v>572</v>
      </c>
      <c r="Q778" s="455">
        <v>145312</v>
      </c>
      <c r="R778" s="455">
        <v>145312</v>
      </c>
      <c r="S778" s="168">
        <v>0</v>
      </c>
      <c r="T778" s="523">
        <v>0</v>
      </c>
      <c r="W778" s="168">
        <f t="shared" si="12"/>
        <v>0</v>
      </c>
    </row>
    <row r="779" spans="1:23">
      <c r="A779" s="168" t="s">
        <v>1447</v>
      </c>
      <c r="B779" s="455" t="s">
        <v>1549</v>
      </c>
      <c r="C779" s="455" t="s">
        <v>590</v>
      </c>
      <c r="D779" s="168" t="s">
        <v>1579</v>
      </c>
      <c r="E779" s="150">
        <v>59976</v>
      </c>
      <c r="F779" s="456">
        <v>60000</v>
      </c>
      <c r="G779" s="168">
        <v>111931.5</v>
      </c>
      <c r="H779" s="168">
        <v>111931</v>
      </c>
      <c r="N779" s="168" t="s">
        <v>1447</v>
      </c>
      <c r="O779" s="455" t="s">
        <v>1549</v>
      </c>
      <c r="P779" s="455" t="s">
        <v>590</v>
      </c>
      <c r="Q779" s="455">
        <v>298106</v>
      </c>
      <c r="R779" s="455">
        <v>298106</v>
      </c>
      <c r="S779" s="168">
        <v>153788.4</v>
      </c>
      <c r="T779" s="523">
        <v>153789</v>
      </c>
      <c r="W779" s="168">
        <f t="shared" si="12"/>
        <v>-0.60000000000582077</v>
      </c>
    </row>
    <row r="780" spans="1:23">
      <c r="A780" s="168" t="s">
        <v>1448</v>
      </c>
      <c r="B780" s="455" t="s">
        <v>1549</v>
      </c>
      <c r="C780" s="455" t="s">
        <v>590</v>
      </c>
      <c r="D780" s="168" t="s">
        <v>1579</v>
      </c>
      <c r="E780" s="150">
        <v>240608.16</v>
      </c>
      <c r="F780" s="456">
        <v>240700</v>
      </c>
      <c r="G780" s="168">
        <v>271295.40000000002</v>
      </c>
      <c r="H780" s="168">
        <v>271295</v>
      </c>
      <c r="N780" s="168" t="s">
        <v>1448</v>
      </c>
      <c r="O780" s="455" t="s">
        <v>1549</v>
      </c>
      <c r="P780" s="455" t="s">
        <v>590</v>
      </c>
      <c r="Q780" s="455">
        <v>412279</v>
      </c>
      <c r="R780" s="455">
        <v>412279</v>
      </c>
      <c r="S780" s="168">
        <v>316852.62</v>
      </c>
      <c r="T780" s="523">
        <v>316853</v>
      </c>
      <c r="W780" s="168">
        <f t="shared" si="12"/>
        <v>-0.38000000000465661</v>
      </c>
    </row>
    <row r="781" spans="1:23">
      <c r="A781" s="168" t="s">
        <v>1449</v>
      </c>
      <c r="B781" s="455" t="s">
        <v>1549</v>
      </c>
      <c r="C781" s="455" t="s">
        <v>590</v>
      </c>
      <c r="D781" s="168" t="s">
        <v>1579</v>
      </c>
      <c r="E781" s="150">
        <v>16190.31</v>
      </c>
      <c r="F781" s="456">
        <v>16200</v>
      </c>
      <c r="G781" s="168">
        <v>16187.57</v>
      </c>
      <c r="H781" s="168">
        <v>16188</v>
      </c>
      <c r="N781" s="168" t="s">
        <v>1449</v>
      </c>
      <c r="O781" s="455" t="s">
        <v>1549</v>
      </c>
      <c r="P781" s="455" t="s">
        <v>590</v>
      </c>
      <c r="Q781" s="455">
        <v>18738</v>
      </c>
      <c r="R781" s="455">
        <v>18738</v>
      </c>
      <c r="S781" s="168">
        <v>16444.099999999999</v>
      </c>
      <c r="T781" s="523">
        <v>16445</v>
      </c>
      <c r="W781" s="168">
        <f t="shared" si="12"/>
        <v>-0.90000000000145519</v>
      </c>
    </row>
    <row r="782" spans="1:23">
      <c r="A782" s="168" t="s">
        <v>1450</v>
      </c>
      <c r="B782" s="455" t="s">
        <v>1549</v>
      </c>
      <c r="C782" s="455" t="s">
        <v>590</v>
      </c>
      <c r="D782" s="168" t="s">
        <v>1579</v>
      </c>
      <c r="E782" s="150">
        <v>10885.6</v>
      </c>
      <c r="F782" s="456">
        <v>10900</v>
      </c>
      <c r="G782" s="168">
        <v>11960.62</v>
      </c>
      <c r="H782" s="168">
        <v>11960</v>
      </c>
      <c r="N782" s="168" t="s">
        <v>1450</v>
      </c>
      <c r="O782" s="455" t="s">
        <v>1549</v>
      </c>
      <c r="P782" s="455" t="s">
        <v>590</v>
      </c>
      <c r="Q782" s="455">
        <v>28672</v>
      </c>
      <c r="R782" s="455">
        <v>28672</v>
      </c>
      <c r="S782" s="168">
        <v>14042.13</v>
      </c>
      <c r="T782" s="523">
        <v>14043</v>
      </c>
      <c r="W782" s="168">
        <f t="shared" si="12"/>
        <v>-0.87000000000080036</v>
      </c>
    </row>
    <row r="783" spans="1:23">
      <c r="A783" s="168" t="s">
        <v>1451</v>
      </c>
      <c r="B783" s="455" t="s">
        <v>1549</v>
      </c>
      <c r="C783" s="455" t="s">
        <v>1807</v>
      </c>
      <c r="D783" s="168" t="s">
        <v>1579</v>
      </c>
      <c r="E783" s="150">
        <v>726.4</v>
      </c>
      <c r="F783" s="456">
        <v>800</v>
      </c>
      <c r="G783" s="168">
        <v>686.55</v>
      </c>
      <c r="H783" s="168">
        <v>686</v>
      </c>
      <c r="N783" s="168" t="s">
        <v>1451</v>
      </c>
      <c r="O783" s="455" t="s">
        <v>1549</v>
      </c>
      <c r="P783" s="455" t="s">
        <v>1807</v>
      </c>
      <c r="Q783" s="455">
        <v>952</v>
      </c>
      <c r="R783" s="455">
        <v>952</v>
      </c>
      <c r="S783" s="168">
        <v>765</v>
      </c>
      <c r="T783" s="523">
        <v>765</v>
      </c>
      <c r="W783" s="168">
        <f t="shared" si="12"/>
        <v>0</v>
      </c>
    </row>
    <row r="784" spans="1:23">
      <c r="A784" s="168" t="s">
        <v>1452</v>
      </c>
      <c r="B784" s="455" t="s">
        <v>1551</v>
      </c>
      <c r="C784" s="455" t="s">
        <v>592</v>
      </c>
      <c r="D784" s="168" t="s">
        <v>1579</v>
      </c>
      <c r="E784" s="150">
        <v>0</v>
      </c>
      <c r="F784" s="456">
        <v>282</v>
      </c>
      <c r="G784" s="168">
        <v>12937</v>
      </c>
      <c r="H784" s="168">
        <v>1236726</v>
      </c>
      <c r="N784" s="168" t="s">
        <v>1452</v>
      </c>
      <c r="O784" s="455" t="s">
        <v>1551</v>
      </c>
      <c r="P784" s="455" t="s">
        <v>592</v>
      </c>
      <c r="Q784" s="455">
        <v>41772</v>
      </c>
      <c r="R784" s="455">
        <v>41772</v>
      </c>
      <c r="S784" s="168">
        <v>110529.98</v>
      </c>
      <c r="T784" s="523">
        <v>41772</v>
      </c>
      <c r="W784" s="462">
        <f t="shared" si="12"/>
        <v>68757.98</v>
      </c>
    </row>
    <row r="785" spans="1:23">
      <c r="A785" s="168" t="s">
        <v>1453</v>
      </c>
      <c r="B785" s="455" t="s">
        <v>1552</v>
      </c>
      <c r="C785" s="455" t="s">
        <v>595</v>
      </c>
      <c r="D785" s="168" t="s">
        <v>1579</v>
      </c>
      <c r="E785" s="150">
        <v>8122.36</v>
      </c>
      <c r="F785" s="456">
        <v>8200</v>
      </c>
      <c r="G785" s="168">
        <v>8090.81</v>
      </c>
      <c r="H785" s="168">
        <v>8091</v>
      </c>
      <c r="N785" s="168" t="s">
        <v>1453</v>
      </c>
      <c r="O785" s="455" t="s">
        <v>1552</v>
      </c>
      <c r="P785" s="455" t="s">
        <v>595</v>
      </c>
      <c r="Q785" s="455">
        <v>14259</v>
      </c>
      <c r="R785" s="455">
        <v>14259</v>
      </c>
      <c r="S785" s="168">
        <v>12628.51</v>
      </c>
      <c r="T785" s="523">
        <v>12629</v>
      </c>
      <c r="W785" s="168">
        <f t="shared" si="12"/>
        <v>-0.48999999999978172</v>
      </c>
    </row>
    <row r="786" spans="1:23">
      <c r="A786" s="168" t="s">
        <v>1454</v>
      </c>
      <c r="B786" s="455" t="s">
        <v>1552</v>
      </c>
      <c r="C786" s="455" t="s">
        <v>1235</v>
      </c>
      <c r="D786" s="168" t="s">
        <v>1579</v>
      </c>
      <c r="E786" s="150">
        <v>26065.71</v>
      </c>
      <c r="F786" s="456">
        <v>26100</v>
      </c>
      <c r="G786" s="168">
        <v>70604.25</v>
      </c>
      <c r="H786" s="168">
        <v>70604</v>
      </c>
      <c r="N786" s="168" t="s">
        <v>1454</v>
      </c>
      <c r="O786" s="455" t="s">
        <v>1552</v>
      </c>
      <c r="P786" s="455" t="s">
        <v>1235</v>
      </c>
      <c r="Q786" s="455">
        <v>33879</v>
      </c>
      <c r="R786" s="455">
        <v>33879</v>
      </c>
      <c r="S786" s="168">
        <v>154176.53</v>
      </c>
      <c r="T786" s="523">
        <v>154176</v>
      </c>
      <c r="W786" s="168">
        <f t="shared" si="12"/>
        <v>0.52999999999883585</v>
      </c>
    </row>
    <row r="787" spans="1:23">
      <c r="A787" s="168" t="s">
        <v>1456</v>
      </c>
      <c r="B787" s="455" t="s">
        <v>1552</v>
      </c>
      <c r="C787" s="455" t="s">
        <v>545</v>
      </c>
      <c r="D787" s="168" t="s">
        <v>1579</v>
      </c>
      <c r="E787" s="150">
        <v>21541.09</v>
      </c>
      <c r="F787" s="456">
        <v>21600</v>
      </c>
      <c r="G787" s="168">
        <v>29360.39</v>
      </c>
      <c r="H787" s="168">
        <v>29360</v>
      </c>
      <c r="N787" s="168" t="s">
        <v>1456</v>
      </c>
      <c r="O787" s="455" t="s">
        <v>1552</v>
      </c>
      <c r="P787" s="455" t="s">
        <v>545</v>
      </c>
      <c r="Q787" s="455">
        <v>18554</v>
      </c>
      <c r="R787" s="455">
        <v>18554</v>
      </c>
      <c r="S787" s="168">
        <v>3821.73</v>
      </c>
      <c r="T787" s="523">
        <v>3822</v>
      </c>
      <c r="W787" s="168">
        <f t="shared" si="12"/>
        <v>-0.26999999999998181</v>
      </c>
    </row>
    <row r="788" spans="1:23">
      <c r="A788" s="168" t="s">
        <v>1457</v>
      </c>
      <c r="B788" s="455" t="s">
        <v>2469</v>
      </c>
      <c r="C788" s="455" t="s">
        <v>2315</v>
      </c>
      <c r="D788" s="168" t="s">
        <v>1579</v>
      </c>
      <c r="E788" s="150">
        <v>0</v>
      </c>
      <c r="F788" s="456">
        <v>857</v>
      </c>
      <c r="G788" s="168">
        <v>27162.69</v>
      </c>
      <c r="H788" s="168">
        <v>27163</v>
      </c>
      <c r="N788" s="168" t="s">
        <v>1457</v>
      </c>
      <c r="O788" s="455" t="s">
        <v>2469</v>
      </c>
      <c r="P788" s="455" t="s">
        <v>2315</v>
      </c>
      <c r="Q788" s="455">
        <v>84387</v>
      </c>
      <c r="R788" s="455">
        <v>84387</v>
      </c>
      <c r="S788" s="168">
        <v>33699.43</v>
      </c>
      <c r="T788" s="523">
        <v>33700</v>
      </c>
      <c r="W788" s="168">
        <f t="shared" si="12"/>
        <v>-0.56999999999970896</v>
      </c>
    </row>
    <row r="789" spans="1:23" s="147" customFormat="1">
      <c r="A789" s="147" t="s">
        <v>1458</v>
      </c>
      <c r="B789" s="148" t="s">
        <v>2469</v>
      </c>
      <c r="C789" s="148" t="s">
        <v>2333</v>
      </c>
      <c r="D789" s="147" t="s">
        <v>1579</v>
      </c>
      <c r="E789" s="151">
        <v>0</v>
      </c>
      <c r="F789" s="149">
        <v>10194</v>
      </c>
      <c r="G789" s="168">
        <v>0</v>
      </c>
      <c r="H789" s="168">
        <v>0</v>
      </c>
      <c r="N789" s="147" t="s">
        <v>1458</v>
      </c>
      <c r="O789" s="148" t="s">
        <v>2469</v>
      </c>
      <c r="P789" s="148" t="s">
        <v>2333</v>
      </c>
      <c r="Q789" s="148"/>
      <c r="R789" s="148"/>
      <c r="S789" s="168">
        <v>0</v>
      </c>
      <c r="T789" s="523">
        <v>0</v>
      </c>
      <c r="W789" s="168">
        <f t="shared" si="12"/>
        <v>0</v>
      </c>
    </row>
    <row r="790" spans="1:23" s="147" customFormat="1">
      <c r="B790" s="148"/>
      <c r="C790" s="148"/>
      <c r="E790" s="151"/>
      <c r="F790" s="149"/>
      <c r="G790" s="168"/>
      <c r="H790" s="168"/>
      <c r="N790" s="147" t="s">
        <v>3733</v>
      </c>
      <c r="O790" s="148"/>
      <c r="P790" s="148" t="s">
        <v>3734</v>
      </c>
      <c r="Q790" s="148">
        <v>2500</v>
      </c>
      <c r="R790" s="148">
        <v>1500</v>
      </c>
      <c r="S790" s="168"/>
      <c r="T790" s="523"/>
      <c r="W790" s="168">
        <f t="shared" si="12"/>
        <v>0</v>
      </c>
    </row>
    <row r="791" spans="1:23">
      <c r="A791" s="168" t="s">
        <v>1459</v>
      </c>
      <c r="B791" s="455" t="s">
        <v>1553</v>
      </c>
      <c r="C791" s="455" t="s">
        <v>612</v>
      </c>
      <c r="D791" s="168" t="s">
        <v>1579</v>
      </c>
      <c r="E791" s="150">
        <v>132.15</v>
      </c>
      <c r="F791" s="456">
        <v>200</v>
      </c>
      <c r="G791" s="168">
        <v>2430.0500000000002</v>
      </c>
      <c r="H791" s="168">
        <v>2430</v>
      </c>
      <c r="N791" s="168" t="s">
        <v>1459</v>
      </c>
      <c r="O791" s="455" t="s">
        <v>1553</v>
      </c>
      <c r="P791" s="455" t="s">
        <v>612</v>
      </c>
      <c r="Q791" s="455">
        <v>2233</v>
      </c>
      <c r="R791" s="455">
        <v>20000</v>
      </c>
      <c r="S791" s="168">
        <v>17160.96</v>
      </c>
      <c r="T791" s="523">
        <v>17161</v>
      </c>
      <c r="W791" s="168">
        <f t="shared" si="12"/>
        <v>-4.0000000000873115E-2</v>
      </c>
    </row>
    <row r="792" spans="1:23">
      <c r="A792" s="168" t="s">
        <v>1460</v>
      </c>
      <c r="B792" s="455" t="s">
        <v>1553</v>
      </c>
      <c r="C792" s="455" t="s">
        <v>616</v>
      </c>
      <c r="D792" s="168" t="s">
        <v>1579</v>
      </c>
      <c r="E792" s="150">
        <v>4142.5200000000004</v>
      </c>
      <c r="F792" s="456">
        <v>4200</v>
      </c>
      <c r="G792" s="168">
        <v>1585.74</v>
      </c>
      <c r="H792" s="168">
        <v>1585</v>
      </c>
      <c r="N792" s="168" t="s">
        <v>1460</v>
      </c>
      <c r="O792" s="455" t="s">
        <v>1553</v>
      </c>
      <c r="P792" s="455" t="s">
        <v>616</v>
      </c>
      <c r="Q792" s="455">
        <v>1657</v>
      </c>
      <c r="R792" s="455">
        <v>1657</v>
      </c>
      <c r="S792" s="168">
        <v>2698.13</v>
      </c>
      <c r="T792" s="523">
        <v>2698</v>
      </c>
      <c r="W792" s="168">
        <f t="shared" si="12"/>
        <v>0.13000000000010914</v>
      </c>
    </row>
    <row r="793" spans="1:23">
      <c r="A793" s="168" t="s">
        <v>1461</v>
      </c>
      <c r="B793" s="455" t="s">
        <v>1553</v>
      </c>
      <c r="C793" s="455" t="s">
        <v>622</v>
      </c>
      <c r="D793" s="168" t="s">
        <v>1579</v>
      </c>
      <c r="E793" s="150">
        <v>45775.66</v>
      </c>
      <c r="F793" s="456">
        <v>46000</v>
      </c>
      <c r="G793" s="168">
        <v>68779.27</v>
      </c>
      <c r="H793" s="168">
        <v>68780</v>
      </c>
      <c r="N793" s="168" t="s">
        <v>1461</v>
      </c>
      <c r="O793" s="455" t="s">
        <v>1553</v>
      </c>
      <c r="P793" s="455" t="s">
        <v>622</v>
      </c>
      <c r="Q793" s="455">
        <v>58000</v>
      </c>
      <c r="R793" s="455">
        <v>58000</v>
      </c>
      <c r="S793" s="168">
        <v>84842.67</v>
      </c>
      <c r="T793" s="523">
        <v>84842</v>
      </c>
      <c r="W793" s="168">
        <f t="shared" si="12"/>
        <v>0.66999999999825377</v>
      </c>
    </row>
    <row r="794" spans="1:23">
      <c r="A794" s="168" t="s">
        <v>1462</v>
      </c>
      <c r="B794" s="455" t="s">
        <v>1553</v>
      </c>
      <c r="C794" s="455" t="s">
        <v>2322</v>
      </c>
      <c r="D794" s="168" t="s">
        <v>1579</v>
      </c>
      <c r="E794" s="150">
        <v>13232.54</v>
      </c>
      <c r="F794" s="456">
        <v>13300</v>
      </c>
      <c r="G794" s="168">
        <v>0</v>
      </c>
      <c r="H794" s="168">
        <v>0</v>
      </c>
      <c r="N794" s="168" t="s">
        <v>1462</v>
      </c>
      <c r="O794" s="455" t="s">
        <v>1553</v>
      </c>
      <c r="P794" s="455" t="s">
        <v>2322</v>
      </c>
      <c r="Q794" s="455">
        <v>14556</v>
      </c>
      <c r="R794" s="455">
        <v>14556</v>
      </c>
      <c r="S794" s="168">
        <v>3023.67</v>
      </c>
      <c r="T794" s="523">
        <v>3024</v>
      </c>
      <c r="W794" s="168">
        <f t="shared" si="12"/>
        <v>-0.32999999999992724</v>
      </c>
    </row>
    <row r="795" spans="1:23">
      <c r="A795" s="168" t="s">
        <v>1463</v>
      </c>
      <c r="B795" s="455" t="s">
        <v>1553</v>
      </c>
      <c r="C795" s="455" t="s">
        <v>624</v>
      </c>
      <c r="D795" s="168" t="s">
        <v>1579</v>
      </c>
      <c r="E795" s="150">
        <v>1207.5</v>
      </c>
      <c r="F795" s="456">
        <v>1300</v>
      </c>
      <c r="G795" s="168">
        <v>1221.5999999999999</v>
      </c>
      <c r="H795" s="168">
        <v>1221</v>
      </c>
      <c r="N795" s="168" t="s">
        <v>1463</v>
      </c>
      <c r="O795" s="455" t="s">
        <v>1553</v>
      </c>
      <c r="P795" s="455" t="s">
        <v>624</v>
      </c>
      <c r="Q795" s="455">
        <v>1268</v>
      </c>
      <c r="R795" s="455">
        <v>1000</v>
      </c>
      <c r="S795" s="168">
        <v>1555</v>
      </c>
      <c r="T795" s="523">
        <v>1555</v>
      </c>
      <c r="W795" s="168">
        <f t="shared" si="12"/>
        <v>0</v>
      </c>
    </row>
    <row r="796" spans="1:23">
      <c r="A796" s="168" t="s">
        <v>1464</v>
      </c>
      <c r="B796" s="455" t="s">
        <v>1553</v>
      </c>
      <c r="C796" s="455" t="s">
        <v>631</v>
      </c>
      <c r="D796" s="168" t="s">
        <v>1579</v>
      </c>
      <c r="E796" s="150">
        <v>6806.68</v>
      </c>
      <c r="F796" s="456">
        <v>7000</v>
      </c>
      <c r="G796" s="168">
        <v>14279.79</v>
      </c>
      <c r="H796" s="168">
        <v>14279</v>
      </c>
      <c r="N796" s="168" t="s">
        <v>1464</v>
      </c>
      <c r="O796" s="455" t="s">
        <v>1553</v>
      </c>
      <c r="P796" s="455" t="s">
        <v>631</v>
      </c>
      <c r="Q796" s="455">
        <v>0</v>
      </c>
      <c r="R796" s="455">
        <v>3000</v>
      </c>
      <c r="S796" s="168">
        <v>3401.51</v>
      </c>
      <c r="T796" s="523">
        <v>3401</v>
      </c>
      <c r="W796" s="168">
        <f t="shared" si="12"/>
        <v>0.51000000000021828</v>
      </c>
    </row>
    <row r="797" spans="1:23">
      <c r="A797" s="168" t="s">
        <v>1465</v>
      </c>
      <c r="B797" s="455" t="s">
        <v>1553</v>
      </c>
      <c r="C797" s="455" t="s">
        <v>633</v>
      </c>
      <c r="D797" s="168" t="s">
        <v>1579</v>
      </c>
      <c r="E797" s="150">
        <v>89070.49</v>
      </c>
      <c r="F797" s="456">
        <v>89100</v>
      </c>
      <c r="G797" s="168">
        <v>82072.84</v>
      </c>
      <c r="H797" s="168">
        <v>82072</v>
      </c>
      <c r="N797" s="168" t="s">
        <v>1465</v>
      </c>
      <c r="O797" s="455" t="s">
        <v>1553</v>
      </c>
      <c r="P797" s="455" t="s">
        <v>633</v>
      </c>
      <c r="Q797" s="455">
        <v>93524</v>
      </c>
      <c r="R797" s="455">
        <v>67000</v>
      </c>
      <c r="S797" s="168">
        <v>64397.73</v>
      </c>
      <c r="T797" s="523">
        <v>64034</v>
      </c>
      <c r="W797" s="462">
        <f t="shared" si="12"/>
        <v>363.7300000000032</v>
      </c>
    </row>
    <row r="798" spans="1:23">
      <c r="A798" s="168" t="s">
        <v>1466</v>
      </c>
      <c r="B798" s="455" t="s">
        <v>1553</v>
      </c>
      <c r="C798" s="455" t="s">
        <v>253</v>
      </c>
      <c r="D798" s="168" t="s">
        <v>1579</v>
      </c>
      <c r="E798" s="150">
        <v>4094.56</v>
      </c>
      <c r="F798" s="456">
        <v>4100</v>
      </c>
      <c r="G798" s="168">
        <v>1065.3900000000001</v>
      </c>
      <c r="H798" s="168">
        <v>1065</v>
      </c>
      <c r="N798" s="168" t="s">
        <v>1466</v>
      </c>
      <c r="O798" s="455" t="s">
        <v>1553</v>
      </c>
      <c r="P798" s="455" t="s">
        <v>253</v>
      </c>
      <c r="Q798" s="455">
        <v>4299</v>
      </c>
      <c r="R798" s="455">
        <v>4299</v>
      </c>
      <c r="S798" s="168">
        <v>21646.55</v>
      </c>
      <c r="T798" s="523">
        <v>21646</v>
      </c>
      <c r="W798" s="168">
        <f t="shared" si="12"/>
        <v>0.5499999999992724</v>
      </c>
    </row>
    <row r="799" spans="1:23">
      <c r="A799" s="168" t="s">
        <v>1467</v>
      </c>
      <c r="B799" s="455" t="s">
        <v>1553</v>
      </c>
      <c r="C799" s="455" t="s">
        <v>50</v>
      </c>
      <c r="D799" s="168" t="s">
        <v>1579</v>
      </c>
      <c r="E799" s="150">
        <v>104144.81</v>
      </c>
      <c r="F799" s="456">
        <v>105000</v>
      </c>
      <c r="G799" s="168">
        <v>129415.46</v>
      </c>
      <c r="H799" s="168">
        <v>129415</v>
      </c>
      <c r="N799" s="168" t="s">
        <v>1467</v>
      </c>
      <c r="O799" s="455" t="s">
        <v>1553</v>
      </c>
      <c r="P799" s="455" t="s">
        <v>50</v>
      </c>
      <c r="Q799" s="455">
        <v>109352</v>
      </c>
      <c r="R799" s="455">
        <v>96000</v>
      </c>
      <c r="S799" s="168">
        <v>123330.38</v>
      </c>
      <c r="T799" s="523">
        <v>123330</v>
      </c>
      <c r="W799" s="168">
        <f t="shared" si="12"/>
        <v>0.38000000000465661</v>
      </c>
    </row>
    <row r="800" spans="1:23">
      <c r="A800" s="168" t="s">
        <v>1468</v>
      </c>
      <c r="B800" s="455" t="s">
        <v>1553</v>
      </c>
      <c r="C800" s="455" t="s">
        <v>52</v>
      </c>
      <c r="D800" s="168" t="s">
        <v>1579</v>
      </c>
      <c r="E800" s="150">
        <v>16452.77</v>
      </c>
      <c r="F800" s="456">
        <v>17000</v>
      </c>
      <c r="G800" s="168">
        <v>18844.12</v>
      </c>
      <c r="H800" s="168">
        <v>18844</v>
      </c>
      <c r="N800" s="168" t="s">
        <v>1468</v>
      </c>
      <c r="O800" s="455" t="s">
        <v>1553</v>
      </c>
      <c r="P800" s="455" t="s">
        <v>52</v>
      </c>
      <c r="Q800" s="455">
        <v>17275</v>
      </c>
      <c r="R800" s="455">
        <v>17275</v>
      </c>
      <c r="S800" s="168">
        <v>20445.560000000001</v>
      </c>
      <c r="T800" s="523">
        <v>20445</v>
      </c>
      <c r="W800" s="168">
        <f t="shared" si="12"/>
        <v>0.56000000000130967</v>
      </c>
    </row>
    <row r="801" spans="1:23">
      <c r="A801" s="168" t="s">
        <v>1469</v>
      </c>
      <c r="B801" s="455" t="s">
        <v>1553</v>
      </c>
      <c r="C801" s="455" t="s">
        <v>52</v>
      </c>
      <c r="D801" s="168" t="s">
        <v>1579</v>
      </c>
      <c r="E801" s="150">
        <v>74365.289999999994</v>
      </c>
      <c r="F801" s="456">
        <v>74366</v>
      </c>
      <c r="G801" s="168">
        <v>12075.31</v>
      </c>
      <c r="H801" s="168">
        <v>12067</v>
      </c>
      <c r="N801" s="168" t="s">
        <v>1469</v>
      </c>
      <c r="O801" s="455" t="s">
        <v>1553</v>
      </c>
      <c r="P801" s="455" t="s">
        <v>52</v>
      </c>
      <c r="Q801" s="455">
        <v>78084</v>
      </c>
      <c r="R801" s="455">
        <v>30000</v>
      </c>
      <c r="S801" s="168">
        <v>76030.210000000006</v>
      </c>
      <c r="T801" s="523">
        <v>76030</v>
      </c>
      <c r="W801" s="168">
        <f t="shared" si="12"/>
        <v>0.21000000000640284</v>
      </c>
    </row>
    <row r="802" spans="1:23">
      <c r="A802" s="168" t="s">
        <v>2721</v>
      </c>
      <c r="B802" s="455"/>
      <c r="E802" s="150"/>
      <c r="G802" s="168">
        <v>268821</v>
      </c>
      <c r="H802" s="168">
        <v>268821</v>
      </c>
      <c r="N802" s="168" t="s">
        <v>2721</v>
      </c>
      <c r="O802" s="455"/>
      <c r="P802" s="455"/>
      <c r="Q802" s="455"/>
      <c r="R802" s="455">
        <v>25000</v>
      </c>
      <c r="S802" s="168">
        <v>321096</v>
      </c>
      <c r="T802" s="523">
        <v>321096</v>
      </c>
      <c r="W802" s="168">
        <f t="shared" si="12"/>
        <v>0</v>
      </c>
    </row>
    <row r="803" spans="1:23">
      <c r="A803" s="168" t="s">
        <v>2722</v>
      </c>
      <c r="B803" s="455"/>
      <c r="E803" s="150"/>
      <c r="G803" s="168">
        <v>92860.5</v>
      </c>
      <c r="H803" s="168">
        <v>92860</v>
      </c>
      <c r="N803" s="168" t="s">
        <v>2722</v>
      </c>
      <c r="O803" s="455"/>
      <c r="P803" s="455"/>
      <c r="Q803" s="455"/>
      <c r="R803" s="455"/>
      <c r="S803" s="168">
        <v>376950.47</v>
      </c>
      <c r="T803" s="523">
        <v>376950</v>
      </c>
      <c r="W803" s="168">
        <f t="shared" si="12"/>
        <v>0.46999999997206032</v>
      </c>
    </row>
    <row r="804" spans="1:23">
      <c r="A804" s="168" t="s">
        <v>1470</v>
      </c>
      <c r="B804" s="455" t="s">
        <v>1553</v>
      </c>
      <c r="C804" s="455" t="s">
        <v>1455</v>
      </c>
      <c r="D804" s="168" t="s">
        <v>1579</v>
      </c>
      <c r="E804" s="150">
        <v>1452.5</v>
      </c>
      <c r="F804" s="456">
        <v>3800</v>
      </c>
      <c r="G804" s="168">
        <v>26676</v>
      </c>
      <c r="H804" s="168">
        <v>26676</v>
      </c>
      <c r="N804" s="168" t="s">
        <v>1470</v>
      </c>
      <c r="O804" s="455" t="s">
        <v>1553</v>
      </c>
      <c r="P804" s="455" t="s">
        <v>1455</v>
      </c>
      <c r="Q804" s="455">
        <v>20000</v>
      </c>
      <c r="R804" s="455">
        <v>10000</v>
      </c>
      <c r="S804" s="168">
        <v>0</v>
      </c>
      <c r="T804" s="523">
        <v>0</v>
      </c>
      <c r="W804" s="168">
        <f t="shared" si="12"/>
        <v>0</v>
      </c>
    </row>
    <row r="805" spans="1:23">
      <c r="A805" s="168" t="s">
        <v>835</v>
      </c>
      <c r="B805" s="455" t="s">
        <v>1553</v>
      </c>
      <c r="C805" s="455" t="s">
        <v>62</v>
      </c>
      <c r="D805" s="168" t="s">
        <v>1579</v>
      </c>
      <c r="E805" s="150">
        <v>0</v>
      </c>
      <c r="F805" s="456">
        <v>0</v>
      </c>
      <c r="G805" s="168">
        <v>7242</v>
      </c>
      <c r="H805" s="168">
        <v>7242</v>
      </c>
      <c r="N805" s="168" t="s">
        <v>835</v>
      </c>
      <c r="O805" s="455" t="s">
        <v>1553</v>
      </c>
      <c r="P805" s="455" t="s">
        <v>62</v>
      </c>
      <c r="Q805" s="455">
        <v>20000</v>
      </c>
      <c r="R805" s="455">
        <v>10000</v>
      </c>
      <c r="S805" s="168">
        <v>0</v>
      </c>
      <c r="T805" s="523">
        <v>0</v>
      </c>
      <c r="W805" s="168">
        <f t="shared" si="12"/>
        <v>0</v>
      </c>
    </row>
    <row r="806" spans="1:23">
      <c r="A806" s="168" t="s">
        <v>836</v>
      </c>
      <c r="B806" s="455" t="s">
        <v>1553</v>
      </c>
      <c r="C806" s="455" t="s">
        <v>837</v>
      </c>
      <c r="D806" s="168" t="s">
        <v>1579</v>
      </c>
      <c r="E806" s="150">
        <v>174000</v>
      </c>
      <c r="F806" s="456">
        <v>174000</v>
      </c>
      <c r="G806" s="168">
        <v>0</v>
      </c>
      <c r="H806" s="168">
        <v>0</v>
      </c>
      <c r="N806" s="168" t="s">
        <v>836</v>
      </c>
      <c r="O806" s="455" t="s">
        <v>1553</v>
      </c>
      <c r="P806" s="455" t="s">
        <v>837</v>
      </c>
      <c r="Q806" s="455">
        <v>182700</v>
      </c>
      <c r="R806" s="455">
        <v>100000</v>
      </c>
      <c r="S806" s="168">
        <v>0</v>
      </c>
      <c r="T806" s="523">
        <v>0</v>
      </c>
      <c r="W806" s="168">
        <f t="shared" si="12"/>
        <v>0</v>
      </c>
    </row>
    <row r="807" spans="1:23">
      <c r="A807" s="168" t="s">
        <v>838</v>
      </c>
      <c r="B807" s="455" t="s">
        <v>1553</v>
      </c>
      <c r="C807" s="455" t="s">
        <v>839</v>
      </c>
      <c r="D807" s="168" t="s">
        <v>1579</v>
      </c>
      <c r="E807" s="150">
        <v>0</v>
      </c>
      <c r="F807" s="456">
        <v>0</v>
      </c>
      <c r="G807" s="168">
        <v>0</v>
      </c>
      <c r="H807" s="168">
        <v>0</v>
      </c>
      <c r="N807" s="168" t="s">
        <v>838</v>
      </c>
      <c r="O807" s="455" t="s">
        <v>1553</v>
      </c>
      <c r="P807" s="455" t="s">
        <v>839</v>
      </c>
      <c r="Q807" s="455"/>
      <c r="R807" s="455"/>
      <c r="S807" s="168">
        <v>0</v>
      </c>
      <c r="T807" s="523">
        <v>0</v>
      </c>
      <c r="W807" s="168">
        <f t="shared" si="12"/>
        <v>0</v>
      </c>
    </row>
    <row r="808" spans="1:23">
      <c r="A808" s="168" t="s">
        <v>840</v>
      </c>
      <c r="B808" s="455" t="s">
        <v>1553</v>
      </c>
      <c r="C808" s="455" t="s">
        <v>2332</v>
      </c>
      <c r="D808" s="168" t="s">
        <v>1579</v>
      </c>
      <c r="E808" s="150">
        <v>0</v>
      </c>
      <c r="F808" s="456">
        <v>0</v>
      </c>
      <c r="G808" s="168">
        <v>0</v>
      </c>
      <c r="H808" s="168">
        <v>0</v>
      </c>
      <c r="N808" s="168" t="s">
        <v>840</v>
      </c>
      <c r="O808" s="455" t="s">
        <v>1553</v>
      </c>
      <c r="P808" s="455" t="s">
        <v>2332</v>
      </c>
      <c r="Q808" s="455"/>
      <c r="R808" s="455"/>
      <c r="S808" s="168">
        <v>0</v>
      </c>
      <c r="T808" s="523">
        <v>0</v>
      </c>
      <c r="W808" s="168">
        <f t="shared" si="12"/>
        <v>0</v>
      </c>
    </row>
    <row r="809" spans="1:23" ht="15.75" thickBot="1">
      <c r="A809" s="168" t="s">
        <v>841</v>
      </c>
      <c r="B809" s="455" t="s">
        <v>1553</v>
      </c>
      <c r="C809" s="455" t="s">
        <v>359</v>
      </c>
      <c r="D809" s="168" t="s">
        <v>1579</v>
      </c>
      <c r="E809" s="150">
        <v>0</v>
      </c>
      <c r="F809" s="456">
        <v>0</v>
      </c>
      <c r="G809" s="168">
        <v>0</v>
      </c>
      <c r="H809" s="168">
        <v>0</v>
      </c>
      <c r="N809" s="168" t="s">
        <v>841</v>
      </c>
      <c r="O809" s="455" t="s">
        <v>1553</v>
      </c>
      <c r="P809" s="455" t="s">
        <v>359</v>
      </c>
      <c r="Q809" s="455"/>
      <c r="R809" s="455"/>
      <c r="S809" s="168">
        <v>0</v>
      </c>
      <c r="T809" s="523">
        <v>0</v>
      </c>
      <c r="W809" s="168">
        <f t="shared" si="12"/>
        <v>0</v>
      </c>
    </row>
    <row r="810" spans="1:23" ht="16.5" thickTop="1" thickBot="1">
      <c r="A810" s="554" t="s">
        <v>2668</v>
      </c>
      <c r="B810" s="555"/>
      <c r="C810" s="555"/>
      <c r="D810" s="556"/>
      <c r="E810" s="558">
        <f>SUM(E770:E809)</f>
        <v>3025219.3100000005</v>
      </c>
      <c r="F810" s="558">
        <f>SUM(F770:F809)</f>
        <v>3043104</v>
      </c>
      <c r="G810" s="558">
        <f>SUM(G770:G809)</f>
        <v>3663657.7</v>
      </c>
      <c r="H810" s="558">
        <f>SUM(H770:H809)</f>
        <v>4887432</v>
      </c>
      <c r="N810" s="554" t="s">
        <v>2668</v>
      </c>
      <c r="O810" s="555"/>
      <c r="P810" s="555"/>
      <c r="Q810" s="555">
        <f>SUM(Q770:Q809)</f>
        <v>5194852</v>
      </c>
      <c r="R810" s="555">
        <f>SUM(R770:R809)</f>
        <v>5050491</v>
      </c>
      <c r="S810" s="558">
        <f>SUM(S770:S809)</f>
        <v>4490428.8899999987</v>
      </c>
      <c r="T810" s="558">
        <f>SUM(T770:T809)</f>
        <v>4421309</v>
      </c>
      <c r="U810" s="168">
        <f>SUM(S810)</f>
        <v>4490428.8899999987</v>
      </c>
      <c r="V810" s="168">
        <f>SUM(T810)</f>
        <v>4421309</v>
      </c>
      <c r="W810" s="168">
        <f t="shared" si="12"/>
        <v>69119.889999998733</v>
      </c>
    </row>
    <row r="811" spans="1:23" ht="15.75" thickTop="1">
      <c r="B811" s="455"/>
      <c r="E811" s="456">
        <f>SUM(E2:E809)</f>
        <v>-24803765.249999974</v>
      </c>
      <c r="G811" s="168">
        <f>SUM(G2:G810)/2</f>
        <v>-74556903.550000057</v>
      </c>
      <c r="O811" s="455"/>
      <c r="P811" s="455"/>
      <c r="Q811" s="455"/>
      <c r="R811" s="455"/>
      <c r="S811" s="168">
        <f>SUM(S2:S809)/2</f>
        <v>12596145.754999995</v>
      </c>
      <c r="T811" s="523"/>
      <c r="U811" s="603">
        <f>SUM(U768:U810)</f>
        <v>1687536.7999999989</v>
      </c>
      <c r="V811" s="603">
        <f>SUM(V768:V810)</f>
        <v>-578691</v>
      </c>
      <c r="W811" s="168">
        <f t="shared" si="12"/>
        <v>12596145.754999995</v>
      </c>
    </row>
    <row r="812" spans="1:23">
      <c r="B812" s="455"/>
      <c r="E812" s="456">
        <v>7666459.5099999998</v>
      </c>
      <c r="W812" s="168">
        <f t="shared" si="12"/>
        <v>0</v>
      </c>
    </row>
    <row r="813" spans="1:23">
      <c r="B813" s="455"/>
      <c r="E813" s="456">
        <f>SUM(E811:E812)</f>
        <v>-17137305.739999972</v>
      </c>
      <c r="W813" s="168">
        <f t="shared" si="12"/>
        <v>0</v>
      </c>
    </row>
    <row r="814" spans="1:23" ht="18.75">
      <c r="A814" s="564" t="s">
        <v>842</v>
      </c>
      <c r="B814" s="455"/>
      <c r="W814" s="168">
        <f t="shared" si="12"/>
        <v>0</v>
      </c>
    </row>
    <row r="815" spans="1:23" ht="15.75" thickBot="1">
      <c r="A815" s="168" t="s">
        <v>843</v>
      </c>
      <c r="B815" s="455"/>
      <c r="C815" s="455" t="s">
        <v>1368</v>
      </c>
      <c r="E815" s="456">
        <v>-844777.61</v>
      </c>
      <c r="F815" s="456">
        <v>-1813856</v>
      </c>
      <c r="W815" s="168">
        <f t="shared" si="12"/>
        <v>0</v>
      </c>
    </row>
    <row r="816" spans="1:23" ht="16.5" thickTop="1" thickBot="1">
      <c r="A816" s="554" t="s">
        <v>2668</v>
      </c>
      <c r="B816" s="555"/>
      <c r="C816" s="555"/>
      <c r="D816" s="556"/>
      <c r="E816" s="558">
        <f>SUM(E815)</f>
        <v>-844777.61</v>
      </c>
      <c r="F816" s="558">
        <f>SUM(F815)</f>
        <v>-1813856</v>
      </c>
      <c r="G816" s="558">
        <f>SUM(G815)</f>
        <v>0</v>
      </c>
      <c r="H816" s="558">
        <f>SUM(H815)</f>
        <v>0</v>
      </c>
      <c r="W816" s="168">
        <f t="shared" si="12"/>
        <v>0</v>
      </c>
    </row>
    <row r="817" spans="1:23" ht="15.75" thickTop="1">
      <c r="B817" s="455"/>
      <c r="W817" s="168">
        <f t="shared" si="12"/>
        <v>0</v>
      </c>
    </row>
    <row r="818" spans="1:23">
      <c r="A818" s="168" t="s">
        <v>844</v>
      </c>
      <c r="B818" s="455" t="s">
        <v>1552</v>
      </c>
      <c r="C818" s="455" t="s">
        <v>595</v>
      </c>
      <c r="E818" s="456">
        <v>21465.599999999999</v>
      </c>
      <c r="F818" s="456">
        <v>310500</v>
      </c>
      <c r="G818" s="168">
        <v>0</v>
      </c>
      <c r="H818" s="168">
        <v>0</v>
      </c>
      <c r="W818" s="168">
        <f t="shared" si="12"/>
        <v>0</v>
      </c>
    </row>
    <row r="819" spans="1:23">
      <c r="A819" s="168" t="s">
        <v>845</v>
      </c>
      <c r="B819" s="455" t="s">
        <v>1552</v>
      </c>
      <c r="C819" s="455" t="s">
        <v>338</v>
      </c>
      <c r="E819" s="456">
        <v>28038.16</v>
      </c>
      <c r="F819" s="456">
        <v>257500</v>
      </c>
      <c r="G819" s="168">
        <v>0</v>
      </c>
      <c r="H819" s="168">
        <v>0</v>
      </c>
      <c r="W819" s="168">
        <f t="shared" si="12"/>
        <v>0</v>
      </c>
    </row>
    <row r="820" spans="1:23">
      <c r="A820" s="168" t="s">
        <v>846</v>
      </c>
      <c r="B820" s="455" t="s">
        <v>1552</v>
      </c>
      <c r="C820" s="455" t="s">
        <v>545</v>
      </c>
      <c r="E820" s="456">
        <v>20656.97</v>
      </c>
      <c r="F820" s="456">
        <v>43260</v>
      </c>
      <c r="G820" s="168">
        <v>0</v>
      </c>
      <c r="H820" s="168">
        <v>0</v>
      </c>
      <c r="W820" s="168">
        <f t="shared" si="12"/>
        <v>0</v>
      </c>
    </row>
    <row r="821" spans="1:23">
      <c r="A821" s="168" t="s">
        <v>847</v>
      </c>
      <c r="B821" s="455" t="s">
        <v>1552</v>
      </c>
      <c r="C821" s="455" t="s">
        <v>545</v>
      </c>
      <c r="E821" s="456">
        <v>15843.92</v>
      </c>
      <c r="F821" s="456">
        <v>43260</v>
      </c>
      <c r="G821" s="168">
        <v>0</v>
      </c>
      <c r="H821" s="168">
        <v>0</v>
      </c>
      <c r="W821" s="168">
        <f t="shared" si="12"/>
        <v>0</v>
      </c>
    </row>
    <row r="822" spans="1:23">
      <c r="A822" s="168" t="s">
        <v>848</v>
      </c>
      <c r="B822" s="455" t="s">
        <v>1553</v>
      </c>
      <c r="C822" s="455" t="s">
        <v>612</v>
      </c>
      <c r="E822" s="456">
        <v>0</v>
      </c>
      <c r="F822" s="456">
        <v>28840</v>
      </c>
      <c r="G822" s="168">
        <v>0</v>
      </c>
      <c r="H822" s="168">
        <v>0</v>
      </c>
      <c r="W822" s="168">
        <f t="shared" si="12"/>
        <v>0</v>
      </c>
    </row>
    <row r="823" spans="1:23">
      <c r="A823" s="168" t="s">
        <v>849</v>
      </c>
      <c r="B823" s="455" t="s">
        <v>1553</v>
      </c>
      <c r="C823" s="455" t="s">
        <v>616</v>
      </c>
      <c r="E823" s="456">
        <v>174.57</v>
      </c>
      <c r="F823" s="456">
        <v>46350</v>
      </c>
      <c r="G823" s="168">
        <v>0</v>
      </c>
      <c r="H823" s="168">
        <v>0</v>
      </c>
      <c r="W823" s="168">
        <f t="shared" si="12"/>
        <v>0</v>
      </c>
    </row>
    <row r="824" spans="1:23">
      <c r="A824" s="168" t="s">
        <v>850</v>
      </c>
      <c r="B824" s="455" t="s">
        <v>1553</v>
      </c>
      <c r="C824" s="455" t="s">
        <v>622</v>
      </c>
      <c r="E824" s="456">
        <v>5890.62</v>
      </c>
      <c r="F824" s="456">
        <v>21630</v>
      </c>
      <c r="G824" s="168">
        <v>0</v>
      </c>
      <c r="H824" s="168">
        <v>0</v>
      </c>
      <c r="W824" s="168">
        <f t="shared" si="12"/>
        <v>0</v>
      </c>
    </row>
    <row r="825" spans="1:23">
      <c r="A825" s="168" t="s">
        <v>851</v>
      </c>
      <c r="B825" s="455" t="s">
        <v>1553</v>
      </c>
      <c r="C825" s="455" t="s">
        <v>2322</v>
      </c>
      <c r="E825" s="456">
        <v>0</v>
      </c>
      <c r="F825" s="456">
        <v>12394</v>
      </c>
      <c r="G825" s="168">
        <v>0</v>
      </c>
      <c r="H825" s="168">
        <v>0</v>
      </c>
      <c r="W825" s="168">
        <f t="shared" si="12"/>
        <v>0</v>
      </c>
    </row>
    <row r="826" spans="1:23">
      <c r="A826" s="168" t="s">
        <v>852</v>
      </c>
      <c r="B826" s="455" t="s">
        <v>1553</v>
      </c>
      <c r="C826" s="455" t="s">
        <v>624</v>
      </c>
      <c r="E826" s="456">
        <v>2855</v>
      </c>
      <c r="F826" s="456">
        <v>4327</v>
      </c>
      <c r="G826" s="168">
        <v>0</v>
      </c>
      <c r="H826" s="168">
        <v>0</v>
      </c>
      <c r="W826" s="168">
        <f t="shared" si="12"/>
        <v>0</v>
      </c>
    </row>
    <row r="827" spans="1:23">
      <c r="A827" s="168" t="s">
        <v>853</v>
      </c>
      <c r="B827" s="455" t="s">
        <v>1553</v>
      </c>
      <c r="C827" s="455" t="s">
        <v>854</v>
      </c>
      <c r="E827" s="456">
        <v>0</v>
      </c>
      <c r="F827" s="456">
        <v>154500</v>
      </c>
      <c r="G827" s="168">
        <v>0</v>
      </c>
      <c r="H827" s="168">
        <v>0</v>
      </c>
      <c r="W827" s="168">
        <f t="shared" si="12"/>
        <v>0</v>
      </c>
    </row>
    <row r="828" spans="1:23">
      <c r="A828" s="168" t="s">
        <v>855</v>
      </c>
      <c r="B828" s="455" t="s">
        <v>1553</v>
      </c>
      <c r="C828" s="455" t="s">
        <v>633</v>
      </c>
      <c r="E828" s="456">
        <v>1289.31</v>
      </c>
      <c r="F828" s="456">
        <v>16223</v>
      </c>
      <c r="G828" s="168">
        <v>0</v>
      </c>
      <c r="H828" s="168">
        <v>0</v>
      </c>
      <c r="W828" s="168">
        <f t="shared" si="12"/>
        <v>0</v>
      </c>
    </row>
    <row r="829" spans="1:23">
      <c r="A829" s="168" t="s">
        <v>856</v>
      </c>
      <c r="B829" s="455" t="s">
        <v>1553</v>
      </c>
      <c r="C829" s="455" t="s">
        <v>253</v>
      </c>
      <c r="E829" s="456">
        <v>1620.3</v>
      </c>
      <c r="F829" s="456">
        <v>4867</v>
      </c>
      <c r="G829" s="168">
        <v>0</v>
      </c>
      <c r="H829" s="168">
        <v>0</v>
      </c>
      <c r="W829" s="168">
        <f t="shared" si="12"/>
        <v>0</v>
      </c>
    </row>
    <row r="830" spans="1:23">
      <c r="A830" s="168" t="s">
        <v>857</v>
      </c>
      <c r="B830" s="455" t="s">
        <v>1553</v>
      </c>
      <c r="C830" s="455" t="s">
        <v>52</v>
      </c>
      <c r="E830" s="456">
        <v>1860.01</v>
      </c>
      <c r="F830" s="456">
        <v>10815</v>
      </c>
      <c r="G830" s="168">
        <v>0</v>
      </c>
      <c r="H830" s="168">
        <v>0</v>
      </c>
      <c r="W830" s="168">
        <f t="shared" si="12"/>
        <v>0</v>
      </c>
    </row>
    <row r="831" spans="1:23">
      <c r="A831" s="168" t="s">
        <v>858</v>
      </c>
      <c r="B831" s="455" t="s">
        <v>1553</v>
      </c>
      <c r="C831" s="455" t="s">
        <v>52</v>
      </c>
      <c r="E831" s="456">
        <v>0</v>
      </c>
      <c r="F831" s="456">
        <v>14400</v>
      </c>
      <c r="G831" s="168">
        <v>0</v>
      </c>
      <c r="H831" s="168">
        <v>0</v>
      </c>
      <c r="W831" s="168">
        <f t="shared" si="12"/>
        <v>0</v>
      </c>
    </row>
    <row r="832" spans="1:23">
      <c r="A832" s="168" t="s">
        <v>1474</v>
      </c>
      <c r="B832" s="455" t="s">
        <v>1553</v>
      </c>
      <c r="C832" s="455" t="s">
        <v>261</v>
      </c>
      <c r="E832" s="456">
        <v>-1472199.21</v>
      </c>
      <c r="F832" s="456">
        <v>1223878</v>
      </c>
      <c r="G832" s="168">
        <v>0</v>
      </c>
      <c r="H832" s="168">
        <v>0</v>
      </c>
      <c r="W832" s="168">
        <f t="shared" si="12"/>
        <v>0</v>
      </c>
    </row>
    <row r="833" spans="1:23">
      <c r="A833" s="168" t="s">
        <v>1475</v>
      </c>
      <c r="B833" s="455"/>
      <c r="C833" s="455" t="s">
        <v>2328</v>
      </c>
      <c r="E833" s="456">
        <v>62451.92</v>
      </c>
      <c r="F833" s="456">
        <v>386000</v>
      </c>
      <c r="G833" s="168">
        <v>0</v>
      </c>
      <c r="H833" s="168">
        <v>0</v>
      </c>
      <c r="W833" s="168">
        <f t="shared" si="12"/>
        <v>0</v>
      </c>
    </row>
    <row r="834" spans="1:23">
      <c r="A834" s="168" t="s">
        <v>1476</v>
      </c>
      <c r="B834" s="455"/>
      <c r="C834" s="455" t="s">
        <v>2328</v>
      </c>
      <c r="E834" s="456">
        <v>0</v>
      </c>
      <c r="F834" s="456">
        <v>660000</v>
      </c>
      <c r="G834" s="168">
        <v>0</v>
      </c>
      <c r="H834" s="168">
        <v>0</v>
      </c>
      <c r="W834" s="168">
        <f t="shared" si="12"/>
        <v>0</v>
      </c>
    </row>
    <row r="835" spans="1:23">
      <c r="A835" s="168" t="s">
        <v>1477</v>
      </c>
      <c r="B835" s="455"/>
      <c r="C835" s="455" t="s">
        <v>2328</v>
      </c>
      <c r="E835" s="456">
        <v>0</v>
      </c>
      <c r="F835" s="456">
        <v>-660000</v>
      </c>
      <c r="G835" s="168">
        <v>0</v>
      </c>
      <c r="H835" s="168">
        <v>0</v>
      </c>
      <c r="W835" s="168">
        <f t="shared" si="12"/>
        <v>0</v>
      </c>
    </row>
    <row r="836" spans="1:23" ht="15.75" thickBot="1">
      <c r="A836" s="168" t="s">
        <v>1478</v>
      </c>
      <c r="B836" s="455"/>
      <c r="C836" s="455" t="s">
        <v>2328</v>
      </c>
      <c r="E836" s="456">
        <v>0</v>
      </c>
      <c r="F836" s="456">
        <v>-386000</v>
      </c>
      <c r="G836" s="168">
        <v>0</v>
      </c>
      <c r="H836" s="168">
        <v>0</v>
      </c>
      <c r="W836" s="168">
        <f t="shared" si="12"/>
        <v>0</v>
      </c>
    </row>
    <row r="837" spans="1:23" ht="16.5" thickTop="1" thickBot="1">
      <c r="A837" s="554" t="s">
        <v>2668</v>
      </c>
      <c r="B837" s="555"/>
      <c r="C837" s="555"/>
      <c r="D837" s="556"/>
      <c r="E837" s="558">
        <f>SUM(E818:E836)</f>
        <v>-1310052.83</v>
      </c>
      <c r="F837" s="558">
        <f>SUM(F818:F836)</f>
        <v>2192744</v>
      </c>
      <c r="G837" s="558">
        <f>SUM(G818:G836)</f>
        <v>0</v>
      </c>
      <c r="H837" s="558">
        <f>SUM(H818:H836)</f>
        <v>0</v>
      </c>
      <c r="W837" s="168">
        <f t="shared" ref="W837:W900" si="13">S837-T837</f>
        <v>0</v>
      </c>
    </row>
    <row r="838" spans="1:23" ht="15.75" thickTop="1">
      <c r="B838" s="455"/>
      <c r="W838" s="168">
        <f t="shared" si="13"/>
        <v>0</v>
      </c>
    </row>
    <row r="839" spans="1:23">
      <c r="A839" s="168" t="s">
        <v>1479</v>
      </c>
      <c r="B839" s="455" t="s">
        <v>1241</v>
      </c>
      <c r="C839" s="455" t="s">
        <v>1368</v>
      </c>
      <c r="E839" s="456">
        <v>-8390025.7200000007</v>
      </c>
      <c r="F839" s="456">
        <v>-13972544</v>
      </c>
      <c r="G839" s="168">
        <v>0</v>
      </c>
      <c r="H839" s="168">
        <v>0</v>
      </c>
      <c r="W839" s="168">
        <f t="shared" si="13"/>
        <v>0</v>
      </c>
    </row>
    <row r="840" spans="1:23">
      <c r="A840" s="168" t="s">
        <v>1480</v>
      </c>
      <c r="B840" s="455" t="s">
        <v>1241</v>
      </c>
      <c r="C840" s="455" t="s">
        <v>1368</v>
      </c>
      <c r="E840" s="456">
        <v>0</v>
      </c>
      <c r="F840" s="456">
        <v>-47278</v>
      </c>
      <c r="G840" s="168">
        <v>0</v>
      </c>
      <c r="H840" s="168">
        <v>0</v>
      </c>
      <c r="W840" s="168">
        <f t="shared" si="13"/>
        <v>0</v>
      </c>
    </row>
    <row r="841" spans="1:23">
      <c r="A841" s="168" t="s">
        <v>1481</v>
      </c>
      <c r="B841" s="455" t="s">
        <v>1241</v>
      </c>
      <c r="C841" s="455" t="s">
        <v>1368</v>
      </c>
      <c r="E841" s="456">
        <v>0</v>
      </c>
      <c r="F841" s="456">
        <v>0</v>
      </c>
      <c r="G841" s="168">
        <v>0</v>
      </c>
      <c r="H841" s="168">
        <v>0</v>
      </c>
      <c r="W841" s="168">
        <f t="shared" si="13"/>
        <v>0</v>
      </c>
    </row>
    <row r="842" spans="1:23">
      <c r="A842" s="168" t="s">
        <v>1482</v>
      </c>
      <c r="B842" s="455" t="s">
        <v>1241</v>
      </c>
      <c r="C842" s="455" t="s">
        <v>1368</v>
      </c>
      <c r="E842" s="456">
        <v>-620221.30000000005</v>
      </c>
      <c r="F842" s="456">
        <v>-1280711</v>
      </c>
      <c r="G842" s="168">
        <v>0</v>
      </c>
      <c r="H842" s="168">
        <v>0</v>
      </c>
      <c r="W842" s="168">
        <f t="shared" si="13"/>
        <v>0</v>
      </c>
    </row>
    <row r="843" spans="1:23">
      <c r="A843" s="168" t="s">
        <v>1483</v>
      </c>
      <c r="B843" s="455" t="s">
        <v>1241</v>
      </c>
      <c r="C843" s="455" t="s">
        <v>1368</v>
      </c>
      <c r="E843" s="456">
        <v>0</v>
      </c>
      <c r="F843" s="456">
        <v>0</v>
      </c>
      <c r="G843" s="168">
        <v>0</v>
      </c>
      <c r="H843" s="168">
        <v>0</v>
      </c>
      <c r="W843" s="168">
        <f t="shared" si="13"/>
        <v>0</v>
      </c>
    </row>
    <row r="844" spans="1:23">
      <c r="A844" s="168" t="s">
        <v>1484</v>
      </c>
      <c r="B844" s="455" t="s">
        <v>1241</v>
      </c>
      <c r="C844" s="455" t="s">
        <v>1485</v>
      </c>
      <c r="E844" s="456">
        <v>-208817.34</v>
      </c>
      <c r="F844" s="456">
        <v>0</v>
      </c>
      <c r="G844" s="168">
        <v>0</v>
      </c>
      <c r="H844" s="168">
        <v>0</v>
      </c>
      <c r="W844" s="168">
        <f t="shared" si="13"/>
        <v>0</v>
      </c>
    </row>
    <row r="845" spans="1:23" ht="15.75" thickBot="1">
      <c r="A845" s="168" t="s">
        <v>1486</v>
      </c>
      <c r="B845" s="455" t="s">
        <v>1241</v>
      </c>
      <c r="C845" s="455" t="s">
        <v>560</v>
      </c>
      <c r="E845" s="456">
        <v>0</v>
      </c>
      <c r="F845" s="456">
        <v>0</v>
      </c>
      <c r="G845" s="168">
        <v>0</v>
      </c>
      <c r="H845" s="168">
        <v>0</v>
      </c>
      <c r="W845" s="168">
        <f t="shared" si="13"/>
        <v>0</v>
      </c>
    </row>
    <row r="846" spans="1:23" ht="16.5" thickTop="1" thickBot="1">
      <c r="A846" s="554" t="s">
        <v>2668</v>
      </c>
      <c r="B846" s="555"/>
      <c r="C846" s="555"/>
      <c r="D846" s="556"/>
      <c r="E846" s="558">
        <f>SUM(E839:E845)</f>
        <v>-9219064.3600000013</v>
      </c>
      <c r="F846" s="558">
        <f>SUM(F839:F845)</f>
        <v>-15300533</v>
      </c>
      <c r="G846" s="558">
        <f>SUM(G839:G845)</f>
        <v>0</v>
      </c>
      <c r="H846" s="558">
        <f>SUM(H839:H845)</f>
        <v>0</v>
      </c>
      <c r="W846" s="168">
        <f t="shared" si="13"/>
        <v>0</v>
      </c>
    </row>
    <row r="847" spans="1:23" ht="15.75" thickTop="1">
      <c r="B847" s="455"/>
      <c r="W847" s="168">
        <f t="shared" si="13"/>
        <v>0</v>
      </c>
    </row>
    <row r="848" spans="1:23">
      <c r="A848" s="168" t="s">
        <v>1487</v>
      </c>
      <c r="B848" s="455" t="s">
        <v>1549</v>
      </c>
      <c r="C848" s="455" t="s">
        <v>75</v>
      </c>
      <c r="E848" s="456">
        <v>4191400.13</v>
      </c>
      <c r="F848" s="456">
        <v>4324304</v>
      </c>
      <c r="G848" s="168">
        <v>0</v>
      </c>
      <c r="H848" s="168">
        <v>0</v>
      </c>
      <c r="W848" s="168">
        <f t="shared" si="13"/>
        <v>0</v>
      </c>
    </row>
    <row r="849" spans="1:23">
      <c r="A849" s="168" t="s">
        <v>1488</v>
      </c>
      <c r="B849" s="455" t="s">
        <v>1549</v>
      </c>
      <c r="C849" s="455" t="s">
        <v>77</v>
      </c>
      <c r="E849" s="456">
        <v>475797.19</v>
      </c>
      <c r="F849" s="456">
        <v>417541</v>
      </c>
      <c r="G849" s="168">
        <v>0</v>
      </c>
      <c r="H849" s="168">
        <v>0</v>
      </c>
      <c r="W849" s="168">
        <f t="shared" si="13"/>
        <v>0</v>
      </c>
    </row>
    <row r="850" spans="1:23">
      <c r="A850" s="168" t="s">
        <v>1489</v>
      </c>
      <c r="B850" s="455" t="s">
        <v>1549</v>
      </c>
      <c r="C850" s="455" t="s">
        <v>60</v>
      </c>
      <c r="E850" s="456">
        <v>140237.56</v>
      </c>
      <c r="F850" s="456">
        <v>300238</v>
      </c>
      <c r="G850" s="168">
        <v>0</v>
      </c>
      <c r="H850" s="168">
        <v>0</v>
      </c>
      <c r="W850" s="168">
        <f t="shared" si="13"/>
        <v>0</v>
      </c>
    </row>
    <row r="851" spans="1:23">
      <c r="A851" s="168" t="s">
        <v>1490</v>
      </c>
      <c r="B851" s="455" t="s">
        <v>1549</v>
      </c>
      <c r="C851" s="455" t="s">
        <v>1395</v>
      </c>
      <c r="E851" s="456">
        <v>142571.1</v>
      </c>
      <c r="F851" s="456">
        <v>177633</v>
      </c>
      <c r="G851" s="168">
        <v>0</v>
      </c>
      <c r="H851" s="168">
        <v>0</v>
      </c>
      <c r="W851" s="168">
        <f t="shared" si="13"/>
        <v>0</v>
      </c>
    </row>
    <row r="852" spans="1:23">
      <c r="A852" s="168" t="s">
        <v>1491</v>
      </c>
      <c r="B852" s="455" t="s">
        <v>1549</v>
      </c>
      <c r="C852" s="455" t="s">
        <v>572</v>
      </c>
      <c r="E852" s="456">
        <v>39600</v>
      </c>
      <c r="F852" s="456">
        <v>35572</v>
      </c>
      <c r="G852" s="168">
        <v>0</v>
      </c>
      <c r="H852" s="168">
        <v>0</v>
      </c>
      <c r="W852" s="168">
        <f t="shared" si="13"/>
        <v>0</v>
      </c>
    </row>
    <row r="853" spans="1:23">
      <c r="A853" s="168" t="s">
        <v>1492</v>
      </c>
      <c r="B853" s="455" t="s">
        <v>1549</v>
      </c>
      <c r="C853" s="455" t="s">
        <v>515</v>
      </c>
      <c r="E853" s="456">
        <v>38703.760000000002</v>
      </c>
      <c r="F853" s="456">
        <v>17917</v>
      </c>
      <c r="G853" s="168">
        <v>0</v>
      </c>
      <c r="H853" s="168">
        <v>0</v>
      </c>
      <c r="W853" s="168">
        <f t="shared" si="13"/>
        <v>0</v>
      </c>
    </row>
    <row r="854" spans="1:23">
      <c r="A854" s="168" t="s">
        <v>1493</v>
      </c>
      <c r="B854" s="455" t="s">
        <v>1549</v>
      </c>
      <c r="C854" s="455" t="s">
        <v>660</v>
      </c>
      <c r="E854" s="456">
        <v>93786.13</v>
      </c>
      <c r="F854" s="456">
        <v>27283</v>
      </c>
      <c r="G854" s="168">
        <v>0</v>
      </c>
      <c r="H854" s="168">
        <v>0</v>
      </c>
      <c r="W854" s="168">
        <f t="shared" si="13"/>
        <v>0</v>
      </c>
    </row>
    <row r="855" spans="1:23">
      <c r="A855" s="168" t="s">
        <v>1494</v>
      </c>
      <c r="B855" s="455" t="s">
        <v>1549</v>
      </c>
      <c r="C855" s="455" t="s">
        <v>767</v>
      </c>
      <c r="E855" s="456">
        <v>4572</v>
      </c>
      <c r="F855" s="456">
        <v>45679</v>
      </c>
      <c r="G855" s="168">
        <v>0</v>
      </c>
      <c r="H855" s="168">
        <v>0</v>
      </c>
      <c r="W855" s="168">
        <f t="shared" si="13"/>
        <v>0</v>
      </c>
    </row>
    <row r="856" spans="1:23">
      <c r="A856" s="168" t="s">
        <v>1495</v>
      </c>
      <c r="B856" s="455" t="s">
        <v>1549</v>
      </c>
      <c r="C856" s="455" t="s">
        <v>84</v>
      </c>
      <c r="E856" s="456">
        <v>0</v>
      </c>
      <c r="F856" s="456">
        <v>211594</v>
      </c>
      <c r="G856" s="168">
        <v>0</v>
      </c>
      <c r="H856" s="168">
        <v>0</v>
      </c>
      <c r="W856" s="168">
        <f t="shared" si="13"/>
        <v>0</v>
      </c>
    </row>
    <row r="857" spans="1:23">
      <c r="A857" s="168" t="s">
        <v>1496</v>
      </c>
      <c r="B857" s="455" t="s">
        <v>1549</v>
      </c>
      <c r="C857" s="455" t="s">
        <v>575</v>
      </c>
      <c r="E857" s="456">
        <v>19057.52</v>
      </c>
      <c r="F857" s="456">
        <v>419833</v>
      </c>
      <c r="G857" s="168">
        <v>0</v>
      </c>
      <c r="H857" s="168">
        <v>0</v>
      </c>
      <c r="W857" s="168">
        <f t="shared" si="13"/>
        <v>0</v>
      </c>
    </row>
    <row r="858" spans="1:23">
      <c r="A858" s="168" t="s">
        <v>1497</v>
      </c>
      <c r="B858" s="455" t="s">
        <v>1549</v>
      </c>
      <c r="C858" s="455" t="s">
        <v>575</v>
      </c>
      <c r="E858" s="456">
        <v>370043.19</v>
      </c>
      <c r="F858" s="456">
        <v>787637</v>
      </c>
      <c r="G858" s="168">
        <v>0</v>
      </c>
      <c r="H858" s="168">
        <v>0</v>
      </c>
      <c r="W858" s="168">
        <f t="shared" si="13"/>
        <v>0</v>
      </c>
    </row>
    <row r="859" spans="1:23">
      <c r="A859" s="168" t="s">
        <v>1498</v>
      </c>
      <c r="B859" s="455" t="s">
        <v>1549</v>
      </c>
      <c r="C859" s="455" t="s">
        <v>575</v>
      </c>
      <c r="E859" s="456">
        <v>24313.279999999999</v>
      </c>
      <c r="F859" s="456">
        <v>39148</v>
      </c>
      <c r="G859" s="168">
        <v>0</v>
      </c>
      <c r="H859" s="168">
        <v>0</v>
      </c>
      <c r="W859" s="168">
        <f t="shared" si="13"/>
        <v>0</v>
      </c>
    </row>
    <row r="860" spans="1:23">
      <c r="A860" s="168" t="s">
        <v>1499</v>
      </c>
      <c r="B860" s="455" t="s">
        <v>1549</v>
      </c>
      <c r="C860" s="455" t="s">
        <v>575</v>
      </c>
      <c r="E860" s="456">
        <v>10150.16</v>
      </c>
      <c r="F860" s="456">
        <v>71603</v>
      </c>
      <c r="G860" s="168">
        <v>0</v>
      </c>
      <c r="H860" s="168">
        <v>0</v>
      </c>
      <c r="W860" s="168">
        <f t="shared" si="13"/>
        <v>0</v>
      </c>
    </row>
    <row r="861" spans="1:23">
      <c r="A861" s="168" t="s">
        <v>1500</v>
      </c>
      <c r="B861" s="455" t="s">
        <v>1549</v>
      </c>
      <c r="C861" s="455" t="s">
        <v>1807</v>
      </c>
      <c r="E861" s="456">
        <v>1488</v>
      </c>
      <c r="F861" s="456">
        <v>2625</v>
      </c>
      <c r="G861" s="168">
        <v>0</v>
      </c>
      <c r="H861" s="168">
        <v>0</v>
      </c>
      <c r="W861" s="168">
        <f t="shared" si="13"/>
        <v>0</v>
      </c>
    </row>
    <row r="862" spans="1:23">
      <c r="A862" s="168" t="s">
        <v>1501</v>
      </c>
      <c r="B862" s="455"/>
      <c r="C862" s="455" t="s">
        <v>592</v>
      </c>
      <c r="E862" s="456">
        <v>0</v>
      </c>
      <c r="F862" s="456">
        <v>2979463</v>
      </c>
      <c r="G862" s="168">
        <v>0</v>
      </c>
      <c r="H862" s="168">
        <v>0</v>
      </c>
      <c r="W862" s="168">
        <f t="shared" si="13"/>
        <v>0</v>
      </c>
    </row>
    <row r="863" spans="1:23">
      <c r="A863" s="168" t="s">
        <v>1502</v>
      </c>
      <c r="B863" s="455" t="s">
        <v>1552</v>
      </c>
      <c r="C863" s="455" t="s">
        <v>595</v>
      </c>
      <c r="E863" s="456">
        <v>403899.69</v>
      </c>
      <c r="F863" s="456">
        <v>576000</v>
      </c>
      <c r="G863" s="168">
        <v>0</v>
      </c>
      <c r="H863" s="168">
        <v>0</v>
      </c>
      <c r="W863" s="168">
        <f t="shared" si="13"/>
        <v>0</v>
      </c>
    </row>
    <row r="864" spans="1:23">
      <c r="A864" s="168" t="s">
        <v>1503</v>
      </c>
      <c r="B864" s="455" t="s">
        <v>1552</v>
      </c>
      <c r="C864" s="455" t="s">
        <v>338</v>
      </c>
      <c r="E864" s="456">
        <v>521837.96</v>
      </c>
      <c r="F864" s="456">
        <v>1022300</v>
      </c>
      <c r="G864" s="168">
        <v>0</v>
      </c>
      <c r="H864" s="168">
        <v>0</v>
      </c>
      <c r="W864" s="168">
        <f t="shared" si="13"/>
        <v>0</v>
      </c>
    </row>
    <row r="865" spans="1:23">
      <c r="A865" s="168" t="s">
        <v>1504</v>
      </c>
      <c r="B865" s="455" t="s">
        <v>1552</v>
      </c>
      <c r="C865" s="455" t="s">
        <v>545</v>
      </c>
      <c r="E865" s="456">
        <v>6121.41</v>
      </c>
      <c r="F865" s="456">
        <v>82400</v>
      </c>
      <c r="G865" s="168">
        <v>0</v>
      </c>
      <c r="H865" s="168">
        <v>0</v>
      </c>
      <c r="W865" s="168">
        <f t="shared" si="13"/>
        <v>0</v>
      </c>
    </row>
    <row r="866" spans="1:23">
      <c r="A866" s="168" t="s">
        <v>1505</v>
      </c>
      <c r="B866" s="455" t="s">
        <v>1552</v>
      </c>
      <c r="C866" s="455" t="s">
        <v>545</v>
      </c>
      <c r="E866" s="456">
        <v>135920.68</v>
      </c>
      <c r="F866" s="456">
        <v>151410</v>
      </c>
      <c r="G866" s="168">
        <v>0</v>
      </c>
      <c r="H866" s="168">
        <v>0</v>
      </c>
      <c r="W866" s="168">
        <f t="shared" si="13"/>
        <v>0</v>
      </c>
    </row>
    <row r="867" spans="1:23">
      <c r="A867" s="168" t="s">
        <v>1506</v>
      </c>
      <c r="B867" s="455" t="s">
        <v>1552</v>
      </c>
      <c r="C867" s="455" t="s">
        <v>1507</v>
      </c>
      <c r="E867" s="456">
        <v>23016.75</v>
      </c>
      <c r="F867" s="456">
        <v>97000</v>
      </c>
      <c r="G867" s="168">
        <v>0</v>
      </c>
      <c r="H867" s="168">
        <v>0</v>
      </c>
      <c r="W867" s="168">
        <f t="shared" si="13"/>
        <v>0</v>
      </c>
    </row>
    <row r="868" spans="1:23">
      <c r="A868" s="168" t="s">
        <v>1508</v>
      </c>
      <c r="B868" s="455" t="s">
        <v>2469</v>
      </c>
      <c r="C868" s="455" t="s">
        <v>2315</v>
      </c>
      <c r="E868" s="456">
        <v>228428.12</v>
      </c>
      <c r="F868" s="456">
        <v>364816</v>
      </c>
      <c r="G868" s="168">
        <v>0</v>
      </c>
      <c r="H868" s="168">
        <v>0</v>
      </c>
      <c r="W868" s="168">
        <f t="shared" si="13"/>
        <v>0</v>
      </c>
    </row>
    <row r="869" spans="1:23">
      <c r="A869" s="168" t="s">
        <v>1509</v>
      </c>
      <c r="B869" s="455" t="s">
        <v>2469</v>
      </c>
      <c r="C869" s="455" t="s">
        <v>2333</v>
      </c>
      <c r="E869" s="456">
        <v>0</v>
      </c>
      <c r="F869" s="456">
        <v>0</v>
      </c>
      <c r="G869" s="168">
        <v>0</v>
      </c>
      <c r="H869" s="168">
        <v>0</v>
      </c>
      <c r="W869" s="168">
        <f t="shared" si="13"/>
        <v>0</v>
      </c>
    </row>
    <row r="870" spans="1:23">
      <c r="A870" s="168" t="s">
        <v>1510</v>
      </c>
      <c r="B870" s="455" t="s">
        <v>2469</v>
      </c>
      <c r="C870" s="455" t="s">
        <v>2333</v>
      </c>
      <c r="E870" s="456">
        <v>256444.29</v>
      </c>
      <c r="F870" s="456">
        <v>221810</v>
      </c>
      <c r="G870" s="168">
        <v>0</v>
      </c>
      <c r="H870" s="168">
        <v>0</v>
      </c>
      <c r="W870" s="168">
        <f t="shared" si="13"/>
        <v>0</v>
      </c>
    </row>
    <row r="871" spans="1:23">
      <c r="A871" s="168" t="s">
        <v>1511</v>
      </c>
      <c r="B871" s="455" t="s">
        <v>2469</v>
      </c>
      <c r="C871" s="455" t="s">
        <v>600</v>
      </c>
      <c r="E871" s="456">
        <v>678239.47</v>
      </c>
      <c r="F871" s="456">
        <v>720000</v>
      </c>
      <c r="G871" s="168">
        <v>0</v>
      </c>
      <c r="H871" s="168">
        <v>0</v>
      </c>
      <c r="W871" s="168">
        <f t="shared" si="13"/>
        <v>0</v>
      </c>
    </row>
    <row r="872" spans="1:23">
      <c r="A872" s="168" t="s">
        <v>1512</v>
      </c>
      <c r="B872" s="455" t="s">
        <v>1553</v>
      </c>
      <c r="C872" s="455" t="s">
        <v>111</v>
      </c>
      <c r="E872" s="456">
        <v>421221.7</v>
      </c>
      <c r="F872" s="456">
        <v>250000</v>
      </c>
      <c r="G872" s="168">
        <v>0</v>
      </c>
      <c r="H872" s="168">
        <v>0</v>
      </c>
      <c r="W872" s="168">
        <f t="shared" si="13"/>
        <v>0</v>
      </c>
    </row>
    <row r="873" spans="1:23">
      <c r="A873" s="168" t="s">
        <v>1513</v>
      </c>
      <c r="B873" s="455" t="s">
        <v>1553</v>
      </c>
      <c r="C873" s="455" t="s">
        <v>2450</v>
      </c>
      <c r="E873" s="456">
        <v>152312.39000000001</v>
      </c>
      <c r="F873" s="456">
        <v>125000</v>
      </c>
      <c r="G873" s="168">
        <v>0</v>
      </c>
      <c r="H873" s="168">
        <v>0</v>
      </c>
      <c r="W873" s="168">
        <f t="shared" si="13"/>
        <v>0</v>
      </c>
    </row>
    <row r="874" spans="1:23">
      <c r="A874" s="168" t="s">
        <v>1514</v>
      </c>
      <c r="B874" s="455" t="s">
        <v>1553</v>
      </c>
      <c r="C874" s="455" t="s">
        <v>612</v>
      </c>
      <c r="E874" s="456">
        <v>0</v>
      </c>
      <c r="F874" s="456">
        <v>16850</v>
      </c>
      <c r="G874" s="168">
        <v>0</v>
      </c>
      <c r="H874" s="168">
        <v>0</v>
      </c>
      <c r="W874" s="168">
        <f t="shared" si="13"/>
        <v>0</v>
      </c>
    </row>
    <row r="875" spans="1:23">
      <c r="A875" s="168" t="s">
        <v>1515</v>
      </c>
      <c r="B875" s="455" t="s">
        <v>1553</v>
      </c>
      <c r="C875" s="455" t="s">
        <v>284</v>
      </c>
      <c r="E875" s="456">
        <v>471463.39</v>
      </c>
      <c r="F875" s="456">
        <v>0</v>
      </c>
      <c r="G875" s="168">
        <v>0</v>
      </c>
      <c r="H875" s="168">
        <v>0</v>
      </c>
      <c r="W875" s="168">
        <f t="shared" si="13"/>
        <v>0</v>
      </c>
    </row>
    <row r="876" spans="1:23">
      <c r="A876" s="168" t="s">
        <v>1516</v>
      </c>
      <c r="B876" s="455" t="s">
        <v>1553</v>
      </c>
      <c r="C876" s="455" t="s">
        <v>616</v>
      </c>
      <c r="E876" s="456">
        <v>102611.9</v>
      </c>
      <c r="F876" s="456">
        <v>103000</v>
      </c>
      <c r="G876" s="168">
        <v>0</v>
      </c>
      <c r="H876" s="168">
        <v>0</v>
      </c>
      <c r="W876" s="168">
        <f t="shared" si="13"/>
        <v>0</v>
      </c>
    </row>
    <row r="877" spans="1:23">
      <c r="A877" s="168" t="s">
        <v>1517</v>
      </c>
      <c r="B877" s="455" t="s">
        <v>1553</v>
      </c>
      <c r="C877" s="455" t="s">
        <v>622</v>
      </c>
      <c r="E877" s="456">
        <v>164677.06</v>
      </c>
      <c r="F877" s="456">
        <v>70297</v>
      </c>
      <c r="G877" s="168">
        <v>0</v>
      </c>
      <c r="H877" s="168">
        <v>0</v>
      </c>
      <c r="W877" s="168">
        <f t="shared" si="13"/>
        <v>0</v>
      </c>
    </row>
    <row r="878" spans="1:23">
      <c r="A878" s="168" t="s">
        <v>1518</v>
      </c>
      <c r="B878" s="455" t="s">
        <v>1553</v>
      </c>
      <c r="C878" s="455" t="s">
        <v>2322</v>
      </c>
      <c r="E878" s="456">
        <v>0</v>
      </c>
      <c r="F878" s="456">
        <v>37801</v>
      </c>
      <c r="G878" s="168">
        <v>0</v>
      </c>
      <c r="H878" s="168">
        <v>0</v>
      </c>
      <c r="W878" s="168">
        <f t="shared" si="13"/>
        <v>0</v>
      </c>
    </row>
    <row r="879" spans="1:23">
      <c r="A879" s="168" t="s">
        <v>1519</v>
      </c>
      <c r="B879" s="455" t="s">
        <v>1553</v>
      </c>
      <c r="C879" s="455" t="s">
        <v>1668</v>
      </c>
      <c r="E879" s="456">
        <v>2808.09</v>
      </c>
      <c r="F879" s="456">
        <v>57695</v>
      </c>
      <c r="G879" s="168">
        <v>0</v>
      </c>
      <c r="H879" s="168">
        <v>0</v>
      </c>
      <c r="W879" s="168">
        <f t="shared" si="13"/>
        <v>0</v>
      </c>
    </row>
    <row r="880" spans="1:23">
      <c r="A880" s="168" t="s">
        <v>1520</v>
      </c>
      <c r="B880" s="455" t="s">
        <v>1553</v>
      </c>
      <c r="C880" s="455" t="s">
        <v>624</v>
      </c>
      <c r="E880" s="456">
        <v>2855</v>
      </c>
      <c r="F880" s="456">
        <v>10300</v>
      </c>
      <c r="G880" s="168">
        <v>0</v>
      </c>
      <c r="H880" s="168">
        <v>0</v>
      </c>
      <c r="W880" s="168">
        <f t="shared" si="13"/>
        <v>0</v>
      </c>
    </row>
    <row r="881" spans="1:23">
      <c r="A881" s="168" t="s">
        <v>1521</v>
      </c>
      <c r="B881" s="455" t="s">
        <v>1553</v>
      </c>
      <c r="C881" s="455" t="s">
        <v>631</v>
      </c>
      <c r="E881" s="456">
        <v>88836.84</v>
      </c>
      <c r="F881" s="456">
        <v>62000</v>
      </c>
      <c r="G881" s="168">
        <v>0</v>
      </c>
      <c r="H881" s="168">
        <v>0</v>
      </c>
      <c r="W881" s="168">
        <f t="shared" si="13"/>
        <v>0</v>
      </c>
    </row>
    <row r="882" spans="1:23">
      <c r="A882" s="168" t="s">
        <v>1522</v>
      </c>
      <c r="B882" s="455" t="s">
        <v>1553</v>
      </c>
      <c r="C882" s="455" t="s">
        <v>633</v>
      </c>
      <c r="E882" s="456">
        <v>9211.39</v>
      </c>
      <c r="F882" s="456">
        <v>16223</v>
      </c>
      <c r="G882" s="168">
        <v>0</v>
      </c>
      <c r="H882" s="168">
        <v>0</v>
      </c>
      <c r="W882" s="168">
        <f t="shared" si="13"/>
        <v>0</v>
      </c>
    </row>
    <row r="883" spans="1:23">
      <c r="A883" s="168" t="s">
        <v>1523</v>
      </c>
      <c r="B883" s="455" t="s">
        <v>1553</v>
      </c>
      <c r="C883" s="455" t="s">
        <v>253</v>
      </c>
      <c r="E883" s="456">
        <v>55312.03</v>
      </c>
      <c r="F883" s="456">
        <v>16223</v>
      </c>
      <c r="G883" s="168">
        <v>0</v>
      </c>
      <c r="H883" s="168">
        <v>0</v>
      </c>
      <c r="W883" s="168">
        <f t="shared" si="13"/>
        <v>0</v>
      </c>
    </row>
    <row r="884" spans="1:23">
      <c r="A884" s="168" t="s">
        <v>1524</v>
      </c>
      <c r="B884" s="455" t="s">
        <v>1553</v>
      </c>
      <c r="C884" s="455" t="s">
        <v>1525</v>
      </c>
      <c r="E884" s="456">
        <v>0</v>
      </c>
      <c r="F884" s="456">
        <v>0</v>
      </c>
      <c r="G884" s="168">
        <v>0</v>
      </c>
      <c r="H884" s="168">
        <v>0</v>
      </c>
      <c r="W884" s="168">
        <f t="shared" si="13"/>
        <v>0</v>
      </c>
    </row>
    <row r="885" spans="1:23">
      <c r="A885" s="168" t="s">
        <v>1526</v>
      </c>
      <c r="B885" s="455" t="s">
        <v>1553</v>
      </c>
      <c r="C885" s="455" t="s">
        <v>50</v>
      </c>
      <c r="E885" s="456">
        <v>0</v>
      </c>
      <c r="F885" s="456">
        <v>19200</v>
      </c>
      <c r="G885" s="168">
        <v>0</v>
      </c>
      <c r="H885" s="168">
        <v>0</v>
      </c>
      <c r="W885" s="168">
        <f t="shared" si="13"/>
        <v>0</v>
      </c>
    </row>
    <row r="886" spans="1:23">
      <c r="A886" s="168" t="s">
        <v>1527</v>
      </c>
      <c r="B886" s="455" t="s">
        <v>1553</v>
      </c>
      <c r="C886" s="455" t="s">
        <v>52</v>
      </c>
      <c r="E886" s="456">
        <v>0</v>
      </c>
      <c r="F886" s="456">
        <v>9330</v>
      </c>
      <c r="G886" s="168">
        <v>0</v>
      </c>
      <c r="H886" s="168">
        <v>0</v>
      </c>
      <c r="W886" s="168">
        <f t="shared" si="13"/>
        <v>0</v>
      </c>
    </row>
    <row r="887" spans="1:23">
      <c r="A887" s="168" t="s">
        <v>1528</v>
      </c>
      <c r="B887" s="455" t="s">
        <v>1553</v>
      </c>
      <c r="C887" s="455" t="s">
        <v>52</v>
      </c>
      <c r="E887" s="456">
        <v>4678.1400000000003</v>
      </c>
      <c r="F887" s="456">
        <v>1581439</v>
      </c>
      <c r="G887" s="168">
        <v>0</v>
      </c>
      <c r="H887" s="168">
        <v>0</v>
      </c>
      <c r="W887" s="168">
        <f t="shared" si="13"/>
        <v>0</v>
      </c>
    </row>
    <row r="888" spans="1:23">
      <c r="A888" s="168" t="s">
        <v>1529</v>
      </c>
      <c r="B888" s="455" t="s">
        <v>1553</v>
      </c>
      <c r="C888" s="455" t="s">
        <v>261</v>
      </c>
      <c r="E888" s="456">
        <v>-300544.13</v>
      </c>
      <c r="F888" s="456">
        <v>463558</v>
      </c>
      <c r="G888" s="168">
        <v>0</v>
      </c>
      <c r="H888" s="168">
        <v>0</v>
      </c>
      <c r="W888" s="168">
        <f t="shared" si="13"/>
        <v>0</v>
      </c>
    </row>
    <row r="889" spans="1:23">
      <c r="A889" s="168" t="s">
        <v>1530</v>
      </c>
      <c r="B889" s="455" t="s">
        <v>1553</v>
      </c>
      <c r="C889" s="455" t="s">
        <v>565</v>
      </c>
      <c r="E889" s="456">
        <v>198876.14</v>
      </c>
      <c r="F889" s="456">
        <v>0</v>
      </c>
      <c r="G889" s="168">
        <v>0</v>
      </c>
      <c r="H889" s="168">
        <v>0</v>
      </c>
      <c r="W889" s="168">
        <f t="shared" si="13"/>
        <v>0</v>
      </c>
    </row>
    <row r="890" spans="1:23">
      <c r="A890" s="168" t="s">
        <v>1531</v>
      </c>
      <c r="B890" s="455" t="s">
        <v>1553</v>
      </c>
      <c r="C890" s="455" t="s">
        <v>565</v>
      </c>
      <c r="E890" s="456">
        <v>985502.46</v>
      </c>
      <c r="F890" s="456">
        <v>0</v>
      </c>
      <c r="G890" s="168">
        <v>0</v>
      </c>
      <c r="H890" s="168">
        <v>0</v>
      </c>
      <c r="W890" s="168">
        <f t="shared" si="13"/>
        <v>0</v>
      </c>
    </row>
    <row r="891" spans="1:23">
      <c r="A891" s="168" t="s">
        <v>1532</v>
      </c>
      <c r="B891" s="455" t="s">
        <v>1553</v>
      </c>
      <c r="C891" s="455" t="s">
        <v>854</v>
      </c>
      <c r="E891" s="456">
        <v>4659.17</v>
      </c>
      <c r="F891" s="456">
        <v>154500</v>
      </c>
      <c r="G891" s="168">
        <v>0</v>
      </c>
      <c r="H891" s="168">
        <v>0</v>
      </c>
      <c r="W891" s="168">
        <f t="shared" si="13"/>
        <v>0</v>
      </c>
    </row>
    <row r="892" spans="1:23">
      <c r="A892" s="168" t="s">
        <v>1533</v>
      </c>
      <c r="B892" s="455" t="s">
        <v>1553</v>
      </c>
      <c r="C892" s="455" t="s">
        <v>263</v>
      </c>
      <c r="E892" s="456">
        <v>-2302981.2000000002</v>
      </c>
      <c r="F892" s="456">
        <v>500386</v>
      </c>
      <c r="G892" s="168">
        <v>0</v>
      </c>
      <c r="H892" s="168">
        <v>0</v>
      </c>
      <c r="W892" s="168">
        <f t="shared" si="13"/>
        <v>0</v>
      </c>
    </row>
    <row r="893" spans="1:23">
      <c r="A893" s="168" t="s">
        <v>1534</v>
      </c>
      <c r="B893" s="455" t="s">
        <v>1553</v>
      </c>
      <c r="C893" s="455" t="s">
        <v>1535</v>
      </c>
      <c r="E893" s="456">
        <v>1234738.18</v>
      </c>
      <c r="F893" s="456">
        <v>1225000</v>
      </c>
      <c r="G893" s="168">
        <v>0</v>
      </c>
      <c r="H893" s="168">
        <v>0</v>
      </c>
      <c r="W893" s="168">
        <f t="shared" si="13"/>
        <v>0</v>
      </c>
    </row>
    <row r="894" spans="1:23">
      <c r="A894" s="168" t="s">
        <v>2337</v>
      </c>
      <c r="B894" s="455" t="s">
        <v>1553</v>
      </c>
      <c r="C894" s="455" t="s">
        <v>2338</v>
      </c>
      <c r="E894" s="456">
        <v>569167.57999999996</v>
      </c>
      <c r="F894" s="456">
        <v>72000</v>
      </c>
      <c r="G894" s="168">
        <v>0</v>
      </c>
      <c r="H894" s="168">
        <v>0</v>
      </c>
      <c r="W894" s="168">
        <f t="shared" si="13"/>
        <v>0</v>
      </c>
    </row>
    <row r="895" spans="1:23">
      <c r="A895" s="168" t="s">
        <v>2339</v>
      </c>
      <c r="B895" s="455"/>
      <c r="C895" s="455" t="s">
        <v>575</v>
      </c>
      <c r="E895" s="456">
        <v>100283.87</v>
      </c>
      <c r="F895" s="456">
        <v>473034</v>
      </c>
      <c r="G895" s="168">
        <v>0</v>
      </c>
      <c r="H895" s="168">
        <v>0</v>
      </c>
      <c r="W895" s="168">
        <f t="shared" si="13"/>
        <v>0</v>
      </c>
    </row>
    <row r="896" spans="1:23">
      <c r="A896" s="168" t="s">
        <v>2340</v>
      </c>
      <c r="B896" s="455"/>
      <c r="C896" s="455" t="s">
        <v>1117</v>
      </c>
      <c r="E896" s="456">
        <v>0</v>
      </c>
      <c r="F896" s="456">
        <v>742000</v>
      </c>
      <c r="G896" s="168">
        <v>0</v>
      </c>
      <c r="H896" s="168">
        <v>0</v>
      </c>
      <c r="W896" s="168">
        <f t="shared" si="13"/>
        <v>0</v>
      </c>
    </row>
    <row r="897" spans="1:23">
      <c r="A897" s="168" t="s">
        <v>2341</v>
      </c>
      <c r="B897" s="455"/>
      <c r="C897" s="455" t="s">
        <v>1117</v>
      </c>
      <c r="E897" s="456">
        <v>0</v>
      </c>
      <c r="F897" s="456">
        <v>360000</v>
      </c>
      <c r="G897" s="168">
        <v>0</v>
      </c>
      <c r="H897" s="168">
        <v>0</v>
      </c>
      <c r="W897" s="168">
        <f t="shared" si="13"/>
        <v>0</v>
      </c>
    </row>
    <row r="898" spans="1:23">
      <c r="A898" s="168" t="s">
        <v>2342</v>
      </c>
      <c r="B898" s="455"/>
      <c r="C898" s="455" t="s">
        <v>1117</v>
      </c>
      <c r="E898" s="456">
        <v>0</v>
      </c>
      <c r="F898" s="456">
        <v>-360000</v>
      </c>
      <c r="G898" s="168">
        <v>0</v>
      </c>
      <c r="H898" s="168">
        <v>0</v>
      </c>
      <c r="W898" s="168">
        <f t="shared" si="13"/>
        <v>0</v>
      </c>
    </row>
    <row r="899" spans="1:23" ht="15.75" thickBot="1">
      <c r="A899" s="168" t="s">
        <v>2343</v>
      </c>
      <c r="B899" s="455"/>
      <c r="C899" s="455" t="s">
        <v>1117</v>
      </c>
      <c r="E899" s="456">
        <v>0</v>
      </c>
      <c r="F899" s="456">
        <v>-742000</v>
      </c>
      <c r="G899" s="168">
        <v>0</v>
      </c>
      <c r="H899" s="168">
        <v>0</v>
      </c>
      <c r="W899" s="168">
        <f t="shared" si="13"/>
        <v>0</v>
      </c>
    </row>
    <row r="900" spans="1:23" ht="16.5" thickTop="1" thickBot="1">
      <c r="A900" s="554" t="s">
        <v>2668</v>
      </c>
      <c r="B900" s="555"/>
      <c r="C900" s="555"/>
      <c r="D900" s="556"/>
      <c r="E900" s="558">
        <f>SUM(E848:E899)</f>
        <v>9771318.3899999987</v>
      </c>
      <c r="F900" s="558">
        <f>SUM(F848:F899)</f>
        <v>18357642</v>
      </c>
      <c r="G900" s="558">
        <f>SUM(G848:G899)</f>
        <v>0</v>
      </c>
      <c r="H900" s="558">
        <f>SUM(H848:H899)</f>
        <v>0</v>
      </c>
      <c r="W900" s="168">
        <f t="shared" si="13"/>
        <v>0</v>
      </c>
    </row>
    <row r="901" spans="1:23" ht="15.75" thickTop="1">
      <c r="B901" s="455"/>
      <c r="W901" s="168">
        <f t="shared" ref="W901:W964" si="14">S901-T901</f>
        <v>0</v>
      </c>
    </row>
    <row r="902" spans="1:23" ht="18.75">
      <c r="A902" s="564" t="s">
        <v>34</v>
      </c>
      <c r="B902" s="455"/>
      <c r="W902" s="168">
        <f t="shared" si="14"/>
        <v>0</v>
      </c>
    </row>
    <row r="903" spans="1:23">
      <c r="A903" s="168" t="s">
        <v>2345</v>
      </c>
      <c r="B903" s="455" t="s">
        <v>2346</v>
      </c>
      <c r="E903" s="456">
        <v>0</v>
      </c>
      <c r="F903" s="456">
        <v>0</v>
      </c>
      <c r="W903" s="168">
        <f t="shared" si="14"/>
        <v>0</v>
      </c>
    </row>
    <row r="904" spans="1:23">
      <c r="A904" s="168" t="s">
        <v>2347</v>
      </c>
      <c r="B904" s="455" t="s">
        <v>2346</v>
      </c>
      <c r="E904" s="456">
        <v>0</v>
      </c>
      <c r="F904" s="456">
        <v>0</v>
      </c>
      <c r="W904" s="168">
        <f t="shared" si="14"/>
        <v>0</v>
      </c>
    </row>
    <row r="905" spans="1:23">
      <c r="A905" s="168" t="s">
        <v>2348</v>
      </c>
      <c r="B905" s="455" t="s">
        <v>2350</v>
      </c>
      <c r="E905" s="456">
        <v>0</v>
      </c>
      <c r="F905" s="456">
        <v>0</v>
      </c>
      <c r="W905" s="168">
        <f t="shared" si="14"/>
        <v>0</v>
      </c>
    </row>
    <row r="906" spans="1:23">
      <c r="A906" s="168" t="s">
        <v>2351</v>
      </c>
      <c r="B906" s="455" t="s">
        <v>2344</v>
      </c>
      <c r="E906" s="456">
        <v>0</v>
      </c>
      <c r="F906" s="456">
        <v>0</v>
      </c>
      <c r="W906" s="168">
        <f t="shared" si="14"/>
        <v>0</v>
      </c>
    </row>
    <row r="907" spans="1:23">
      <c r="A907" s="168" t="s">
        <v>2352</v>
      </c>
      <c r="B907" s="455" t="s">
        <v>2353</v>
      </c>
      <c r="E907" s="456">
        <v>0</v>
      </c>
      <c r="F907" s="456">
        <v>0</v>
      </c>
      <c r="W907" s="168">
        <f t="shared" si="14"/>
        <v>0</v>
      </c>
    </row>
    <row r="908" spans="1:23">
      <c r="A908" s="168" t="s">
        <v>2354</v>
      </c>
      <c r="B908" s="455" t="s">
        <v>1709</v>
      </c>
      <c r="E908" s="456">
        <v>0</v>
      </c>
      <c r="F908" s="456">
        <v>0</v>
      </c>
      <c r="W908" s="168">
        <f t="shared" si="14"/>
        <v>0</v>
      </c>
    </row>
    <row r="909" spans="1:23">
      <c r="A909" s="168" t="s">
        <v>2355</v>
      </c>
      <c r="B909" s="455" t="s">
        <v>864</v>
      </c>
      <c r="E909" s="456">
        <v>152212</v>
      </c>
      <c r="F909" s="456">
        <v>0</v>
      </c>
      <c r="W909" s="168">
        <f t="shared" si="14"/>
        <v>0</v>
      </c>
    </row>
    <row r="910" spans="1:23">
      <c r="A910" s="168" t="s">
        <v>2356</v>
      </c>
      <c r="B910" s="455" t="s">
        <v>2357</v>
      </c>
      <c r="E910" s="456">
        <v>0</v>
      </c>
      <c r="F910" s="456">
        <v>0</v>
      </c>
      <c r="W910" s="168">
        <f t="shared" si="14"/>
        <v>0</v>
      </c>
    </row>
    <row r="911" spans="1:23">
      <c r="A911" s="168" t="s">
        <v>2358</v>
      </c>
      <c r="B911" s="455" t="s">
        <v>603</v>
      </c>
      <c r="E911" s="456">
        <v>0</v>
      </c>
      <c r="F911" s="456">
        <v>0</v>
      </c>
      <c r="W911" s="168">
        <f t="shared" si="14"/>
        <v>0</v>
      </c>
    </row>
    <row r="912" spans="1:23">
      <c r="A912" s="168" t="s">
        <v>2359</v>
      </c>
      <c r="B912" s="455" t="s">
        <v>2360</v>
      </c>
      <c r="E912" s="456">
        <v>-201980.16</v>
      </c>
      <c r="F912" s="456">
        <v>0</v>
      </c>
      <c r="W912" s="168">
        <f t="shared" si="14"/>
        <v>0</v>
      </c>
    </row>
    <row r="913" spans="1:23">
      <c r="A913" s="168" t="s">
        <v>2361</v>
      </c>
      <c r="B913" s="455" t="s">
        <v>2362</v>
      </c>
      <c r="E913" s="456">
        <v>0</v>
      </c>
      <c r="F913" s="456">
        <v>0</v>
      </c>
      <c r="W913" s="168">
        <f t="shared" si="14"/>
        <v>0</v>
      </c>
    </row>
    <row r="914" spans="1:23">
      <c r="A914" s="168" t="s">
        <v>2363</v>
      </c>
      <c r="B914" s="455" t="s">
        <v>2344</v>
      </c>
      <c r="E914" s="456">
        <v>0</v>
      </c>
      <c r="F914" s="456">
        <v>0</v>
      </c>
      <c r="W914" s="168">
        <f t="shared" si="14"/>
        <v>0</v>
      </c>
    </row>
    <row r="915" spans="1:23">
      <c r="A915" s="168" t="s">
        <v>2364</v>
      </c>
      <c r="B915" s="455" t="s">
        <v>2365</v>
      </c>
      <c r="E915" s="456">
        <v>0</v>
      </c>
      <c r="F915" s="456">
        <v>0</v>
      </c>
      <c r="W915" s="168">
        <f t="shared" si="14"/>
        <v>0</v>
      </c>
    </row>
    <row r="916" spans="1:23">
      <c r="A916" s="168" t="s">
        <v>2366</v>
      </c>
      <c r="B916" s="455" t="s">
        <v>569</v>
      </c>
      <c r="C916" s="455" t="s">
        <v>2367</v>
      </c>
      <c r="E916" s="456">
        <v>6074211.4800000004</v>
      </c>
      <c r="F916" s="456">
        <v>0</v>
      </c>
      <c r="W916" s="168">
        <f t="shared" si="14"/>
        <v>0</v>
      </c>
    </row>
    <row r="917" spans="1:23">
      <c r="A917" s="168" t="s">
        <v>2368</v>
      </c>
      <c r="B917" s="455" t="s">
        <v>2562</v>
      </c>
      <c r="E917" s="456">
        <v>-603.88</v>
      </c>
      <c r="F917" s="456">
        <v>0</v>
      </c>
      <c r="W917" s="168">
        <f t="shared" si="14"/>
        <v>0</v>
      </c>
    </row>
    <row r="918" spans="1:23">
      <c r="A918" s="168" t="s">
        <v>2369</v>
      </c>
      <c r="B918" s="455" t="s">
        <v>2370</v>
      </c>
      <c r="E918" s="456">
        <v>0</v>
      </c>
      <c r="F918" s="456">
        <v>0</v>
      </c>
      <c r="W918" s="168">
        <f t="shared" si="14"/>
        <v>0</v>
      </c>
    </row>
    <row r="919" spans="1:23">
      <c r="A919" s="168" t="s">
        <v>2371</v>
      </c>
      <c r="B919" s="455" t="s">
        <v>2370</v>
      </c>
      <c r="E919" s="456">
        <v>0</v>
      </c>
      <c r="F919" s="456">
        <v>0</v>
      </c>
      <c r="W919" s="168">
        <f t="shared" si="14"/>
        <v>0</v>
      </c>
    </row>
    <row r="920" spans="1:23">
      <c r="A920" s="168" t="s">
        <v>2077</v>
      </c>
      <c r="B920" s="455" t="s">
        <v>2370</v>
      </c>
      <c r="E920" s="456">
        <v>131578.95000000001</v>
      </c>
      <c r="F920" s="456">
        <v>0</v>
      </c>
      <c r="W920" s="168">
        <f t="shared" si="14"/>
        <v>0</v>
      </c>
    </row>
    <row r="921" spans="1:23">
      <c r="A921" s="168" t="s">
        <v>2078</v>
      </c>
      <c r="B921" s="455" t="s">
        <v>2370</v>
      </c>
      <c r="E921" s="456">
        <v>0</v>
      </c>
      <c r="F921" s="456">
        <v>0</v>
      </c>
      <c r="W921" s="168">
        <f t="shared" si="14"/>
        <v>0</v>
      </c>
    </row>
    <row r="922" spans="1:23">
      <c r="A922" s="168" t="s">
        <v>2079</v>
      </c>
      <c r="B922" s="455" t="s">
        <v>2370</v>
      </c>
      <c r="E922" s="456">
        <v>0</v>
      </c>
      <c r="F922" s="456">
        <v>0</v>
      </c>
      <c r="W922" s="168">
        <f t="shared" si="14"/>
        <v>0</v>
      </c>
    </row>
    <row r="923" spans="1:23">
      <c r="A923" s="168" t="s">
        <v>2080</v>
      </c>
      <c r="B923" s="455" t="s">
        <v>2370</v>
      </c>
      <c r="E923" s="456">
        <v>0</v>
      </c>
      <c r="F923" s="456">
        <v>0</v>
      </c>
      <c r="W923" s="168">
        <f t="shared" si="14"/>
        <v>0</v>
      </c>
    </row>
    <row r="924" spans="1:23">
      <c r="A924" s="168" t="s">
        <v>2081</v>
      </c>
      <c r="B924" s="455" t="s">
        <v>2370</v>
      </c>
      <c r="E924" s="456">
        <v>0</v>
      </c>
      <c r="F924" s="456">
        <v>0</v>
      </c>
      <c r="W924" s="168">
        <f t="shared" si="14"/>
        <v>0</v>
      </c>
    </row>
    <row r="925" spans="1:23">
      <c r="A925" s="168" t="s">
        <v>2082</v>
      </c>
      <c r="B925" s="455" t="s">
        <v>2370</v>
      </c>
      <c r="E925" s="456">
        <v>27555.78</v>
      </c>
      <c r="F925" s="456">
        <v>0</v>
      </c>
      <c r="W925" s="168">
        <f t="shared" si="14"/>
        <v>0</v>
      </c>
    </row>
    <row r="926" spans="1:23">
      <c r="A926" s="168" t="s">
        <v>2083</v>
      </c>
      <c r="B926" s="455" t="s">
        <v>2370</v>
      </c>
      <c r="E926" s="456">
        <v>0</v>
      </c>
      <c r="F926" s="456">
        <v>0</v>
      </c>
      <c r="W926" s="168">
        <f t="shared" si="14"/>
        <v>0</v>
      </c>
    </row>
    <row r="927" spans="1:23">
      <c r="A927" s="168" t="s">
        <v>2084</v>
      </c>
      <c r="B927" s="455" t="s">
        <v>2085</v>
      </c>
      <c r="E927" s="456">
        <v>0</v>
      </c>
      <c r="F927" s="456">
        <v>0</v>
      </c>
      <c r="W927" s="168">
        <f t="shared" si="14"/>
        <v>0</v>
      </c>
    </row>
    <row r="928" spans="1:23">
      <c r="A928" s="168" t="s">
        <v>2086</v>
      </c>
      <c r="B928" s="455" t="s">
        <v>2370</v>
      </c>
      <c r="E928" s="456">
        <v>21731.25</v>
      </c>
      <c r="F928" s="456">
        <v>0</v>
      </c>
      <c r="W928" s="168">
        <f t="shared" si="14"/>
        <v>0</v>
      </c>
    </row>
    <row r="929" spans="1:23">
      <c r="A929" s="168" t="s">
        <v>2087</v>
      </c>
      <c r="B929" s="455" t="s">
        <v>2370</v>
      </c>
      <c r="E929" s="456">
        <v>271731.25</v>
      </c>
      <c r="F929" s="456">
        <v>0</v>
      </c>
      <c r="W929" s="168">
        <f t="shared" si="14"/>
        <v>0</v>
      </c>
    </row>
    <row r="930" spans="1:23">
      <c r="A930" s="168" t="s">
        <v>2088</v>
      </c>
      <c r="B930" s="455" t="s">
        <v>2370</v>
      </c>
      <c r="E930" s="456">
        <v>271731.25</v>
      </c>
      <c r="F930" s="456">
        <v>0</v>
      </c>
      <c r="W930" s="168">
        <f t="shared" si="14"/>
        <v>0</v>
      </c>
    </row>
    <row r="931" spans="1:23">
      <c r="A931" s="168" t="s">
        <v>2089</v>
      </c>
      <c r="B931" s="455" t="s">
        <v>2370</v>
      </c>
      <c r="E931" s="456">
        <v>0</v>
      </c>
      <c r="F931" s="456">
        <v>0</v>
      </c>
      <c r="W931" s="168">
        <f t="shared" si="14"/>
        <v>0</v>
      </c>
    </row>
    <row r="932" spans="1:23">
      <c r="A932" s="168" t="s">
        <v>2090</v>
      </c>
      <c r="B932" s="455" t="s">
        <v>2370</v>
      </c>
      <c r="E932" s="456">
        <v>0</v>
      </c>
      <c r="F932" s="456">
        <v>0</v>
      </c>
      <c r="W932" s="168">
        <f t="shared" si="14"/>
        <v>0</v>
      </c>
    </row>
    <row r="933" spans="1:23">
      <c r="A933" s="168" t="s">
        <v>2091</v>
      </c>
      <c r="B933" s="455" t="s">
        <v>2370</v>
      </c>
      <c r="E933" s="456">
        <v>103510.86</v>
      </c>
      <c r="F933" s="456">
        <v>0</v>
      </c>
      <c r="W933" s="168">
        <f t="shared" si="14"/>
        <v>0</v>
      </c>
    </row>
    <row r="934" spans="1:23">
      <c r="A934" s="168" t="s">
        <v>2092</v>
      </c>
      <c r="B934" s="455" t="s">
        <v>2370</v>
      </c>
      <c r="E934" s="456">
        <v>66715.08</v>
      </c>
      <c r="F934" s="456">
        <v>0</v>
      </c>
      <c r="W934" s="168">
        <f t="shared" si="14"/>
        <v>0</v>
      </c>
    </row>
    <row r="935" spans="1:23">
      <c r="A935" s="168" t="s">
        <v>2093</v>
      </c>
      <c r="B935" s="455" t="s">
        <v>2370</v>
      </c>
      <c r="E935" s="456">
        <v>21731.25</v>
      </c>
      <c r="F935" s="456">
        <v>0</v>
      </c>
      <c r="W935" s="168">
        <f t="shared" si="14"/>
        <v>0</v>
      </c>
    </row>
    <row r="936" spans="1:23">
      <c r="A936" s="168" t="s">
        <v>2094</v>
      </c>
      <c r="B936" s="455" t="s">
        <v>2095</v>
      </c>
      <c r="E936" s="456">
        <v>0</v>
      </c>
      <c r="F936" s="456">
        <v>0</v>
      </c>
      <c r="W936" s="168">
        <f t="shared" si="14"/>
        <v>0</v>
      </c>
    </row>
    <row r="937" spans="1:23">
      <c r="A937" s="168" t="s">
        <v>2096</v>
      </c>
      <c r="B937" s="455" t="s">
        <v>2370</v>
      </c>
      <c r="E937" s="456">
        <v>0</v>
      </c>
      <c r="F937" s="456">
        <v>0</v>
      </c>
      <c r="W937" s="168">
        <f t="shared" si="14"/>
        <v>0</v>
      </c>
    </row>
    <row r="938" spans="1:23">
      <c r="A938" s="168" t="s">
        <v>2097</v>
      </c>
      <c r="B938" s="455" t="s">
        <v>2370</v>
      </c>
      <c r="E938" s="456">
        <v>-43859.65</v>
      </c>
      <c r="F938" s="456">
        <v>0</v>
      </c>
      <c r="W938" s="168">
        <f t="shared" si="14"/>
        <v>0</v>
      </c>
    </row>
    <row r="939" spans="1:23">
      <c r="A939" s="168" t="s">
        <v>2098</v>
      </c>
      <c r="B939" s="455" t="s">
        <v>2370</v>
      </c>
      <c r="E939" s="456">
        <v>0</v>
      </c>
      <c r="F939" s="456">
        <v>0</v>
      </c>
      <c r="W939" s="168">
        <f t="shared" si="14"/>
        <v>0</v>
      </c>
    </row>
    <row r="940" spans="1:23">
      <c r="A940" s="168" t="s">
        <v>2099</v>
      </c>
      <c r="B940" s="455" t="s">
        <v>2370</v>
      </c>
      <c r="E940" s="456">
        <v>0</v>
      </c>
      <c r="F940" s="456">
        <v>0</v>
      </c>
      <c r="W940" s="168">
        <f t="shared" si="14"/>
        <v>0</v>
      </c>
    </row>
    <row r="941" spans="1:23">
      <c r="A941" s="168" t="s">
        <v>2100</v>
      </c>
      <c r="B941" s="455" t="s">
        <v>2370</v>
      </c>
      <c r="E941" s="456">
        <v>-222081.58</v>
      </c>
      <c r="F941" s="456">
        <v>0</v>
      </c>
      <c r="W941" s="168">
        <f t="shared" si="14"/>
        <v>0</v>
      </c>
    </row>
    <row r="942" spans="1:23">
      <c r="A942" s="168" t="s">
        <v>2101</v>
      </c>
      <c r="B942" s="455" t="s">
        <v>2370</v>
      </c>
      <c r="E942" s="456">
        <v>-1403.5</v>
      </c>
      <c r="F942" s="456">
        <v>0</v>
      </c>
      <c r="W942" s="168">
        <f t="shared" si="14"/>
        <v>0</v>
      </c>
    </row>
    <row r="943" spans="1:23">
      <c r="A943" s="168" t="s">
        <v>2102</v>
      </c>
      <c r="B943" s="455" t="s">
        <v>2370</v>
      </c>
      <c r="E943" s="456">
        <v>0</v>
      </c>
      <c r="F943" s="456">
        <v>0</v>
      </c>
      <c r="W943" s="168">
        <f t="shared" si="14"/>
        <v>0</v>
      </c>
    </row>
    <row r="944" spans="1:23">
      <c r="A944" s="168" t="s">
        <v>2103</v>
      </c>
      <c r="B944" s="455" t="s">
        <v>2370</v>
      </c>
      <c r="E944" s="456">
        <v>-11200</v>
      </c>
      <c r="F944" s="456">
        <v>0</v>
      </c>
      <c r="W944" s="168">
        <f t="shared" si="14"/>
        <v>0</v>
      </c>
    </row>
    <row r="945" spans="1:23">
      <c r="A945" s="168" t="s">
        <v>2104</v>
      </c>
      <c r="B945" s="455" t="s">
        <v>2370</v>
      </c>
      <c r="E945" s="456">
        <v>104627</v>
      </c>
      <c r="F945" s="456">
        <v>0</v>
      </c>
      <c r="W945" s="168">
        <f t="shared" si="14"/>
        <v>0</v>
      </c>
    </row>
    <row r="946" spans="1:23">
      <c r="A946" s="168" t="s">
        <v>2105</v>
      </c>
      <c r="B946" s="455" t="s">
        <v>2106</v>
      </c>
      <c r="E946" s="456">
        <v>0</v>
      </c>
      <c r="F946" s="456">
        <v>0</v>
      </c>
      <c r="W946" s="168">
        <f t="shared" si="14"/>
        <v>0</v>
      </c>
    </row>
    <row r="947" spans="1:23">
      <c r="A947" s="168" t="s">
        <v>527</v>
      </c>
      <c r="B947" s="455" t="s">
        <v>746</v>
      </c>
      <c r="C947" s="455" t="s">
        <v>528</v>
      </c>
      <c r="E947" s="456">
        <v>0</v>
      </c>
      <c r="F947" s="456">
        <v>0</v>
      </c>
      <c r="W947" s="168">
        <f t="shared" si="14"/>
        <v>0</v>
      </c>
    </row>
    <row r="948" spans="1:23">
      <c r="A948" s="168" t="s">
        <v>529</v>
      </c>
      <c r="B948" s="455" t="s">
        <v>746</v>
      </c>
      <c r="C948" s="455" t="s">
        <v>530</v>
      </c>
      <c r="E948" s="456">
        <v>0</v>
      </c>
      <c r="F948" s="456">
        <v>0</v>
      </c>
      <c r="W948" s="168">
        <f t="shared" si="14"/>
        <v>0</v>
      </c>
    </row>
    <row r="949" spans="1:23">
      <c r="A949" s="168" t="s">
        <v>531</v>
      </c>
      <c r="B949" s="455" t="s">
        <v>746</v>
      </c>
      <c r="E949" s="456">
        <v>0</v>
      </c>
      <c r="F949" s="456">
        <v>0</v>
      </c>
      <c r="W949" s="168">
        <f t="shared" si="14"/>
        <v>0</v>
      </c>
    </row>
    <row r="950" spans="1:23">
      <c r="A950" s="168" t="s">
        <v>532</v>
      </c>
      <c r="B950" s="455" t="s">
        <v>746</v>
      </c>
      <c r="C950" s="455" t="s">
        <v>533</v>
      </c>
      <c r="E950" s="456">
        <v>0</v>
      </c>
      <c r="F950" s="456">
        <v>0</v>
      </c>
      <c r="W950" s="168">
        <f t="shared" si="14"/>
        <v>0</v>
      </c>
    </row>
    <row r="951" spans="1:23">
      <c r="A951" s="168" t="s">
        <v>534</v>
      </c>
      <c r="B951" s="455" t="s">
        <v>746</v>
      </c>
      <c r="C951" s="455" t="s">
        <v>535</v>
      </c>
      <c r="E951" s="456">
        <v>0</v>
      </c>
      <c r="F951" s="456">
        <v>0</v>
      </c>
      <c r="W951" s="168">
        <f t="shared" si="14"/>
        <v>0</v>
      </c>
    </row>
    <row r="952" spans="1:23">
      <c r="A952" s="168" t="s">
        <v>536</v>
      </c>
      <c r="B952" s="455" t="s">
        <v>746</v>
      </c>
      <c r="E952" s="456">
        <v>0</v>
      </c>
      <c r="F952" s="456">
        <v>0</v>
      </c>
      <c r="W952" s="168">
        <f t="shared" si="14"/>
        <v>0</v>
      </c>
    </row>
    <row r="953" spans="1:23">
      <c r="A953" s="168" t="s">
        <v>537</v>
      </c>
      <c r="B953" s="455"/>
      <c r="E953" s="456">
        <v>0</v>
      </c>
      <c r="F953" s="456">
        <v>0</v>
      </c>
      <c r="W953" s="168">
        <f t="shared" si="14"/>
        <v>0</v>
      </c>
    </row>
    <row r="954" spans="1:23">
      <c r="A954" s="168" t="s">
        <v>538</v>
      </c>
      <c r="B954" s="455" t="s">
        <v>539</v>
      </c>
      <c r="C954" s="455" t="s">
        <v>540</v>
      </c>
      <c r="E954" s="456">
        <v>0</v>
      </c>
      <c r="F954" s="456">
        <v>0</v>
      </c>
      <c r="W954" s="168">
        <f t="shared" si="14"/>
        <v>0</v>
      </c>
    </row>
    <row r="955" spans="1:23">
      <c r="A955" s="168" t="s">
        <v>541</v>
      </c>
      <c r="B955" s="455" t="s">
        <v>746</v>
      </c>
      <c r="C955" s="455" t="s">
        <v>542</v>
      </c>
      <c r="E955" s="456">
        <v>0</v>
      </c>
      <c r="F955" s="456">
        <v>0</v>
      </c>
      <c r="W955" s="168">
        <f t="shared" si="14"/>
        <v>0</v>
      </c>
    </row>
    <row r="956" spans="1:23">
      <c r="A956" s="168" t="s">
        <v>543</v>
      </c>
      <c r="B956" s="455" t="s">
        <v>746</v>
      </c>
      <c r="E956" s="456">
        <v>0</v>
      </c>
      <c r="F956" s="456">
        <v>0</v>
      </c>
      <c r="W956" s="168">
        <f t="shared" si="14"/>
        <v>0</v>
      </c>
    </row>
    <row r="957" spans="1:23">
      <c r="A957" s="168" t="s">
        <v>544</v>
      </c>
      <c r="B957" s="455" t="s">
        <v>746</v>
      </c>
      <c r="E957" s="456">
        <v>0</v>
      </c>
      <c r="F957" s="456">
        <v>0</v>
      </c>
      <c r="W957" s="168">
        <f t="shared" si="14"/>
        <v>0</v>
      </c>
    </row>
    <row r="958" spans="1:23">
      <c r="A958" s="168" t="s">
        <v>1822</v>
      </c>
      <c r="B958" s="455" t="s">
        <v>746</v>
      </c>
      <c r="C958" s="455" t="s">
        <v>1711</v>
      </c>
      <c r="E958" s="456">
        <v>0</v>
      </c>
      <c r="F958" s="456">
        <v>0</v>
      </c>
      <c r="W958" s="168">
        <f t="shared" si="14"/>
        <v>0</v>
      </c>
    </row>
    <row r="959" spans="1:23">
      <c r="A959" s="168" t="s">
        <v>1823</v>
      </c>
      <c r="B959" s="455" t="s">
        <v>746</v>
      </c>
      <c r="C959" s="455" t="s">
        <v>1824</v>
      </c>
      <c r="E959" s="456">
        <v>0</v>
      </c>
      <c r="F959" s="456">
        <v>0</v>
      </c>
      <c r="W959" s="168">
        <f t="shared" si="14"/>
        <v>0</v>
      </c>
    </row>
    <row r="960" spans="1:23">
      <c r="A960" s="168" t="s">
        <v>1825</v>
      </c>
      <c r="B960" s="455" t="s">
        <v>746</v>
      </c>
      <c r="C960" s="455">
        <v>-2</v>
      </c>
      <c r="E960" s="456">
        <v>0</v>
      </c>
      <c r="F960" s="456">
        <v>0</v>
      </c>
      <c r="W960" s="168">
        <f t="shared" si="14"/>
        <v>0</v>
      </c>
    </row>
    <row r="961" spans="1:23">
      <c r="A961" s="168" t="s">
        <v>1826</v>
      </c>
      <c r="B961" s="455" t="s">
        <v>746</v>
      </c>
      <c r="C961" s="455">
        <v>1</v>
      </c>
      <c r="E961" s="456">
        <v>0</v>
      </c>
      <c r="F961" s="456">
        <v>0</v>
      </c>
      <c r="W961" s="168">
        <f t="shared" si="14"/>
        <v>0</v>
      </c>
    </row>
    <row r="962" spans="1:23">
      <c r="A962" s="168" t="s">
        <v>1827</v>
      </c>
      <c r="B962" s="455" t="s">
        <v>1828</v>
      </c>
      <c r="C962" s="455" t="s">
        <v>1829</v>
      </c>
      <c r="E962" s="456">
        <v>0</v>
      </c>
      <c r="F962" s="456">
        <v>0</v>
      </c>
      <c r="W962" s="168">
        <f t="shared" si="14"/>
        <v>0</v>
      </c>
    </row>
    <row r="963" spans="1:23">
      <c r="A963" s="168" t="s">
        <v>1830</v>
      </c>
      <c r="B963" s="455" t="s">
        <v>746</v>
      </c>
      <c r="E963" s="456">
        <v>0</v>
      </c>
      <c r="F963" s="456">
        <v>0</v>
      </c>
      <c r="W963" s="168">
        <f t="shared" si="14"/>
        <v>0</v>
      </c>
    </row>
    <row r="964" spans="1:23">
      <c r="A964" s="168" t="s">
        <v>1831</v>
      </c>
      <c r="B964" s="455" t="s">
        <v>1832</v>
      </c>
      <c r="E964" s="456">
        <v>0</v>
      </c>
      <c r="F964" s="456">
        <v>0</v>
      </c>
      <c r="W964" s="168">
        <f t="shared" si="14"/>
        <v>0</v>
      </c>
    </row>
    <row r="965" spans="1:23">
      <c r="A965" s="168" t="s">
        <v>1833</v>
      </c>
      <c r="B965" s="455" t="s">
        <v>2437</v>
      </c>
      <c r="E965" s="456">
        <v>-233610.57</v>
      </c>
      <c r="F965" s="456">
        <v>0</v>
      </c>
      <c r="W965" s="168">
        <f t="shared" ref="W965:W1008" si="15">S965-T965</f>
        <v>0</v>
      </c>
    </row>
    <row r="966" spans="1:23">
      <c r="A966" s="168" t="s">
        <v>1834</v>
      </c>
      <c r="B966" s="455" t="s">
        <v>569</v>
      </c>
      <c r="E966" s="456">
        <v>928.23</v>
      </c>
      <c r="F966" s="456">
        <v>0</v>
      </c>
      <c r="W966" s="168">
        <f t="shared" si="15"/>
        <v>0</v>
      </c>
    </row>
    <row r="967" spans="1:23">
      <c r="A967" s="168" t="s">
        <v>1835</v>
      </c>
      <c r="B967" s="455" t="s">
        <v>566</v>
      </c>
      <c r="E967" s="456">
        <v>0</v>
      </c>
      <c r="F967" s="456">
        <v>0</v>
      </c>
      <c r="W967" s="168">
        <f t="shared" si="15"/>
        <v>0</v>
      </c>
    </row>
    <row r="968" spans="1:23">
      <c r="A968" s="168" t="s">
        <v>1836</v>
      </c>
      <c r="B968" s="455" t="s">
        <v>2327</v>
      </c>
      <c r="E968" s="456">
        <v>0</v>
      </c>
      <c r="F968" s="456">
        <v>0</v>
      </c>
      <c r="W968" s="168">
        <f t="shared" si="15"/>
        <v>0</v>
      </c>
    </row>
    <row r="969" spans="1:23">
      <c r="A969" s="168" t="s">
        <v>1837</v>
      </c>
      <c r="B969" s="455" t="s">
        <v>2149</v>
      </c>
      <c r="E969" s="456">
        <v>318925.52</v>
      </c>
      <c r="F969" s="456">
        <v>0</v>
      </c>
      <c r="W969" s="168">
        <f t="shared" si="15"/>
        <v>0</v>
      </c>
    </row>
    <row r="970" spans="1:23">
      <c r="A970" s="168" t="s">
        <v>2150</v>
      </c>
      <c r="B970" s="455" t="s">
        <v>2327</v>
      </c>
      <c r="E970" s="456">
        <v>0</v>
      </c>
      <c r="F970" s="456">
        <v>0</v>
      </c>
      <c r="W970" s="168">
        <f t="shared" si="15"/>
        <v>0</v>
      </c>
    </row>
    <row r="971" spans="1:23">
      <c r="A971" s="168" t="s">
        <v>2151</v>
      </c>
      <c r="B971" s="455" t="s">
        <v>746</v>
      </c>
      <c r="E971" s="456">
        <v>1118340.7</v>
      </c>
      <c r="F971" s="456">
        <v>0</v>
      </c>
      <c r="W971" s="168">
        <f t="shared" si="15"/>
        <v>0</v>
      </c>
    </row>
    <row r="972" spans="1:23">
      <c r="A972" s="168" t="s">
        <v>2152</v>
      </c>
      <c r="B972" s="455" t="s">
        <v>2153</v>
      </c>
      <c r="E972" s="456">
        <v>-327970.32</v>
      </c>
      <c r="F972" s="456">
        <v>0</v>
      </c>
      <c r="W972" s="168">
        <f t="shared" si="15"/>
        <v>0</v>
      </c>
    </row>
    <row r="973" spans="1:23">
      <c r="A973" s="168" t="s">
        <v>2154</v>
      </c>
      <c r="B973" s="455" t="s">
        <v>2155</v>
      </c>
      <c r="E973" s="456">
        <v>0</v>
      </c>
      <c r="F973" s="456">
        <v>0</v>
      </c>
      <c r="W973" s="168">
        <f t="shared" si="15"/>
        <v>0</v>
      </c>
    </row>
    <row r="974" spans="1:23">
      <c r="A974" s="168" t="s">
        <v>2156</v>
      </c>
      <c r="B974" s="455" t="s">
        <v>2157</v>
      </c>
      <c r="E974" s="456">
        <v>-19459.080000000002</v>
      </c>
      <c r="F974" s="456">
        <v>0</v>
      </c>
      <c r="W974" s="168">
        <f t="shared" si="15"/>
        <v>0</v>
      </c>
    </row>
    <row r="975" spans="1:23">
      <c r="A975" s="168" t="s">
        <v>2158</v>
      </c>
      <c r="B975" s="455" t="s">
        <v>2159</v>
      </c>
      <c r="E975" s="456">
        <v>0</v>
      </c>
      <c r="F975" s="456">
        <v>0</v>
      </c>
      <c r="W975" s="168">
        <f t="shared" si="15"/>
        <v>0</v>
      </c>
    </row>
    <row r="976" spans="1:23">
      <c r="A976" s="168" t="s">
        <v>2160</v>
      </c>
      <c r="B976" s="455" t="s">
        <v>2161</v>
      </c>
      <c r="E976" s="456">
        <v>0</v>
      </c>
      <c r="F976" s="456">
        <v>0</v>
      </c>
      <c r="W976" s="168">
        <f t="shared" si="15"/>
        <v>0</v>
      </c>
    </row>
    <row r="977" spans="1:23">
      <c r="A977" s="168" t="s">
        <v>2162</v>
      </c>
      <c r="B977" s="455" t="s">
        <v>746</v>
      </c>
      <c r="C977" s="455" t="s">
        <v>2163</v>
      </c>
      <c r="E977" s="456">
        <v>0</v>
      </c>
      <c r="F977" s="456">
        <v>0</v>
      </c>
      <c r="W977" s="168">
        <f t="shared" si="15"/>
        <v>0</v>
      </c>
    </row>
    <row r="978" spans="1:23">
      <c r="A978" s="168" t="s">
        <v>2164</v>
      </c>
      <c r="B978" s="455" t="s">
        <v>2165</v>
      </c>
      <c r="E978" s="456">
        <v>1258.99</v>
      </c>
      <c r="F978" s="456">
        <v>0</v>
      </c>
      <c r="W978" s="168">
        <f t="shared" si="15"/>
        <v>0</v>
      </c>
    </row>
    <row r="979" spans="1:23">
      <c r="A979" s="168" t="s">
        <v>2166</v>
      </c>
      <c r="B979" s="455" t="s">
        <v>2167</v>
      </c>
      <c r="E979" s="456">
        <v>0</v>
      </c>
      <c r="F979" s="456">
        <v>0</v>
      </c>
      <c r="W979" s="168">
        <f t="shared" si="15"/>
        <v>0</v>
      </c>
    </row>
    <row r="980" spans="1:23">
      <c r="A980" s="168" t="s">
        <v>2168</v>
      </c>
      <c r="B980" s="455" t="s">
        <v>2169</v>
      </c>
      <c r="E980" s="456">
        <v>3240000</v>
      </c>
      <c r="F980" s="456">
        <v>0</v>
      </c>
      <c r="W980" s="168">
        <f t="shared" si="15"/>
        <v>0</v>
      </c>
    </row>
    <row r="981" spans="1:23">
      <c r="A981" s="168" t="s">
        <v>2170</v>
      </c>
      <c r="B981" s="455"/>
      <c r="E981" s="456">
        <v>-0.08</v>
      </c>
      <c r="F981" s="456">
        <v>0</v>
      </c>
      <c r="W981" s="168">
        <f t="shared" si="15"/>
        <v>0</v>
      </c>
    </row>
    <row r="982" spans="1:23">
      <c r="A982" s="168" t="s">
        <v>2171</v>
      </c>
      <c r="B982" s="455" t="s">
        <v>2172</v>
      </c>
      <c r="E982" s="456">
        <v>0</v>
      </c>
      <c r="F982" s="456">
        <v>0</v>
      </c>
      <c r="W982" s="168">
        <f t="shared" si="15"/>
        <v>0</v>
      </c>
    </row>
    <row r="983" spans="1:23">
      <c r="A983" s="168" t="s">
        <v>2173</v>
      </c>
      <c r="B983" s="455" t="s">
        <v>2174</v>
      </c>
      <c r="E983" s="456">
        <v>0</v>
      </c>
      <c r="F983" s="456">
        <v>0</v>
      </c>
      <c r="W983" s="168">
        <f t="shared" si="15"/>
        <v>0</v>
      </c>
    </row>
    <row r="984" spans="1:23">
      <c r="A984" s="168" t="s">
        <v>2175</v>
      </c>
      <c r="B984" s="455" t="s">
        <v>2176</v>
      </c>
      <c r="E984" s="456">
        <v>0</v>
      </c>
      <c r="F984" s="456">
        <v>0</v>
      </c>
      <c r="W984" s="168">
        <f t="shared" si="15"/>
        <v>0</v>
      </c>
    </row>
    <row r="985" spans="1:23">
      <c r="A985" s="168" t="s">
        <v>2177</v>
      </c>
      <c r="B985" s="455" t="s">
        <v>2178</v>
      </c>
      <c r="E985" s="456">
        <v>0</v>
      </c>
      <c r="F985" s="456">
        <v>0</v>
      </c>
      <c r="W985" s="168">
        <f t="shared" si="15"/>
        <v>0</v>
      </c>
    </row>
    <row r="986" spans="1:23">
      <c r="A986" s="168" t="s">
        <v>2179</v>
      </c>
      <c r="B986" s="455" t="s">
        <v>746</v>
      </c>
      <c r="C986" s="455" t="s">
        <v>2180</v>
      </c>
      <c r="E986" s="456">
        <v>0</v>
      </c>
      <c r="F986" s="456">
        <v>0</v>
      </c>
      <c r="W986" s="168">
        <f t="shared" si="15"/>
        <v>0</v>
      </c>
    </row>
    <row r="987" spans="1:23">
      <c r="A987" s="168" t="s">
        <v>2181</v>
      </c>
      <c r="B987" s="455" t="s">
        <v>2182</v>
      </c>
      <c r="E987" s="456">
        <v>0</v>
      </c>
      <c r="F987" s="456">
        <v>0</v>
      </c>
      <c r="W987" s="168">
        <f t="shared" si="15"/>
        <v>0</v>
      </c>
    </row>
    <row r="988" spans="1:23">
      <c r="A988" s="168" t="s">
        <v>2183</v>
      </c>
      <c r="B988" s="455" t="s">
        <v>2184</v>
      </c>
      <c r="E988" s="456">
        <v>-707153.82</v>
      </c>
      <c r="F988" s="456">
        <v>0</v>
      </c>
      <c r="W988" s="168">
        <f t="shared" si="15"/>
        <v>0</v>
      </c>
    </row>
    <row r="989" spans="1:23">
      <c r="A989" s="168" t="s">
        <v>2185</v>
      </c>
      <c r="B989" s="455" t="s">
        <v>2357</v>
      </c>
      <c r="E989" s="456">
        <v>0</v>
      </c>
      <c r="F989" s="456">
        <v>0</v>
      </c>
      <c r="W989" s="168">
        <f t="shared" si="15"/>
        <v>0</v>
      </c>
    </row>
    <row r="990" spans="1:23">
      <c r="A990" s="168" t="s">
        <v>2186</v>
      </c>
      <c r="B990" s="455" t="s">
        <v>1711</v>
      </c>
      <c r="E990" s="456">
        <v>-993208.67</v>
      </c>
      <c r="F990" s="456">
        <v>0</v>
      </c>
      <c r="W990" s="168">
        <f t="shared" si="15"/>
        <v>0</v>
      </c>
    </row>
    <row r="991" spans="1:23">
      <c r="A991" s="168" t="s">
        <v>2187</v>
      </c>
      <c r="B991" s="455"/>
      <c r="E991" s="456">
        <v>0</v>
      </c>
      <c r="F991" s="456">
        <v>0</v>
      </c>
      <c r="W991" s="168">
        <f t="shared" si="15"/>
        <v>0</v>
      </c>
    </row>
    <row r="992" spans="1:23">
      <c r="A992" s="168" t="s">
        <v>1861</v>
      </c>
      <c r="B992" s="455" t="s">
        <v>1862</v>
      </c>
      <c r="E992" s="456">
        <v>0</v>
      </c>
      <c r="F992" s="456">
        <v>0</v>
      </c>
      <c r="W992" s="168">
        <f t="shared" si="15"/>
        <v>0</v>
      </c>
    </row>
    <row r="993" spans="1:23">
      <c r="A993" s="168" t="s">
        <v>1863</v>
      </c>
      <c r="B993" s="455" t="s">
        <v>746</v>
      </c>
      <c r="E993" s="456">
        <v>-858900</v>
      </c>
      <c r="F993" s="456">
        <v>0</v>
      </c>
      <c r="W993" s="168">
        <f t="shared" si="15"/>
        <v>0</v>
      </c>
    </row>
    <row r="994" spans="1:23">
      <c r="A994" s="168" t="s">
        <v>1864</v>
      </c>
      <c r="B994" s="455" t="s">
        <v>2570</v>
      </c>
      <c r="C994" s="455" t="s">
        <v>1865</v>
      </c>
      <c r="E994" s="456">
        <v>0</v>
      </c>
      <c r="F994" s="456">
        <v>0</v>
      </c>
      <c r="W994" s="168">
        <f t="shared" si="15"/>
        <v>0</v>
      </c>
    </row>
    <row r="995" spans="1:23">
      <c r="A995" s="168" t="s">
        <v>1866</v>
      </c>
      <c r="B995" s="455" t="s">
        <v>1117</v>
      </c>
      <c r="E995" s="456">
        <v>0</v>
      </c>
      <c r="F995" s="456">
        <v>0</v>
      </c>
      <c r="W995" s="168">
        <f t="shared" si="15"/>
        <v>0</v>
      </c>
    </row>
    <row r="996" spans="1:23">
      <c r="A996" s="168" t="s">
        <v>1867</v>
      </c>
      <c r="B996" s="455" t="s">
        <v>1711</v>
      </c>
      <c r="E996" s="456">
        <v>43385</v>
      </c>
      <c r="F996" s="456">
        <v>0</v>
      </c>
      <c r="W996" s="168">
        <f t="shared" si="15"/>
        <v>0</v>
      </c>
    </row>
    <row r="997" spans="1:23">
      <c r="A997" s="168" t="s">
        <v>1868</v>
      </c>
      <c r="B997" s="455" t="s">
        <v>569</v>
      </c>
      <c r="C997" s="455" t="s">
        <v>1869</v>
      </c>
      <c r="E997" s="456">
        <v>0</v>
      </c>
      <c r="F997" s="456">
        <v>0</v>
      </c>
      <c r="W997" s="168">
        <f t="shared" si="15"/>
        <v>0</v>
      </c>
    </row>
    <row r="998" spans="1:23">
      <c r="A998" s="168" t="s">
        <v>1870</v>
      </c>
      <c r="B998" s="455" t="s">
        <v>767</v>
      </c>
      <c r="E998" s="456">
        <v>575003.79</v>
      </c>
      <c r="F998" s="456">
        <v>0</v>
      </c>
      <c r="W998" s="168">
        <f t="shared" si="15"/>
        <v>0</v>
      </c>
    </row>
    <row r="999" spans="1:23">
      <c r="A999" s="168" t="s">
        <v>1871</v>
      </c>
      <c r="B999" s="455" t="s">
        <v>1872</v>
      </c>
      <c r="E999" s="456">
        <v>0</v>
      </c>
      <c r="F999" s="456">
        <v>0</v>
      </c>
      <c r="W999" s="168">
        <f t="shared" si="15"/>
        <v>0</v>
      </c>
    </row>
    <row r="1000" spans="1:23">
      <c r="A1000" s="168" t="s">
        <v>1873</v>
      </c>
      <c r="B1000" s="455" t="s">
        <v>1874</v>
      </c>
      <c r="E1000" s="456">
        <v>0</v>
      </c>
      <c r="F1000" s="456">
        <v>0</v>
      </c>
      <c r="W1000" s="168">
        <f t="shared" si="15"/>
        <v>0</v>
      </c>
    </row>
    <row r="1001" spans="1:23">
      <c r="A1001" s="168" t="s">
        <v>1875</v>
      </c>
      <c r="B1001" s="455" t="s">
        <v>71</v>
      </c>
      <c r="E1001" s="456">
        <v>0</v>
      </c>
      <c r="F1001" s="456">
        <v>0</v>
      </c>
      <c r="W1001" s="168">
        <f t="shared" si="15"/>
        <v>0</v>
      </c>
    </row>
    <row r="1002" spans="1:23">
      <c r="A1002" s="168" t="s">
        <v>1877</v>
      </c>
      <c r="B1002" s="455">
        <v>61300001362</v>
      </c>
      <c r="E1002" s="456">
        <v>-11896.39</v>
      </c>
      <c r="F1002" s="456">
        <v>0</v>
      </c>
      <c r="W1002" s="168">
        <f t="shared" si="15"/>
        <v>0</v>
      </c>
    </row>
    <row r="1003" spans="1:23">
      <c r="A1003" s="168" t="s">
        <v>1878</v>
      </c>
      <c r="B1003" s="455" t="s">
        <v>2450</v>
      </c>
      <c r="E1003" s="456">
        <v>-11060</v>
      </c>
      <c r="F1003" s="456">
        <v>0</v>
      </c>
      <c r="W1003" s="168">
        <f t="shared" si="15"/>
        <v>0</v>
      </c>
    </row>
    <row r="1004" spans="1:23">
      <c r="A1004" s="168" t="s">
        <v>1879</v>
      </c>
      <c r="B1004" s="455" t="s">
        <v>746</v>
      </c>
      <c r="E1004" s="456">
        <v>-24650.85</v>
      </c>
      <c r="F1004" s="456">
        <v>0</v>
      </c>
      <c r="W1004" s="168">
        <f t="shared" si="15"/>
        <v>0</v>
      </c>
    </row>
    <row r="1005" spans="1:23">
      <c r="A1005" s="168" t="s">
        <v>1880</v>
      </c>
      <c r="B1005" s="455" t="s">
        <v>746</v>
      </c>
      <c r="E1005" s="456">
        <v>-4493.58</v>
      </c>
      <c r="F1005" s="456">
        <v>0</v>
      </c>
      <c r="W1005" s="168">
        <f t="shared" si="15"/>
        <v>0</v>
      </c>
    </row>
    <row r="1006" spans="1:23">
      <c r="A1006" s="168" t="s">
        <v>1881</v>
      </c>
      <c r="B1006" s="455" t="s">
        <v>746</v>
      </c>
      <c r="E1006" s="456">
        <v>-10162.200000000001</v>
      </c>
      <c r="F1006" s="456">
        <v>0</v>
      </c>
      <c r="W1006" s="168">
        <f t="shared" si="15"/>
        <v>0</v>
      </c>
    </row>
    <row r="1007" spans="1:23">
      <c r="A1007" s="168" t="s">
        <v>1882</v>
      </c>
      <c r="B1007" s="455" t="s">
        <v>746</v>
      </c>
      <c r="E1007" s="456">
        <v>-8422.7800000000007</v>
      </c>
      <c r="F1007" s="456">
        <v>0</v>
      </c>
      <c r="W1007" s="168">
        <f t="shared" si="15"/>
        <v>0</v>
      </c>
    </row>
    <row r="1008" spans="1:23">
      <c r="A1008" s="168" t="s">
        <v>1883</v>
      </c>
      <c r="B1008" s="455" t="s">
        <v>1884</v>
      </c>
      <c r="E1008" s="456">
        <v>2352819.92</v>
      </c>
      <c r="F1008" s="456">
        <v>0</v>
      </c>
      <c r="W1008" s="168">
        <f t="shared" si="15"/>
        <v>0</v>
      </c>
    </row>
    <row r="1009" spans="1:6">
      <c r="A1009" s="168" t="s">
        <v>1885</v>
      </c>
      <c r="B1009" s="455" t="s">
        <v>746</v>
      </c>
      <c r="E1009" s="456">
        <v>-17261.25</v>
      </c>
      <c r="F1009" s="456">
        <v>0</v>
      </c>
    </row>
    <row r="1010" spans="1:6">
      <c r="A1010" s="168" t="s">
        <v>1886</v>
      </c>
      <c r="B1010" s="455" t="s">
        <v>746</v>
      </c>
      <c r="E1010" s="456">
        <v>0</v>
      </c>
      <c r="F1010" s="456">
        <v>0</v>
      </c>
    </row>
    <row r="1011" spans="1:6">
      <c r="A1011" s="168" t="s">
        <v>1887</v>
      </c>
      <c r="B1011" s="455" t="s">
        <v>746</v>
      </c>
      <c r="E1011" s="456">
        <v>0</v>
      </c>
      <c r="F1011" s="456">
        <v>0</v>
      </c>
    </row>
    <row r="1012" spans="1:6">
      <c r="A1012" s="168" t="s">
        <v>1888</v>
      </c>
      <c r="B1012" s="455" t="s">
        <v>746</v>
      </c>
      <c r="C1012" s="455" t="s">
        <v>81</v>
      </c>
      <c r="E1012" s="456">
        <v>0</v>
      </c>
      <c r="F1012" s="456">
        <v>0</v>
      </c>
    </row>
    <row r="1013" spans="1:6">
      <c r="A1013" s="168" t="s">
        <v>1890</v>
      </c>
      <c r="B1013" s="455" t="s">
        <v>746</v>
      </c>
      <c r="C1013" s="455" t="s">
        <v>569</v>
      </c>
      <c r="E1013" s="456">
        <v>5025471.25</v>
      </c>
      <c r="F1013" s="456">
        <v>0</v>
      </c>
    </row>
    <row r="1014" spans="1:6">
      <c r="A1014" s="168" t="s">
        <v>1891</v>
      </c>
      <c r="B1014" s="455" t="s">
        <v>746</v>
      </c>
      <c r="C1014" s="455" t="s">
        <v>1892</v>
      </c>
      <c r="E1014" s="456">
        <v>0</v>
      </c>
      <c r="F1014" s="456">
        <v>0</v>
      </c>
    </row>
    <row r="1015" spans="1:6">
      <c r="A1015" s="168" t="s">
        <v>1893</v>
      </c>
      <c r="B1015" s="455" t="s">
        <v>2159</v>
      </c>
      <c r="E1015" s="456">
        <v>0</v>
      </c>
      <c r="F1015" s="456">
        <v>0</v>
      </c>
    </row>
    <row r="1016" spans="1:6">
      <c r="A1016" s="168" t="s">
        <v>1894</v>
      </c>
      <c r="B1016" s="455" t="s">
        <v>1321</v>
      </c>
      <c r="E1016" s="456">
        <v>0</v>
      </c>
      <c r="F1016" s="456">
        <v>0</v>
      </c>
    </row>
    <row r="1017" spans="1:6">
      <c r="A1017" s="168" t="s">
        <v>1895</v>
      </c>
      <c r="B1017" s="455" t="s">
        <v>1896</v>
      </c>
      <c r="E1017" s="456">
        <v>57303.34</v>
      </c>
      <c r="F1017" s="456">
        <v>0</v>
      </c>
    </row>
    <row r="1018" spans="1:6">
      <c r="A1018" s="168" t="s">
        <v>1897</v>
      </c>
      <c r="B1018" s="455" t="s">
        <v>800</v>
      </c>
      <c r="E1018" s="456">
        <v>0</v>
      </c>
      <c r="F1018" s="456">
        <v>0</v>
      </c>
    </row>
    <row r="1019" spans="1:6">
      <c r="A1019" s="168" t="s">
        <v>1898</v>
      </c>
      <c r="B1019" s="455" t="s">
        <v>265</v>
      </c>
      <c r="E1019" s="456">
        <v>0</v>
      </c>
      <c r="F1019" s="456">
        <v>0</v>
      </c>
    </row>
    <row r="1020" spans="1:6">
      <c r="A1020" s="168" t="s">
        <v>1899</v>
      </c>
      <c r="B1020" s="455" t="s">
        <v>2562</v>
      </c>
      <c r="E1020" s="456">
        <v>0</v>
      </c>
      <c r="F1020" s="456">
        <v>0</v>
      </c>
    </row>
    <row r="1021" spans="1:6">
      <c r="A1021" s="168" t="s">
        <v>1900</v>
      </c>
      <c r="B1021" s="455" t="s">
        <v>1901</v>
      </c>
      <c r="E1021" s="456">
        <v>0</v>
      </c>
      <c r="F1021" s="456">
        <v>0</v>
      </c>
    </row>
    <row r="1022" spans="1:6">
      <c r="A1022" s="168" t="s">
        <v>1902</v>
      </c>
      <c r="B1022" s="455" t="s">
        <v>2338</v>
      </c>
      <c r="E1022" s="456">
        <v>0</v>
      </c>
      <c r="F1022" s="456">
        <v>0</v>
      </c>
    </row>
    <row r="1023" spans="1:6">
      <c r="A1023" s="168" t="s">
        <v>1903</v>
      </c>
      <c r="B1023" s="455" t="s">
        <v>1904</v>
      </c>
      <c r="C1023" s="455" t="s">
        <v>1905</v>
      </c>
      <c r="E1023" s="456">
        <v>0</v>
      </c>
      <c r="F1023" s="456">
        <v>0</v>
      </c>
    </row>
    <row r="1024" spans="1:6">
      <c r="A1024" s="168" t="s">
        <v>1906</v>
      </c>
      <c r="B1024" s="455" t="s">
        <v>1907</v>
      </c>
      <c r="E1024" s="456">
        <v>0</v>
      </c>
      <c r="F1024" s="456">
        <v>0</v>
      </c>
    </row>
    <row r="1025" spans="1:6">
      <c r="A1025" s="168" t="s">
        <v>1908</v>
      </c>
      <c r="B1025" s="455" t="s">
        <v>1909</v>
      </c>
      <c r="C1025" s="455" t="s">
        <v>1910</v>
      </c>
      <c r="E1025" s="456">
        <v>0</v>
      </c>
      <c r="F1025" s="456">
        <v>0</v>
      </c>
    </row>
    <row r="1026" spans="1:6">
      <c r="A1026" s="168" t="s">
        <v>1911</v>
      </c>
      <c r="B1026" s="455" t="s">
        <v>1912</v>
      </c>
      <c r="E1026" s="456">
        <v>0</v>
      </c>
      <c r="F1026" s="456">
        <v>0</v>
      </c>
    </row>
    <row r="1027" spans="1:6">
      <c r="A1027" s="168" t="s">
        <v>1913</v>
      </c>
      <c r="B1027" s="455" t="s">
        <v>2338</v>
      </c>
      <c r="E1027" s="456">
        <v>0</v>
      </c>
      <c r="F1027" s="456">
        <v>0</v>
      </c>
    </row>
    <row r="1028" spans="1:6">
      <c r="A1028" s="168" t="s">
        <v>1914</v>
      </c>
      <c r="B1028" s="455" t="s">
        <v>1915</v>
      </c>
      <c r="C1028" s="455" t="s">
        <v>1916</v>
      </c>
      <c r="E1028" s="456">
        <v>0</v>
      </c>
      <c r="F1028" s="456">
        <v>0</v>
      </c>
    </row>
    <row r="1029" spans="1:6">
      <c r="A1029" s="168" t="s">
        <v>1917</v>
      </c>
      <c r="B1029" s="455" t="s">
        <v>1918</v>
      </c>
      <c r="E1029" s="456">
        <v>0</v>
      </c>
      <c r="F1029" s="456">
        <v>0</v>
      </c>
    </row>
    <row r="1030" spans="1:6">
      <c r="A1030" s="168" t="s">
        <v>1919</v>
      </c>
      <c r="B1030" s="455" t="s">
        <v>1920</v>
      </c>
      <c r="E1030" s="456">
        <v>0</v>
      </c>
      <c r="F1030" s="456">
        <v>0</v>
      </c>
    </row>
    <row r="1031" spans="1:6">
      <c r="A1031" s="168" t="s">
        <v>1921</v>
      </c>
      <c r="B1031" s="455" t="s">
        <v>1922</v>
      </c>
      <c r="E1031" s="456">
        <v>0</v>
      </c>
      <c r="F1031" s="456">
        <v>0</v>
      </c>
    </row>
    <row r="1032" spans="1:6">
      <c r="A1032" s="168" t="s">
        <v>1923</v>
      </c>
      <c r="B1032" s="455" t="s">
        <v>1924</v>
      </c>
      <c r="E1032" s="456">
        <v>0</v>
      </c>
      <c r="F1032" s="456">
        <v>0</v>
      </c>
    </row>
    <row r="1033" spans="1:6">
      <c r="A1033" s="168" t="s">
        <v>1925</v>
      </c>
      <c r="B1033" s="455" t="s">
        <v>1926</v>
      </c>
      <c r="E1033" s="456">
        <v>0</v>
      </c>
      <c r="F1033" s="456">
        <v>0</v>
      </c>
    </row>
    <row r="1034" spans="1:6">
      <c r="A1034" s="168" t="s">
        <v>1927</v>
      </c>
      <c r="B1034" s="455" t="s">
        <v>1928</v>
      </c>
      <c r="E1034" s="456">
        <v>0</v>
      </c>
      <c r="F1034" s="456">
        <v>0</v>
      </c>
    </row>
    <row r="1035" spans="1:6">
      <c r="A1035" s="168" t="s">
        <v>1929</v>
      </c>
      <c r="B1035" s="455" t="s">
        <v>1930</v>
      </c>
      <c r="E1035" s="456">
        <v>0</v>
      </c>
      <c r="F1035" s="456">
        <v>0</v>
      </c>
    </row>
    <row r="1036" spans="1:6">
      <c r="A1036" s="168" t="s">
        <v>1931</v>
      </c>
      <c r="B1036" s="455" t="s">
        <v>1932</v>
      </c>
      <c r="E1036" s="456">
        <v>0</v>
      </c>
      <c r="F1036" s="456">
        <v>0</v>
      </c>
    </row>
    <row r="1037" spans="1:6">
      <c r="A1037" s="168" t="s">
        <v>1933</v>
      </c>
      <c r="B1037" s="455" t="s">
        <v>569</v>
      </c>
      <c r="C1037" s="455" t="s">
        <v>1869</v>
      </c>
      <c r="E1037" s="456">
        <v>0</v>
      </c>
      <c r="F1037" s="456">
        <v>0</v>
      </c>
    </row>
    <row r="1038" spans="1:6">
      <c r="A1038" s="168" t="s">
        <v>1934</v>
      </c>
      <c r="B1038" s="455"/>
      <c r="E1038" s="456">
        <v>0</v>
      </c>
      <c r="F1038" s="456">
        <v>0</v>
      </c>
    </row>
    <row r="1039" spans="1:6">
      <c r="A1039" s="168" t="s">
        <v>1935</v>
      </c>
      <c r="B1039" s="455" t="s">
        <v>1936</v>
      </c>
      <c r="E1039" s="456">
        <v>-748.06</v>
      </c>
      <c r="F1039" s="456">
        <v>0</v>
      </c>
    </row>
    <row r="1040" spans="1:6">
      <c r="A1040" s="168" t="s">
        <v>1937</v>
      </c>
      <c r="B1040" s="455" t="s">
        <v>1938</v>
      </c>
      <c r="C1040" s="455" t="s">
        <v>1939</v>
      </c>
      <c r="E1040" s="456">
        <v>0</v>
      </c>
      <c r="F1040" s="456">
        <v>0</v>
      </c>
    </row>
    <row r="1041" spans="1:6">
      <c r="A1041" s="168" t="s">
        <v>1940</v>
      </c>
      <c r="B1041" s="455" t="s">
        <v>746</v>
      </c>
      <c r="E1041" s="456">
        <v>0</v>
      </c>
      <c r="F1041" s="456">
        <v>0</v>
      </c>
    </row>
    <row r="1042" spans="1:6">
      <c r="A1042" s="168" t="s">
        <v>1941</v>
      </c>
      <c r="B1042" s="455"/>
      <c r="E1042" s="456">
        <v>2228956.7000000002</v>
      </c>
      <c r="F1042" s="456">
        <v>0</v>
      </c>
    </row>
    <row r="1043" spans="1:6">
      <c r="A1043" s="168" t="s">
        <v>1942</v>
      </c>
      <c r="B1043" s="455" t="s">
        <v>2157</v>
      </c>
      <c r="E1043" s="456">
        <v>0</v>
      </c>
      <c r="F1043" s="456">
        <v>0</v>
      </c>
    </row>
    <row r="1044" spans="1:6">
      <c r="A1044" s="168" t="s">
        <v>1943</v>
      </c>
      <c r="B1044" s="455" t="s">
        <v>1944</v>
      </c>
      <c r="E1044" s="456">
        <v>0</v>
      </c>
      <c r="F1044" s="456">
        <v>0</v>
      </c>
    </row>
    <row r="1045" spans="1:6">
      <c r="A1045" s="168" t="s">
        <v>1945</v>
      </c>
      <c r="B1045" s="455" t="s">
        <v>546</v>
      </c>
      <c r="E1045" s="456">
        <v>-2087117.44</v>
      </c>
      <c r="F1045" s="456">
        <v>0</v>
      </c>
    </row>
    <row r="1046" spans="1:6">
      <c r="A1046" s="168" t="s">
        <v>1946</v>
      </c>
      <c r="B1046" s="455" t="s">
        <v>1889</v>
      </c>
      <c r="E1046" s="456">
        <v>0</v>
      </c>
      <c r="F1046" s="456">
        <v>0</v>
      </c>
    </row>
    <row r="1047" spans="1:6">
      <c r="A1047" s="168" t="s">
        <v>1947</v>
      </c>
      <c r="B1047" s="455" t="s">
        <v>1948</v>
      </c>
      <c r="E1047" s="456">
        <v>-1220257.8799999999</v>
      </c>
      <c r="F1047" s="456">
        <v>0</v>
      </c>
    </row>
    <row r="1048" spans="1:6">
      <c r="A1048" s="168" t="s">
        <v>1949</v>
      </c>
      <c r="B1048" s="455" t="s">
        <v>1948</v>
      </c>
      <c r="E1048" s="456">
        <v>0</v>
      </c>
      <c r="F1048" s="456">
        <v>0</v>
      </c>
    </row>
    <row r="1049" spans="1:6">
      <c r="A1049" s="168" t="s">
        <v>1950</v>
      </c>
      <c r="B1049" s="455" t="s">
        <v>1952</v>
      </c>
      <c r="E1049" s="456">
        <v>639331.81999999995</v>
      </c>
      <c r="F1049" s="456">
        <v>0</v>
      </c>
    </row>
    <row r="1050" spans="1:6">
      <c r="A1050" s="168" t="s">
        <v>1953</v>
      </c>
      <c r="B1050" s="455" t="s">
        <v>1952</v>
      </c>
      <c r="E1050" s="456">
        <v>-2544177.0699999998</v>
      </c>
      <c r="F1050" s="456">
        <v>0</v>
      </c>
    </row>
    <row r="1051" spans="1:6">
      <c r="A1051" s="168" t="s">
        <v>1954</v>
      </c>
      <c r="B1051" s="455" t="s">
        <v>1955</v>
      </c>
      <c r="E1051" s="456">
        <v>0</v>
      </c>
      <c r="F1051" s="456">
        <v>0</v>
      </c>
    </row>
    <row r="1052" spans="1:6">
      <c r="A1052" s="168" t="s">
        <v>1956</v>
      </c>
      <c r="B1052" s="455" t="s">
        <v>569</v>
      </c>
      <c r="E1052" s="456">
        <v>0</v>
      </c>
      <c r="F1052" s="456">
        <v>0</v>
      </c>
    </row>
    <row r="1053" spans="1:6">
      <c r="A1053" s="168" t="s">
        <v>1957</v>
      </c>
      <c r="B1053" s="455" t="s">
        <v>569</v>
      </c>
      <c r="E1053" s="456">
        <v>0</v>
      </c>
      <c r="F1053" s="456">
        <v>0</v>
      </c>
    </row>
    <row r="1054" spans="1:6">
      <c r="A1054" s="168" t="s">
        <v>1958</v>
      </c>
      <c r="B1054" s="455" t="s">
        <v>1485</v>
      </c>
      <c r="E1054" s="456">
        <v>0</v>
      </c>
      <c r="F1054" s="456">
        <v>0</v>
      </c>
    </row>
    <row r="1055" spans="1:6">
      <c r="A1055" s="168" t="s">
        <v>1959</v>
      </c>
      <c r="B1055" s="455" t="s">
        <v>1960</v>
      </c>
      <c r="E1055" s="456">
        <v>0</v>
      </c>
      <c r="F1055" s="456">
        <v>0</v>
      </c>
    </row>
    <row r="1056" spans="1:6">
      <c r="A1056" s="168" t="s">
        <v>1961</v>
      </c>
      <c r="B1056" s="455" t="s">
        <v>1962</v>
      </c>
      <c r="C1056" s="455" t="s">
        <v>1963</v>
      </c>
      <c r="E1056" s="456">
        <v>0</v>
      </c>
      <c r="F1056" s="456">
        <v>0</v>
      </c>
    </row>
    <row r="1057" spans="1:6">
      <c r="A1057" s="168" t="s">
        <v>1964</v>
      </c>
      <c r="B1057" s="455" t="s">
        <v>2448</v>
      </c>
      <c r="E1057" s="456">
        <v>-95901.52</v>
      </c>
      <c r="F1057" s="456">
        <v>0</v>
      </c>
    </row>
    <row r="1058" spans="1:6">
      <c r="A1058" s="168" t="s">
        <v>1965</v>
      </c>
      <c r="B1058" s="455" t="s">
        <v>1966</v>
      </c>
      <c r="E1058" s="456">
        <v>0</v>
      </c>
      <c r="F1058" s="456">
        <v>0</v>
      </c>
    </row>
    <row r="1059" spans="1:6">
      <c r="A1059" s="168" t="s">
        <v>1967</v>
      </c>
      <c r="B1059" s="455" t="s">
        <v>1968</v>
      </c>
      <c r="E1059" s="456">
        <v>1067.3</v>
      </c>
      <c r="F1059" s="456">
        <v>0</v>
      </c>
    </row>
    <row r="1060" spans="1:6">
      <c r="A1060" s="168" t="s">
        <v>1969</v>
      </c>
      <c r="B1060" s="455"/>
      <c r="E1060" s="456">
        <v>0</v>
      </c>
      <c r="F1060" s="456">
        <v>0</v>
      </c>
    </row>
    <row r="1061" spans="1:6">
      <c r="A1061" s="168" t="s">
        <v>1970</v>
      </c>
      <c r="B1061" s="455" t="s">
        <v>746</v>
      </c>
      <c r="E1061" s="456">
        <v>0</v>
      </c>
      <c r="F1061" s="456">
        <v>0</v>
      </c>
    </row>
    <row r="1062" spans="1:6">
      <c r="A1062" s="168" t="s">
        <v>1971</v>
      </c>
      <c r="B1062" s="455" t="s">
        <v>1972</v>
      </c>
      <c r="E1062" s="456">
        <v>11060</v>
      </c>
      <c r="F1062" s="456">
        <v>0</v>
      </c>
    </row>
    <row r="1063" spans="1:6">
      <c r="A1063" s="168" t="s">
        <v>1973</v>
      </c>
      <c r="B1063" s="455" t="s">
        <v>1974</v>
      </c>
      <c r="E1063" s="456">
        <v>0</v>
      </c>
      <c r="F1063" s="456">
        <v>0</v>
      </c>
    </row>
    <row r="1064" spans="1:6">
      <c r="A1064" s="168" t="s">
        <v>1975</v>
      </c>
      <c r="B1064" s="455" t="s">
        <v>1976</v>
      </c>
      <c r="E1064" s="456">
        <v>0</v>
      </c>
      <c r="F1064" s="456">
        <v>0</v>
      </c>
    </row>
    <row r="1065" spans="1:6">
      <c r="A1065" s="168" t="s">
        <v>1977</v>
      </c>
      <c r="B1065" s="455" t="s">
        <v>1978</v>
      </c>
      <c r="E1065" s="456">
        <v>11896.39</v>
      </c>
      <c r="F1065" s="456">
        <v>0</v>
      </c>
    </row>
    <row r="1066" spans="1:6">
      <c r="A1066" s="168" t="s">
        <v>1980</v>
      </c>
      <c r="B1066" s="455" t="s">
        <v>1981</v>
      </c>
      <c r="E1066" s="456">
        <v>75835.28</v>
      </c>
      <c r="F1066" s="456">
        <v>0</v>
      </c>
    </row>
    <row r="1067" spans="1:6">
      <c r="A1067" s="168" t="s">
        <v>1982</v>
      </c>
      <c r="B1067" s="455" t="s">
        <v>1983</v>
      </c>
      <c r="C1067" s="455" t="s">
        <v>1984</v>
      </c>
      <c r="E1067" s="456">
        <v>5895.27</v>
      </c>
      <c r="F1067" s="456">
        <v>0</v>
      </c>
    </row>
    <row r="1068" spans="1:6">
      <c r="A1068" s="168" t="s">
        <v>1985</v>
      </c>
      <c r="B1068" s="455" t="s">
        <v>1979</v>
      </c>
      <c r="E1068" s="456">
        <v>0</v>
      </c>
      <c r="F1068" s="456">
        <v>0</v>
      </c>
    </row>
    <row r="1069" spans="1:6">
      <c r="A1069" s="168" t="s">
        <v>1986</v>
      </c>
      <c r="B1069" s="455"/>
      <c r="E1069" s="456">
        <v>-297688.61</v>
      </c>
      <c r="F1069" s="456">
        <v>0</v>
      </c>
    </row>
    <row r="1070" spans="1:6">
      <c r="A1070" s="168" t="s">
        <v>1988</v>
      </c>
      <c r="B1070" s="455" t="s">
        <v>1987</v>
      </c>
      <c r="E1070" s="456">
        <v>0</v>
      </c>
      <c r="F1070" s="456">
        <v>0</v>
      </c>
    </row>
    <row r="1071" spans="1:6">
      <c r="A1071" s="168" t="s">
        <v>1991</v>
      </c>
      <c r="B1071" s="455" t="s">
        <v>1679</v>
      </c>
      <c r="E1071" s="456">
        <v>0</v>
      </c>
      <c r="F1071" s="456">
        <v>0</v>
      </c>
    </row>
    <row r="1072" spans="1:6">
      <c r="A1072" s="168" t="s">
        <v>1993</v>
      </c>
      <c r="B1072" s="455" t="s">
        <v>1992</v>
      </c>
      <c r="E1072" s="456">
        <v>2424521.96</v>
      </c>
      <c r="F1072" s="456">
        <v>0</v>
      </c>
    </row>
    <row r="1073" spans="1:6">
      <c r="A1073" s="168" t="s">
        <v>1994</v>
      </c>
      <c r="B1073" s="455" t="s">
        <v>1995</v>
      </c>
      <c r="E1073" s="456">
        <v>0</v>
      </c>
      <c r="F1073" s="456">
        <v>0</v>
      </c>
    </row>
    <row r="1074" spans="1:6">
      <c r="A1074" s="168" t="s">
        <v>1996</v>
      </c>
      <c r="B1074" s="455" t="s">
        <v>1241</v>
      </c>
      <c r="E1074" s="456">
        <v>0</v>
      </c>
      <c r="F1074" s="456">
        <v>0</v>
      </c>
    </row>
    <row r="1075" spans="1:6">
      <c r="A1075" s="168" t="s">
        <v>1998</v>
      </c>
      <c r="B1075" s="455" t="s">
        <v>1997</v>
      </c>
      <c r="E1075" s="456">
        <v>-1686994.14</v>
      </c>
      <c r="F1075" s="456">
        <v>0</v>
      </c>
    </row>
    <row r="1076" spans="1:6">
      <c r="A1076" s="168" t="s">
        <v>2000</v>
      </c>
      <c r="B1076" s="455" t="s">
        <v>1999</v>
      </c>
      <c r="E1076" s="456">
        <v>0</v>
      </c>
      <c r="F1076" s="456">
        <v>0</v>
      </c>
    </row>
    <row r="1077" spans="1:6">
      <c r="A1077" s="168" t="s">
        <v>2002</v>
      </c>
      <c r="B1077" s="455" t="s">
        <v>2001</v>
      </c>
      <c r="E1077" s="456">
        <v>-9575.35</v>
      </c>
      <c r="F1077" s="456">
        <v>0</v>
      </c>
    </row>
    <row r="1078" spans="1:6">
      <c r="A1078" s="168" t="s">
        <v>2003</v>
      </c>
      <c r="B1078" s="455" t="s">
        <v>2001</v>
      </c>
      <c r="E1078" s="456">
        <v>0</v>
      </c>
      <c r="F1078" s="456">
        <v>0</v>
      </c>
    </row>
    <row r="1079" spans="1:6">
      <c r="A1079" s="168" t="s">
        <v>2005</v>
      </c>
      <c r="B1079" s="455" t="s">
        <v>1989</v>
      </c>
      <c r="E1079" s="456">
        <v>6905313.6699999999</v>
      </c>
      <c r="F1079" s="456">
        <v>0</v>
      </c>
    </row>
    <row r="1080" spans="1:6">
      <c r="A1080" s="168" t="s">
        <v>1189</v>
      </c>
      <c r="B1080" s="455" t="s">
        <v>1190</v>
      </c>
      <c r="E1080" s="456">
        <v>0</v>
      </c>
      <c r="F1080" s="456">
        <v>0</v>
      </c>
    </row>
    <row r="1081" spans="1:6">
      <c r="A1081" s="168" t="s">
        <v>1192</v>
      </c>
      <c r="B1081" s="455" t="s">
        <v>1191</v>
      </c>
      <c r="E1081" s="456">
        <v>0</v>
      </c>
      <c r="F1081" s="456">
        <v>0</v>
      </c>
    </row>
    <row r="1082" spans="1:6">
      <c r="A1082" s="168" t="s">
        <v>1195</v>
      </c>
      <c r="B1082" s="455" t="s">
        <v>1193</v>
      </c>
      <c r="E1082" s="456">
        <v>0</v>
      </c>
      <c r="F1082" s="456">
        <v>0</v>
      </c>
    </row>
    <row r="1083" spans="1:6">
      <c r="A1083" s="168" t="s">
        <v>1196</v>
      </c>
      <c r="B1083" s="455" t="s">
        <v>1193</v>
      </c>
      <c r="C1083" s="455" t="s">
        <v>1865</v>
      </c>
      <c r="E1083" s="456">
        <v>0</v>
      </c>
      <c r="F1083" s="456">
        <v>0</v>
      </c>
    </row>
    <row r="1084" spans="1:6">
      <c r="A1084" s="168" t="s">
        <v>1198</v>
      </c>
      <c r="B1084" s="455" t="s">
        <v>1197</v>
      </c>
      <c r="E1084" s="456">
        <v>16.850000000000001</v>
      </c>
      <c r="F1084" s="456">
        <v>0</v>
      </c>
    </row>
    <row r="1085" spans="1:6">
      <c r="A1085" s="168" t="s">
        <v>1199</v>
      </c>
      <c r="B1085" s="455" t="s">
        <v>2004</v>
      </c>
      <c r="E1085" s="456">
        <v>0</v>
      </c>
      <c r="F1085" s="456">
        <v>0</v>
      </c>
    </row>
    <row r="1086" spans="1:6">
      <c r="A1086" s="168" t="s">
        <v>1200</v>
      </c>
      <c r="B1086" s="455" t="s">
        <v>1989</v>
      </c>
      <c r="E1086" s="456">
        <v>0</v>
      </c>
      <c r="F1086" s="456">
        <v>0</v>
      </c>
    </row>
    <row r="1087" spans="1:6">
      <c r="A1087" s="168" t="s">
        <v>1201</v>
      </c>
      <c r="B1087" s="455" t="s">
        <v>1194</v>
      </c>
      <c r="C1087" s="455" t="s">
        <v>1202</v>
      </c>
      <c r="E1087" s="456">
        <v>130728.31</v>
      </c>
      <c r="F1087" s="456">
        <v>0</v>
      </c>
    </row>
    <row r="1088" spans="1:6">
      <c r="A1088" s="168" t="s">
        <v>1204</v>
      </c>
      <c r="B1088" s="455" t="s">
        <v>1203</v>
      </c>
      <c r="E1088" s="456">
        <v>-130728.31</v>
      </c>
      <c r="F1088" s="456">
        <v>0</v>
      </c>
    </row>
    <row r="1089" spans="1:6">
      <c r="A1089" s="168" t="s">
        <v>1205</v>
      </c>
      <c r="B1089" s="455" t="s">
        <v>1194</v>
      </c>
      <c r="E1089" s="456">
        <v>0</v>
      </c>
      <c r="F1089" s="456">
        <v>0</v>
      </c>
    </row>
    <row r="1090" spans="1:6">
      <c r="A1090" s="168" t="s">
        <v>1208</v>
      </c>
      <c r="B1090" s="455" t="s">
        <v>1206</v>
      </c>
      <c r="C1090" s="455" t="s">
        <v>1207</v>
      </c>
      <c r="E1090" s="456">
        <v>-104.04</v>
      </c>
      <c r="F1090" s="456">
        <v>0</v>
      </c>
    </row>
    <row r="1091" spans="1:6">
      <c r="A1091" s="168" t="s">
        <v>1209</v>
      </c>
      <c r="B1091" s="455" t="s">
        <v>1206</v>
      </c>
      <c r="C1091" s="455" t="s">
        <v>1207</v>
      </c>
      <c r="E1091" s="456">
        <v>0</v>
      </c>
      <c r="F1091" s="456">
        <v>0</v>
      </c>
    </row>
    <row r="1092" spans="1:6">
      <c r="A1092" s="168" t="s">
        <v>1210</v>
      </c>
      <c r="B1092" s="455" t="s">
        <v>1206</v>
      </c>
      <c r="C1092" s="455" t="s">
        <v>1207</v>
      </c>
      <c r="E1092" s="456">
        <v>0</v>
      </c>
      <c r="F1092" s="456">
        <v>0</v>
      </c>
    </row>
    <row r="1093" spans="1:6">
      <c r="A1093" s="168" t="s">
        <v>1211</v>
      </c>
      <c r="B1093" s="455" t="s">
        <v>1206</v>
      </c>
      <c r="C1093" s="455" t="s">
        <v>1207</v>
      </c>
      <c r="E1093" s="456">
        <v>0</v>
      </c>
      <c r="F1093" s="456">
        <v>0</v>
      </c>
    </row>
    <row r="1094" spans="1:6">
      <c r="A1094" s="168" t="s">
        <v>1212</v>
      </c>
      <c r="B1094" s="455" t="s">
        <v>1213</v>
      </c>
      <c r="E1094" s="456">
        <v>0</v>
      </c>
      <c r="F1094" s="456">
        <v>0</v>
      </c>
    </row>
    <row r="1095" spans="1:6">
      <c r="A1095" s="168" t="s">
        <v>1215</v>
      </c>
      <c r="B1095" s="455" t="s">
        <v>1214</v>
      </c>
      <c r="E1095" s="456">
        <v>0</v>
      </c>
      <c r="F1095" s="456">
        <v>0</v>
      </c>
    </row>
    <row r="1096" spans="1:6">
      <c r="A1096" s="168" t="s">
        <v>1217</v>
      </c>
      <c r="B1096" s="455" t="s">
        <v>1216</v>
      </c>
      <c r="E1096" s="456">
        <v>-1619314.19</v>
      </c>
      <c r="F1096" s="456">
        <v>0</v>
      </c>
    </row>
    <row r="1097" spans="1:6">
      <c r="A1097" s="168" t="s">
        <v>1218</v>
      </c>
      <c r="B1097" s="455" t="s">
        <v>1219</v>
      </c>
      <c r="E1097" s="456">
        <v>1.28</v>
      </c>
      <c r="F1097" s="456">
        <v>0</v>
      </c>
    </row>
    <row r="1098" spans="1:6">
      <c r="A1098" s="168" t="s">
        <v>1538</v>
      </c>
      <c r="B1098" s="455" t="s">
        <v>1537</v>
      </c>
      <c r="E1098" s="456">
        <v>-7060213.7400000002</v>
      </c>
      <c r="F1098" s="456">
        <v>0</v>
      </c>
    </row>
    <row r="1099" spans="1:6">
      <c r="A1099" s="168" t="s">
        <v>1539</v>
      </c>
      <c r="B1099" s="455" t="s">
        <v>746</v>
      </c>
      <c r="C1099" s="455" t="s">
        <v>1540</v>
      </c>
      <c r="E1099" s="456">
        <v>-84316.73</v>
      </c>
      <c r="F1099" s="456">
        <v>0</v>
      </c>
    </row>
    <row r="1100" spans="1:6">
      <c r="A1100" s="168" t="s">
        <v>1541</v>
      </c>
      <c r="B1100" s="455" t="s">
        <v>1206</v>
      </c>
      <c r="C1100" s="455" t="s">
        <v>1207</v>
      </c>
      <c r="E1100" s="456">
        <v>0</v>
      </c>
      <c r="F1100" s="456">
        <v>0</v>
      </c>
    </row>
    <row r="1101" spans="1:6">
      <c r="A1101" s="168" t="s">
        <v>1543</v>
      </c>
      <c r="B1101" s="455" t="s">
        <v>1542</v>
      </c>
      <c r="E1101" s="456">
        <v>0</v>
      </c>
      <c r="F1101" s="456">
        <v>0</v>
      </c>
    </row>
    <row r="1102" spans="1:6">
      <c r="A1102" s="168" t="s">
        <v>1545</v>
      </c>
      <c r="B1102" s="455" t="s">
        <v>1544</v>
      </c>
      <c r="E1102" s="456">
        <v>0</v>
      </c>
      <c r="F1102" s="456">
        <v>0</v>
      </c>
    </row>
    <row r="1103" spans="1:6">
      <c r="A1103" s="168" t="s">
        <v>1547</v>
      </c>
      <c r="B1103" s="455" t="s">
        <v>1546</v>
      </c>
      <c r="E1103" s="456">
        <v>0</v>
      </c>
      <c r="F1103" s="456">
        <v>0</v>
      </c>
    </row>
    <row r="1104" spans="1:6">
      <c r="A1104" s="168" t="s">
        <v>1548</v>
      </c>
      <c r="B1104" s="455"/>
      <c r="E1104" s="456">
        <v>-70185.39</v>
      </c>
      <c r="F1104" s="456">
        <v>1767511</v>
      </c>
    </row>
  </sheetData>
  <autoFilter ref="A1:G816">
    <filterColumn colId="1"/>
    <filterColumn colId="2"/>
  </autoFilter>
  <phoneticPr fontId="15" type="noConversion"/>
  <printOptions horizontalCentered="1"/>
  <pageMargins left="0.78740157480314965" right="0.39370078740157483" top="0.39370078740157483" bottom="0.39370078740157483" header="0" footer="0"/>
  <pageSetup paperSize="9" scale="60" fitToHeight="35" orientation="portrait" r:id="rId1"/>
  <headerFooter alignWithMargins="0"/>
</worksheet>
</file>

<file path=xl/worksheets/sheet37.xml><?xml version="1.0" encoding="utf-8"?>
<worksheet xmlns="http://schemas.openxmlformats.org/spreadsheetml/2006/main" xmlns:r="http://schemas.openxmlformats.org/officeDocument/2006/relationships">
  <dimension ref="B1:F234"/>
  <sheetViews>
    <sheetView view="pageBreakPreview" topLeftCell="C177" zoomScale="190" zoomScaleSheetLayoutView="190" workbookViewId="0">
      <selection activeCell="D137" sqref="D137"/>
    </sheetView>
  </sheetViews>
  <sheetFormatPr defaultRowHeight="15"/>
  <cols>
    <col min="1" max="1" width="9.140625" style="522"/>
    <col min="2" max="2" width="12.7109375" style="522" bestFit="1" customWidth="1"/>
    <col min="3" max="4" width="9.140625" style="522"/>
    <col min="5" max="5" width="16.5703125" style="522" bestFit="1" customWidth="1"/>
    <col min="6" max="6" width="15.140625" style="522" bestFit="1" customWidth="1"/>
    <col min="7" max="12" width="9.140625" style="522"/>
    <col min="13" max="13" width="12.42578125" style="522" bestFit="1" customWidth="1"/>
    <col min="14" max="16384" width="9.140625" style="522"/>
  </cols>
  <sheetData>
    <row r="1" spans="2:6">
      <c r="E1" s="522" t="s">
        <v>3513</v>
      </c>
      <c r="F1" s="522" t="s">
        <v>3514</v>
      </c>
    </row>
    <row r="2" spans="2:6">
      <c r="B2" s="168" t="s">
        <v>78</v>
      </c>
      <c r="C2" s="455" t="s">
        <v>1549</v>
      </c>
      <c r="D2" s="455" t="s">
        <v>60</v>
      </c>
      <c r="E2" s="168">
        <v>141424.28</v>
      </c>
      <c r="F2" s="523">
        <v>141424</v>
      </c>
    </row>
    <row r="3" spans="2:6">
      <c r="B3" s="168" t="s">
        <v>135</v>
      </c>
      <c r="C3" s="455" t="s">
        <v>1549</v>
      </c>
      <c r="D3" s="455" t="s">
        <v>60</v>
      </c>
      <c r="E3" s="168">
        <v>90749.86</v>
      </c>
      <c r="F3" s="523">
        <v>90750</v>
      </c>
    </row>
    <row r="4" spans="2:6">
      <c r="B4" s="168" t="s">
        <v>174</v>
      </c>
      <c r="C4" s="455" t="s">
        <v>1549</v>
      </c>
      <c r="D4" s="455" t="s">
        <v>60</v>
      </c>
      <c r="E4" s="168">
        <v>14947.06</v>
      </c>
      <c r="F4" s="523">
        <v>14948</v>
      </c>
    </row>
    <row r="5" spans="2:6">
      <c r="B5" s="168" t="s">
        <v>201</v>
      </c>
      <c r="C5" s="455" t="s">
        <v>1549</v>
      </c>
      <c r="D5" s="455" t="s">
        <v>60</v>
      </c>
      <c r="E5" s="168">
        <v>16453.28</v>
      </c>
      <c r="F5" s="523">
        <v>16454</v>
      </c>
    </row>
    <row r="6" spans="2:6">
      <c r="B6" s="168" t="s">
        <v>227</v>
      </c>
      <c r="C6" s="455" t="s">
        <v>1549</v>
      </c>
      <c r="D6" s="455" t="s">
        <v>60</v>
      </c>
      <c r="E6" s="168">
        <v>194551.28</v>
      </c>
      <c r="F6" s="523">
        <v>194552</v>
      </c>
    </row>
    <row r="7" spans="2:6">
      <c r="B7" s="168" t="s">
        <v>276</v>
      </c>
      <c r="C7" s="455" t="s">
        <v>1549</v>
      </c>
      <c r="D7" s="455" t="s">
        <v>60</v>
      </c>
      <c r="E7" s="168">
        <v>5011.25</v>
      </c>
      <c r="F7" s="523">
        <v>5012</v>
      </c>
    </row>
    <row r="8" spans="2:6">
      <c r="B8" s="168" t="s">
        <v>288</v>
      </c>
      <c r="C8" s="455" t="s">
        <v>1549</v>
      </c>
      <c r="D8" s="455" t="s">
        <v>60</v>
      </c>
      <c r="E8" s="168">
        <v>14049.9</v>
      </c>
      <c r="F8" s="523">
        <v>14049</v>
      </c>
    </row>
    <row r="9" spans="2:6">
      <c r="B9" s="168" t="s">
        <v>1345</v>
      </c>
      <c r="C9" s="455" t="s">
        <v>1549</v>
      </c>
      <c r="D9" s="455" t="s">
        <v>60</v>
      </c>
      <c r="E9" s="168">
        <v>132661.6</v>
      </c>
      <c r="F9" s="523">
        <v>132662</v>
      </c>
    </row>
    <row r="10" spans="2:6">
      <c r="B10" s="168" t="s">
        <v>1371</v>
      </c>
      <c r="C10" s="455" t="s">
        <v>1549</v>
      </c>
      <c r="D10" s="455" t="s">
        <v>60</v>
      </c>
      <c r="E10" s="168">
        <v>11889.65</v>
      </c>
      <c r="F10" s="523">
        <v>11890</v>
      </c>
    </row>
    <row r="11" spans="2:6">
      <c r="B11" s="168" t="s">
        <v>1393</v>
      </c>
      <c r="C11" s="455" t="s">
        <v>1549</v>
      </c>
      <c r="D11" s="455" t="s">
        <v>60</v>
      </c>
      <c r="E11" s="168">
        <v>143052.15</v>
      </c>
      <c r="F11" s="523">
        <v>143053</v>
      </c>
    </row>
    <row r="12" spans="2:6">
      <c r="B12" s="168" t="s">
        <v>1184</v>
      </c>
      <c r="C12" s="455" t="s">
        <v>1549</v>
      </c>
      <c r="D12" s="455" t="s">
        <v>60</v>
      </c>
      <c r="E12" s="168">
        <v>51951.23</v>
      </c>
      <c r="F12" s="523">
        <v>51951</v>
      </c>
    </row>
    <row r="13" spans="2:6">
      <c r="B13" s="168" t="s">
        <v>2573</v>
      </c>
      <c r="C13" s="455" t="s">
        <v>1549</v>
      </c>
      <c r="D13" s="455" t="s">
        <v>60</v>
      </c>
      <c r="E13" s="168">
        <v>159218.63</v>
      </c>
      <c r="F13" s="523">
        <v>159219</v>
      </c>
    </row>
    <row r="14" spans="2:6">
      <c r="B14" s="168" t="s">
        <v>325</v>
      </c>
      <c r="C14" s="455" t="s">
        <v>1549</v>
      </c>
      <c r="D14" s="455" t="s">
        <v>60</v>
      </c>
      <c r="E14" s="168">
        <v>129195.8</v>
      </c>
      <c r="F14" s="523">
        <v>129196</v>
      </c>
    </row>
    <row r="15" spans="2:6">
      <c r="B15" s="168" t="s">
        <v>375</v>
      </c>
      <c r="C15" s="455" t="s">
        <v>1549</v>
      </c>
      <c r="D15" s="455" t="s">
        <v>60</v>
      </c>
      <c r="E15" s="168">
        <v>12408.69</v>
      </c>
      <c r="F15" s="523">
        <v>12408</v>
      </c>
    </row>
    <row r="16" spans="2:6">
      <c r="B16" s="168" t="s">
        <v>1440</v>
      </c>
      <c r="C16" s="455" t="s">
        <v>1549</v>
      </c>
      <c r="D16" s="455" t="s">
        <v>60</v>
      </c>
      <c r="E16" s="168">
        <v>160134.35999999999</v>
      </c>
      <c r="F16" s="523">
        <v>160135</v>
      </c>
    </row>
    <row r="17" spans="2:6">
      <c r="B17" s="168"/>
      <c r="C17" s="455"/>
      <c r="D17" s="455"/>
      <c r="E17" s="457">
        <f>SUM(E2:E16)</f>
        <v>1277699.02</v>
      </c>
      <c r="F17" s="523"/>
    </row>
    <row r="18" spans="2:6">
      <c r="B18" s="168"/>
      <c r="C18" s="455"/>
      <c r="D18" s="455"/>
      <c r="E18" s="168"/>
      <c r="F18" s="523"/>
    </row>
    <row r="19" spans="2:6">
      <c r="B19" s="168" t="s">
        <v>74</v>
      </c>
      <c r="C19" s="455" t="s">
        <v>1549</v>
      </c>
      <c r="D19" s="455" t="s">
        <v>75</v>
      </c>
      <c r="E19" s="168">
        <v>1518807.62</v>
      </c>
      <c r="F19" s="523">
        <v>1518808</v>
      </c>
    </row>
    <row r="20" spans="2:6">
      <c r="B20" s="168" t="s">
        <v>133</v>
      </c>
      <c r="C20" s="455" t="s">
        <v>1549</v>
      </c>
      <c r="D20" s="455" t="s">
        <v>75</v>
      </c>
      <c r="E20" s="168">
        <v>1135523.81</v>
      </c>
      <c r="F20" s="523">
        <v>1135524</v>
      </c>
    </row>
    <row r="21" spans="2:6">
      <c r="B21" s="168" t="s">
        <v>173</v>
      </c>
      <c r="C21" s="455" t="s">
        <v>1549</v>
      </c>
      <c r="D21" s="455" t="s">
        <v>75</v>
      </c>
      <c r="E21" s="168">
        <v>108390.91</v>
      </c>
      <c r="F21" s="523">
        <v>108391</v>
      </c>
    </row>
    <row r="22" spans="2:6">
      <c r="B22" s="168" t="s">
        <v>200</v>
      </c>
      <c r="C22" s="455" t="s">
        <v>1549</v>
      </c>
      <c r="D22" s="455" t="s">
        <v>75</v>
      </c>
      <c r="E22" s="168">
        <v>209537.54</v>
      </c>
      <c r="F22" s="523">
        <v>209538</v>
      </c>
    </row>
    <row r="23" spans="2:6">
      <c r="B23" s="168" t="s">
        <v>225</v>
      </c>
      <c r="C23" s="455" t="s">
        <v>1549</v>
      </c>
      <c r="D23" s="455" t="s">
        <v>75</v>
      </c>
      <c r="E23" s="168">
        <v>2272928.91</v>
      </c>
      <c r="F23" s="523">
        <v>2272929</v>
      </c>
    </row>
    <row r="24" spans="2:6">
      <c r="B24" s="168" t="s">
        <v>274</v>
      </c>
      <c r="C24" s="455" t="s">
        <v>1549</v>
      </c>
      <c r="D24" s="455" t="s">
        <v>75</v>
      </c>
      <c r="E24" s="168">
        <v>61563.79</v>
      </c>
      <c r="F24" s="523">
        <v>61564</v>
      </c>
    </row>
    <row r="25" spans="2:6">
      <c r="B25" s="168" t="s">
        <v>286</v>
      </c>
      <c r="C25" s="455" t="s">
        <v>1549</v>
      </c>
      <c r="D25" s="455" t="s">
        <v>75</v>
      </c>
      <c r="E25" s="168">
        <v>172413.24</v>
      </c>
      <c r="F25" s="523">
        <v>172413</v>
      </c>
    </row>
    <row r="26" spans="2:6">
      <c r="B26" s="168" t="s">
        <v>1343</v>
      </c>
      <c r="C26" s="455" t="s">
        <v>1549</v>
      </c>
      <c r="D26" s="455" t="s">
        <v>75</v>
      </c>
      <c r="E26" s="168">
        <v>1544001.96</v>
      </c>
      <c r="F26" s="523">
        <v>1544002</v>
      </c>
    </row>
    <row r="27" spans="2:6">
      <c r="B27" s="168" t="s">
        <v>1369</v>
      </c>
      <c r="C27" s="455" t="s">
        <v>1549</v>
      </c>
      <c r="D27" s="455" t="s">
        <v>75</v>
      </c>
      <c r="E27" s="168">
        <v>135026.79999999999</v>
      </c>
      <c r="F27" s="523">
        <v>135027</v>
      </c>
    </row>
    <row r="28" spans="2:6">
      <c r="B28" s="168" t="s">
        <v>1391</v>
      </c>
      <c r="C28" s="455" t="s">
        <v>1549</v>
      </c>
      <c r="D28" s="455" t="s">
        <v>75</v>
      </c>
      <c r="E28" s="168">
        <v>1644066.12</v>
      </c>
      <c r="F28" s="523">
        <v>1644067</v>
      </c>
    </row>
    <row r="29" spans="2:6">
      <c r="B29" s="168" t="s">
        <v>1182</v>
      </c>
      <c r="C29" s="455" t="s">
        <v>1549</v>
      </c>
      <c r="D29" s="455" t="s">
        <v>75</v>
      </c>
      <c r="E29" s="168">
        <v>547393.18999999994</v>
      </c>
      <c r="F29" s="523">
        <v>547394</v>
      </c>
    </row>
    <row r="30" spans="2:6">
      <c r="B30" s="168" t="s">
        <v>2571</v>
      </c>
      <c r="C30" s="455" t="s">
        <v>1549</v>
      </c>
      <c r="D30" s="455" t="s">
        <v>75</v>
      </c>
      <c r="E30" s="168">
        <v>1843107.79</v>
      </c>
      <c r="F30" s="523">
        <v>1843108</v>
      </c>
    </row>
    <row r="31" spans="2:6">
      <c r="B31" s="168" t="s">
        <v>323</v>
      </c>
      <c r="C31" s="455" t="s">
        <v>1549</v>
      </c>
      <c r="D31" s="455" t="s">
        <v>75</v>
      </c>
      <c r="E31" s="168">
        <v>1540309.83</v>
      </c>
      <c r="F31" s="523">
        <v>1540309</v>
      </c>
    </row>
    <row r="32" spans="2:6">
      <c r="B32" s="168" t="s">
        <v>374</v>
      </c>
      <c r="C32" s="455" t="s">
        <v>1549</v>
      </c>
      <c r="D32" s="455" t="s">
        <v>75</v>
      </c>
      <c r="E32" s="168">
        <v>155507.85</v>
      </c>
      <c r="F32" s="523">
        <v>155507</v>
      </c>
    </row>
    <row r="33" spans="2:6">
      <c r="B33" s="168" t="s">
        <v>1438</v>
      </c>
      <c r="C33" s="455" t="s">
        <v>1549</v>
      </c>
      <c r="D33" s="455" t="s">
        <v>75</v>
      </c>
      <c r="E33" s="168">
        <v>1867931.09</v>
      </c>
      <c r="F33" s="523">
        <v>1867932</v>
      </c>
    </row>
    <row r="34" spans="2:6">
      <c r="B34" s="168"/>
      <c r="C34" s="455"/>
      <c r="D34" s="455"/>
      <c r="E34" s="457">
        <f>SUM(E19:E33)</f>
        <v>14756510.449999999</v>
      </c>
      <c r="F34" s="523"/>
    </row>
    <row r="35" spans="2:6">
      <c r="B35" s="168"/>
      <c r="C35" s="455"/>
      <c r="D35" s="455"/>
      <c r="E35" s="168"/>
      <c r="F35" s="523"/>
    </row>
    <row r="36" spans="2:6">
      <c r="B36" s="168" t="s">
        <v>280</v>
      </c>
      <c r="C36" s="455" t="s">
        <v>1549</v>
      </c>
      <c r="D36" s="455" t="s">
        <v>3518</v>
      </c>
      <c r="E36" s="168">
        <v>532.27</v>
      </c>
      <c r="F36" s="523">
        <v>533</v>
      </c>
    </row>
    <row r="37" spans="2:6">
      <c r="B37" s="168" t="s">
        <v>90</v>
      </c>
      <c r="C37" s="455" t="s">
        <v>1549</v>
      </c>
      <c r="D37" s="455" t="s">
        <v>3518</v>
      </c>
      <c r="E37" s="168">
        <v>13395.85</v>
      </c>
      <c r="F37" s="523">
        <v>13396</v>
      </c>
    </row>
    <row r="38" spans="2:6">
      <c r="B38" s="168" t="s">
        <v>145</v>
      </c>
      <c r="C38" s="455" t="s">
        <v>1549</v>
      </c>
      <c r="D38" s="455" t="s">
        <v>3518</v>
      </c>
      <c r="E38" s="168">
        <v>16865.060000000001</v>
      </c>
      <c r="F38" s="523">
        <v>16866</v>
      </c>
    </row>
    <row r="39" spans="2:6">
      <c r="B39" s="168" t="s">
        <v>180</v>
      </c>
      <c r="C39" s="455" t="s">
        <v>1549</v>
      </c>
      <c r="D39" s="455" t="s">
        <v>3518</v>
      </c>
      <c r="E39" s="168">
        <v>158.47999999999999</v>
      </c>
      <c r="F39" s="523">
        <v>159</v>
      </c>
    </row>
    <row r="40" spans="2:6">
      <c r="B40" s="168" t="s">
        <v>207</v>
      </c>
      <c r="C40" s="455" t="s">
        <v>1549</v>
      </c>
      <c r="D40" s="455" t="s">
        <v>3518</v>
      </c>
      <c r="E40" s="168">
        <v>2942.92</v>
      </c>
      <c r="F40" s="523">
        <v>2943</v>
      </c>
    </row>
    <row r="41" spans="2:6">
      <c r="B41" s="168" t="s">
        <v>236</v>
      </c>
      <c r="C41" s="455" t="s">
        <v>1549</v>
      </c>
      <c r="D41" s="455" t="s">
        <v>3518</v>
      </c>
      <c r="E41" s="168">
        <v>19247.439999999999</v>
      </c>
      <c r="F41" s="523">
        <v>19248</v>
      </c>
    </row>
    <row r="42" spans="2:6">
      <c r="B42" s="168" t="s">
        <v>294</v>
      </c>
      <c r="C42" s="455" t="s">
        <v>1549</v>
      </c>
      <c r="D42" s="455" t="s">
        <v>3518</v>
      </c>
      <c r="E42" s="168">
        <v>2542.4299999999998</v>
      </c>
      <c r="F42" s="523">
        <v>2543</v>
      </c>
    </row>
    <row r="43" spans="2:6">
      <c r="B43" s="168" t="s">
        <v>1352</v>
      </c>
      <c r="C43" s="455" t="s">
        <v>1549</v>
      </c>
      <c r="D43" s="455" t="s">
        <v>3518</v>
      </c>
      <c r="E43" s="168">
        <v>7212.02</v>
      </c>
      <c r="F43" s="523">
        <v>7213</v>
      </c>
    </row>
    <row r="44" spans="2:6">
      <c r="B44" s="168" t="s">
        <v>1402</v>
      </c>
      <c r="C44" s="455" t="s">
        <v>1549</v>
      </c>
      <c r="D44" s="455" t="s">
        <v>3518</v>
      </c>
      <c r="E44" s="168">
        <v>7718.37</v>
      </c>
      <c r="F44" s="523">
        <v>7719</v>
      </c>
    </row>
    <row r="45" spans="2:6">
      <c r="B45" s="168" t="s">
        <v>2545</v>
      </c>
      <c r="C45" s="455" t="s">
        <v>1549</v>
      </c>
      <c r="D45" s="455" t="s">
        <v>3518</v>
      </c>
      <c r="E45" s="168">
        <v>1165.75</v>
      </c>
      <c r="F45" s="523">
        <v>1166</v>
      </c>
    </row>
    <row r="46" spans="2:6">
      <c r="B46" s="168" t="s">
        <v>2582</v>
      </c>
      <c r="C46" s="455" t="s">
        <v>1549</v>
      </c>
      <c r="D46" s="455" t="s">
        <v>3518</v>
      </c>
      <c r="E46" s="168">
        <v>6696.48</v>
      </c>
      <c r="F46" s="523">
        <v>6697</v>
      </c>
    </row>
    <row r="47" spans="2:6">
      <c r="B47" s="168" t="s">
        <v>333</v>
      </c>
      <c r="C47" s="455" t="s">
        <v>1549</v>
      </c>
      <c r="D47" s="455" t="s">
        <v>3518</v>
      </c>
      <c r="E47" s="168">
        <v>13373.48</v>
      </c>
      <c r="F47" s="523">
        <v>13374</v>
      </c>
    </row>
    <row r="48" spans="2:6">
      <c r="B48" s="168" t="s">
        <v>379</v>
      </c>
      <c r="C48" s="455" t="s">
        <v>1549</v>
      </c>
      <c r="D48" s="455" t="s">
        <v>3518</v>
      </c>
      <c r="E48" s="168">
        <v>2312.67</v>
      </c>
      <c r="F48" s="523">
        <v>2312</v>
      </c>
    </row>
    <row r="49" spans="2:6">
      <c r="B49" s="168" t="s">
        <v>1450</v>
      </c>
      <c r="C49" s="455" t="s">
        <v>1549</v>
      </c>
      <c r="D49" s="455" t="s">
        <v>3518</v>
      </c>
      <c r="E49" s="168">
        <v>14042.13</v>
      </c>
      <c r="F49" s="523">
        <v>14043</v>
      </c>
    </row>
    <row r="50" spans="2:6">
      <c r="B50" s="168"/>
      <c r="C50" s="455"/>
      <c r="D50" s="455"/>
      <c r="E50" s="457">
        <f>SUM(E36:E49)</f>
        <v>108205.34999999999</v>
      </c>
      <c r="F50" s="523"/>
    </row>
    <row r="51" spans="2:6">
      <c r="B51" s="168"/>
      <c r="C51" s="455"/>
      <c r="D51" s="455"/>
      <c r="E51" s="168"/>
      <c r="F51" s="523"/>
    </row>
    <row r="52" spans="2:6">
      <c r="B52" s="168" t="s">
        <v>82</v>
      </c>
      <c r="C52" s="455" t="s">
        <v>1549</v>
      </c>
      <c r="D52" s="455" t="s">
        <v>767</v>
      </c>
      <c r="E52" s="168">
        <v>4250</v>
      </c>
      <c r="F52" s="523">
        <v>4251</v>
      </c>
    </row>
    <row r="53" spans="2:6">
      <c r="B53" s="168" t="s">
        <v>138</v>
      </c>
      <c r="C53" s="455" t="s">
        <v>1549</v>
      </c>
      <c r="D53" s="455" t="s">
        <v>767</v>
      </c>
      <c r="E53" s="168">
        <v>20543.79</v>
      </c>
      <c r="F53" s="523">
        <v>20544</v>
      </c>
    </row>
    <row r="54" spans="2:6">
      <c r="B54" s="168" t="s">
        <v>230</v>
      </c>
      <c r="C54" s="455" t="s">
        <v>1549</v>
      </c>
      <c r="D54" s="455" t="s">
        <v>767</v>
      </c>
      <c r="E54" s="168">
        <v>8691.2000000000007</v>
      </c>
      <c r="F54" s="523">
        <v>8692</v>
      </c>
    </row>
    <row r="55" spans="2:6">
      <c r="B55" s="168" t="s">
        <v>1187</v>
      </c>
      <c r="C55" s="455" t="s">
        <v>1549</v>
      </c>
      <c r="D55" s="455" t="s">
        <v>767</v>
      </c>
      <c r="E55" s="168">
        <v>6867</v>
      </c>
      <c r="F55" s="523">
        <v>6867</v>
      </c>
    </row>
    <row r="56" spans="2:6">
      <c r="B56" s="168" t="s">
        <v>2577</v>
      </c>
      <c r="C56" s="455" t="s">
        <v>1549</v>
      </c>
      <c r="D56" s="455" t="s">
        <v>767</v>
      </c>
      <c r="E56" s="168">
        <v>6867</v>
      </c>
      <c r="F56" s="523">
        <v>6867</v>
      </c>
    </row>
    <row r="57" spans="2:6">
      <c r="B57" s="168" t="s">
        <v>329</v>
      </c>
      <c r="C57" s="455" t="s">
        <v>1549</v>
      </c>
      <c r="D57" s="455" t="s">
        <v>767</v>
      </c>
      <c r="E57" s="168">
        <v>2595</v>
      </c>
      <c r="F57" s="523">
        <v>2595</v>
      </c>
    </row>
    <row r="58" spans="2:6">
      <c r="B58" s="168" t="s">
        <v>2718</v>
      </c>
      <c r="C58" s="455"/>
      <c r="D58" s="455" t="s">
        <v>767</v>
      </c>
      <c r="E58" s="168">
        <v>3831.18</v>
      </c>
      <c r="F58" s="523">
        <v>3832</v>
      </c>
    </row>
    <row r="59" spans="2:6">
      <c r="B59" s="168" t="s">
        <v>1444</v>
      </c>
      <c r="C59" s="455" t="s">
        <v>1549</v>
      </c>
      <c r="D59" s="455" t="s">
        <v>767</v>
      </c>
      <c r="E59" s="168">
        <v>17367</v>
      </c>
      <c r="F59" s="523">
        <v>17367</v>
      </c>
    </row>
    <row r="60" spans="2:6">
      <c r="B60" s="168"/>
      <c r="C60" s="455"/>
      <c r="D60" s="455"/>
      <c r="E60" s="457">
        <f>SUM(E52:E59)</f>
        <v>71012.170000000013</v>
      </c>
      <c r="F60" s="523"/>
    </row>
    <row r="61" spans="2:6">
      <c r="B61" s="168"/>
      <c r="C61" s="455"/>
      <c r="D61" s="455"/>
      <c r="E61" s="168"/>
      <c r="F61" s="523"/>
    </row>
    <row r="62" spans="2:6">
      <c r="B62" s="168" t="s">
        <v>91</v>
      </c>
      <c r="C62" s="455" t="s">
        <v>1549</v>
      </c>
      <c r="D62" s="455" t="s">
        <v>1807</v>
      </c>
      <c r="E62" s="168">
        <v>572.58000000000004</v>
      </c>
      <c r="F62" s="523">
        <v>573</v>
      </c>
    </row>
    <row r="63" spans="2:6">
      <c r="B63" s="168" t="s">
        <v>146</v>
      </c>
      <c r="C63" s="455" t="s">
        <v>1549</v>
      </c>
      <c r="D63" s="455" t="s">
        <v>1807</v>
      </c>
      <c r="E63" s="168">
        <v>591.33000000000004</v>
      </c>
      <c r="F63" s="523">
        <v>592</v>
      </c>
    </row>
    <row r="64" spans="2:6">
      <c r="B64" s="168" t="s">
        <v>181</v>
      </c>
      <c r="C64" s="455" t="s">
        <v>1549</v>
      </c>
      <c r="D64" s="455" t="s">
        <v>1807</v>
      </c>
      <c r="E64" s="168">
        <v>48.75</v>
      </c>
      <c r="F64" s="523">
        <v>49</v>
      </c>
    </row>
    <row r="65" spans="2:6">
      <c r="B65" s="168" t="s">
        <v>208</v>
      </c>
      <c r="C65" s="455" t="s">
        <v>1549</v>
      </c>
      <c r="D65" s="455" t="s">
        <v>1807</v>
      </c>
      <c r="E65" s="168">
        <v>90</v>
      </c>
      <c r="F65" s="523">
        <v>90</v>
      </c>
    </row>
    <row r="66" spans="2:6">
      <c r="B66" s="168" t="s">
        <v>237</v>
      </c>
      <c r="C66" s="455" t="s">
        <v>1549</v>
      </c>
      <c r="D66" s="455" t="s">
        <v>1807</v>
      </c>
      <c r="E66" s="168">
        <v>808.23</v>
      </c>
      <c r="F66" s="523">
        <v>809</v>
      </c>
    </row>
    <row r="67" spans="2:6">
      <c r="B67" s="168" t="s">
        <v>281</v>
      </c>
      <c r="C67" s="455" t="s">
        <v>1549</v>
      </c>
      <c r="D67" s="455" t="s">
        <v>1807</v>
      </c>
      <c r="E67" s="168">
        <v>32.58</v>
      </c>
      <c r="F67" s="523">
        <v>33</v>
      </c>
    </row>
    <row r="68" spans="2:6">
      <c r="B68" s="168" t="s">
        <v>1139</v>
      </c>
      <c r="C68" s="455" t="s">
        <v>1549</v>
      </c>
      <c r="D68" s="455" t="s">
        <v>1807</v>
      </c>
      <c r="E68" s="168">
        <v>45</v>
      </c>
      <c r="F68" s="523">
        <v>45</v>
      </c>
    </row>
    <row r="69" spans="2:6">
      <c r="B69" s="168" t="s">
        <v>1353</v>
      </c>
      <c r="C69" s="455" t="s">
        <v>1549</v>
      </c>
      <c r="D69" s="455" t="s">
        <v>1807</v>
      </c>
      <c r="E69" s="168">
        <v>1421.25</v>
      </c>
      <c r="F69" s="523">
        <v>1421</v>
      </c>
    </row>
    <row r="70" spans="2:6">
      <c r="B70" s="168" t="s">
        <v>1376</v>
      </c>
      <c r="C70" s="455" t="s">
        <v>1549</v>
      </c>
      <c r="D70" s="455" t="s">
        <v>1807</v>
      </c>
      <c r="E70" s="168">
        <v>135</v>
      </c>
      <c r="F70" s="523">
        <v>135</v>
      </c>
    </row>
    <row r="71" spans="2:6">
      <c r="B71" s="168" t="s">
        <v>1403</v>
      </c>
      <c r="C71" s="455" t="s">
        <v>1549</v>
      </c>
      <c r="D71" s="455" t="s">
        <v>1807</v>
      </c>
      <c r="E71" s="168">
        <v>1567.5</v>
      </c>
      <c r="F71" s="523">
        <v>1568</v>
      </c>
    </row>
    <row r="72" spans="2:6">
      <c r="B72" s="168" t="s">
        <v>2546</v>
      </c>
      <c r="C72" s="455" t="s">
        <v>1549</v>
      </c>
      <c r="D72" s="455" t="s">
        <v>1807</v>
      </c>
      <c r="E72" s="168">
        <v>142.74</v>
      </c>
      <c r="F72" s="523">
        <v>143</v>
      </c>
    </row>
    <row r="73" spans="2:6">
      <c r="B73" s="168" t="s">
        <v>2583</v>
      </c>
      <c r="C73" s="455" t="s">
        <v>1549</v>
      </c>
      <c r="D73" s="455"/>
      <c r="E73" s="168">
        <v>1631.25</v>
      </c>
      <c r="F73" s="523">
        <v>1632</v>
      </c>
    </row>
    <row r="74" spans="2:6">
      <c r="B74" s="168" t="s">
        <v>334</v>
      </c>
      <c r="C74" s="455" t="s">
        <v>1549</v>
      </c>
      <c r="D74" s="455" t="s">
        <v>1807</v>
      </c>
      <c r="E74" s="168">
        <v>1053.54</v>
      </c>
      <c r="F74" s="523">
        <v>1054</v>
      </c>
    </row>
    <row r="75" spans="2:6">
      <c r="B75" s="168" t="s">
        <v>380</v>
      </c>
      <c r="C75" s="455" t="s">
        <v>1549</v>
      </c>
      <c r="D75" s="455" t="s">
        <v>1807</v>
      </c>
      <c r="E75" s="168">
        <v>45</v>
      </c>
      <c r="F75" s="523">
        <v>45</v>
      </c>
    </row>
    <row r="76" spans="2:6">
      <c r="B76" s="168" t="s">
        <v>1451</v>
      </c>
      <c r="C76" s="455" t="s">
        <v>1549</v>
      </c>
      <c r="D76" s="455" t="s">
        <v>1807</v>
      </c>
      <c r="E76" s="168">
        <v>765</v>
      </c>
      <c r="F76" s="523">
        <v>765</v>
      </c>
    </row>
    <row r="77" spans="2:6">
      <c r="B77" s="168"/>
      <c r="C77" s="455"/>
      <c r="D77" s="455"/>
      <c r="E77" s="457">
        <f>SUM(E62:E76)</f>
        <v>8949.75</v>
      </c>
      <c r="F77" s="523"/>
    </row>
    <row r="78" spans="2:6">
      <c r="B78" s="168"/>
      <c r="C78" s="455"/>
      <c r="D78" s="455"/>
      <c r="E78" s="168"/>
      <c r="F78" s="523"/>
    </row>
    <row r="79" spans="2:6">
      <c r="B79" s="168" t="s">
        <v>3459</v>
      </c>
      <c r="C79" s="455"/>
      <c r="D79" s="455" t="s">
        <v>3515</v>
      </c>
      <c r="E79" s="168">
        <v>79415.22</v>
      </c>
      <c r="F79" s="523">
        <v>79415</v>
      </c>
    </row>
    <row r="80" spans="2:6">
      <c r="B80" s="168" t="s">
        <v>87</v>
      </c>
      <c r="C80" s="455" t="s">
        <v>1549</v>
      </c>
      <c r="D80" s="455" t="s">
        <v>3515</v>
      </c>
      <c r="E80" s="168">
        <v>47588.4</v>
      </c>
      <c r="F80" s="523">
        <v>47589</v>
      </c>
    </row>
    <row r="81" spans="2:6">
      <c r="B81" s="168" t="s">
        <v>142</v>
      </c>
      <c r="C81" s="455" t="s">
        <v>1549</v>
      </c>
      <c r="D81" s="455" t="s">
        <v>3515</v>
      </c>
      <c r="E81" s="168">
        <v>83369.72</v>
      </c>
      <c r="F81" s="523">
        <v>83370</v>
      </c>
    </row>
    <row r="82" spans="2:6">
      <c r="B82" s="168" t="s">
        <v>177</v>
      </c>
      <c r="C82" s="455" t="s">
        <v>1549</v>
      </c>
      <c r="D82" s="455" t="s">
        <v>3515</v>
      </c>
      <c r="E82" s="168">
        <v>13615.2</v>
      </c>
      <c r="F82" s="523">
        <v>13616</v>
      </c>
    </row>
    <row r="83" spans="2:6">
      <c r="B83" s="168" t="s">
        <v>204</v>
      </c>
      <c r="C83" s="455" t="s">
        <v>1549</v>
      </c>
      <c r="D83" s="455" t="s">
        <v>3515</v>
      </c>
      <c r="E83" s="168">
        <v>12621.6</v>
      </c>
      <c r="F83" s="523">
        <v>12622</v>
      </c>
    </row>
    <row r="84" spans="2:6">
      <c r="B84" s="168" t="s">
        <v>233</v>
      </c>
      <c r="C84" s="455" t="s">
        <v>1549</v>
      </c>
      <c r="D84" s="455" t="s">
        <v>3515</v>
      </c>
      <c r="E84" s="168">
        <v>93131.68</v>
      </c>
      <c r="F84" s="523">
        <v>93132</v>
      </c>
    </row>
    <row r="85" spans="2:6">
      <c r="B85" s="168" t="s">
        <v>291</v>
      </c>
      <c r="C85" s="455" t="s">
        <v>1549</v>
      </c>
      <c r="D85" s="455" t="s">
        <v>3515</v>
      </c>
      <c r="E85" s="168">
        <v>10929.6</v>
      </c>
      <c r="F85" s="523">
        <v>10930</v>
      </c>
    </row>
    <row r="86" spans="2:6">
      <c r="B86" s="168" t="s">
        <v>1399</v>
      </c>
      <c r="C86" s="455" t="s">
        <v>1549</v>
      </c>
      <c r="D86" s="455" t="s">
        <v>3515</v>
      </c>
      <c r="E86" s="168">
        <v>3755.4</v>
      </c>
      <c r="F86" s="523">
        <v>3756</v>
      </c>
    </row>
    <row r="87" spans="2:6">
      <c r="B87" s="168" t="s">
        <v>2542</v>
      </c>
      <c r="C87" s="455" t="s">
        <v>1549</v>
      </c>
      <c r="D87" s="455" t="s">
        <v>3515</v>
      </c>
      <c r="E87" s="168">
        <v>59591.35</v>
      </c>
      <c r="F87" s="523">
        <v>59592</v>
      </c>
    </row>
    <row r="88" spans="2:6">
      <c r="B88" s="168" t="s">
        <v>2579</v>
      </c>
      <c r="C88" s="455" t="s">
        <v>1549</v>
      </c>
      <c r="D88" s="455" t="s">
        <v>3515</v>
      </c>
      <c r="E88" s="168">
        <v>22734</v>
      </c>
      <c r="F88" s="523">
        <v>22734</v>
      </c>
    </row>
    <row r="89" spans="2:6">
      <c r="B89" s="168" t="s">
        <v>330</v>
      </c>
      <c r="C89" s="455" t="s">
        <v>1549</v>
      </c>
      <c r="D89" s="455" t="s">
        <v>3515</v>
      </c>
      <c r="E89" s="168">
        <v>13113.74</v>
      </c>
      <c r="F89" s="523">
        <v>13114</v>
      </c>
    </row>
    <row r="90" spans="2:6">
      <c r="B90" s="168" t="s">
        <v>376</v>
      </c>
      <c r="C90" s="455" t="s">
        <v>1549</v>
      </c>
      <c r="D90" s="455" t="s">
        <v>3515</v>
      </c>
      <c r="E90" s="168">
        <v>19504.8</v>
      </c>
      <c r="F90" s="523">
        <v>19505</v>
      </c>
    </row>
    <row r="91" spans="2:6">
      <c r="B91" s="168" t="s">
        <v>1447</v>
      </c>
      <c r="C91" s="455" t="s">
        <v>1549</v>
      </c>
      <c r="D91" s="455" t="s">
        <v>3515</v>
      </c>
      <c r="E91" s="168">
        <v>153788.4</v>
      </c>
      <c r="F91" s="523">
        <v>153789</v>
      </c>
    </row>
    <row r="92" spans="2:6">
      <c r="B92" s="168"/>
      <c r="C92" s="455"/>
      <c r="D92" s="455"/>
      <c r="E92" s="457">
        <f>SUM(E79:E91)</f>
        <v>613159.11</v>
      </c>
      <c r="F92" s="523"/>
    </row>
    <row r="93" spans="2:6">
      <c r="B93" s="168"/>
      <c r="C93" s="455"/>
      <c r="D93" s="455"/>
      <c r="E93" s="168"/>
      <c r="F93" s="523"/>
    </row>
    <row r="94" spans="2:6">
      <c r="B94" s="168" t="s">
        <v>79</v>
      </c>
      <c r="C94" s="455" t="s">
        <v>1549</v>
      </c>
      <c r="D94" s="455" t="s">
        <v>3519</v>
      </c>
      <c r="E94" s="168">
        <v>79066.19</v>
      </c>
      <c r="F94" s="523">
        <v>79066</v>
      </c>
    </row>
    <row r="95" spans="2:6">
      <c r="B95" s="139" t="s">
        <v>3463</v>
      </c>
      <c r="C95" s="140"/>
      <c r="D95" s="140" t="s">
        <v>3464</v>
      </c>
      <c r="E95" s="139">
        <v>11687.93</v>
      </c>
      <c r="F95" s="516">
        <v>11687</v>
      </c>
    </row>
    <row r="96" spans="2:6">
      <c r="B96" s="168" t="s">
        <v>136</v>
      </c>
      <c r="C96" s="455" t="s">
        <v>1549</v>
      </c>
      <c r="D96" s="455" t="s">
        <v>3519</v>
      </c>
      <c r="E96" s="168">
        <v>213083.57</v>
      </c>
      <c r="F96" s="523">
        <v>213083</v>
      </c>
    </row>
    <row r="97" spans="2:6">
      <c r="B97" s="168" t="s">
        <v>228</v>
      </c>
      <c r="C97" s="455" t="s">
        <v>1549</v>
      </c>
      <c r="D97" s="455" t="s">
        <v>3519</v>
      </c>
      <c r="E97" s="168">
        <v>163706.31</v>
      </c>
      <c r="F97" s="523">
        <v>163706</v>
      </c>
    </row>
    <row r="98" spans="2:6">
      <c r="B98" s="168" t="s">
        <v>1346</v>
      </c>
      <c r="C98" s="455" t="s">
        <v>1549</v>
      </c>
      <c r="D98" s="455" t="s">
        <v>3519</v>
      </c>
      <c r="E98" s="168">
        <v>13621.57</v>
      </c>
      <c r="F98" s="523">
        <v>13621</v>
      </c>
    </row>
    <row r="99" spans="2:6">
      <c r="B99" s="168" t="s">
        <v>1185</v>
      </c>
      <c r="C99" s="455" t="s">
        <v>1549</v>
      </c>
      <c r="D99" s="455" t="s">
        <v>3519</v>
      </c>
      <c r="E99" s="168">
        <v>31715.599999999999</v>
      </c>
      <c r="F99" s="523">
        <v>31716</v>
      </c>
    </row>
    <row r="100" spans="2:6">
      <c r="B100" s="168" t="s">
        <v>2575</v>
      </c>
      <c r="C100" s="455" t="s">
        <v>1549</v>
      </c>
      <c r="D100" s="455" t="s">
        <v>3519</v>
      </c>
      <c r="E100" s="168">
        <v>28656.36</v>
      </c>
      <c r="F100" s="523">
        <v>28656</v>
      </c>
    </row>
    <row r="101" spans="2:6">
      <c r="B101" s="168" t="s">
        <v>1442</v>
      </c>
      <c r="C101" s="455" t="s">
        <v>1549</v>
      </c>
      <c r="D101" s="455" t="s">
        <v>3519</v>
      </c>
      <c r="E101" s="168">
        <v>88819.19</v>
      </c>
      <c r="F101" s="523">
        <v>88819</v>
      </c>
    </row>
    <row r="102" spans="2:6">
      <c r="B102" s="168"/>
      <c r="C102" s="455"/>
      <c r="D102" s="455"/>
      <c r="E102" s="457">
        <f>SUM(E94:E101)</f>
        <v>630356.72</v>
      </c>
      <c r="F102" s="523"/>
    </row>
    <row r="103" spans="2:6">
      <c r="B103" s="168"/>
      <c r="C103" s="455"/>
      <c r="D103" s="455"/>
      <c r="E103" s="168"/>
      <c r="F103" s="523"/>
    </row>
    <row r="104" spans="2:6">
      <c r="B104" s="168" t="s">
        <v>76</v>
      </c>
      <c r="C104" s="455" t="s">
        <v>1549</v>
      </c>
      <c r="D104" s="455" t="s">
        <v>77</v>
      </c>
      <c r="E104" s="168">
        <v>138417.68</v>
      </c>
      <c r="F104" s="523">
        <v>138418</v>
      </c>
    </row>
    <row r="105" spans="2:6">
      <c r="B105" s="168" t="s">
        <v>134</v>
      </c>
      <c r="C105" s="455" t="s">
        <v>1549</v>
      </c>
      <c r="D105" s="455" t="s">
        <v>77</v>
      </c>
      <c r="E105" s="168">
        <v>26060.17</v>
      </c>
      <c r="F105" s="523">
        <v>26060</v>
      </c>
    </row>
    <row r="106" spans="2:6">
      <c r="B106" s="168" t="s">
        <v>226</v>
      </c>
      <c r="C106" s="455" t="s">
        <v>1549</v>
      </c>
      <c r="D106" s="455" t="s">
        <v>77</v>
      </c>
      <c r="E106" s="168">
        <v>363117.5</v>
      </c>
      <c r="F106" s="523">
        <v>363117</v>
      </c>
    </row>
    <row r="107" spans="2:6">
      <c r="B107" s="168" t="s">
        <v>275</v>
      </c>
      <c r="C107" s="455" t="s">
        <v>1549</v>
      </c>
      <c r="D107" s="455" t="s">
        <v>77</v>
      </c>
      <c r="E107" s="168">
        <v>37416.22</v>
      </c>
      <c r="F107" s="523">
        <v>37416</v>
      </c>
    </row>
    <row r="108" spans="2:6">
      <c r="B108" s="168" t="s">
        <v>1344</v>
      </c>
      <c r="C108" s="455" t="s">
        <v>1549</v>
      </c>
      <c r="D108" s="455" t="s">
        <v>77</v>
      </c>
      <c r="E108" s="168">
        <v>360589.21</v>
      </c>
      <c r="F108" s="523">
        <v>360589</v>
      </c>
    </row>
    <row r="109" spans="2:6">
      <c r="B109" s="168" t="s">
        <v>1370</v>
      </c>
      <c r="C109" s="455" t="s">
        <v>1549</v>
      </c>
      <c r="D109" s="455" t="s">
        <v>77</v>
      </c>
      <c r="E109" s="168">
        <v>13840.2</v>
      </c>
      <c r="F109" s="523">
        <v>13840</v>
      </c>
    </row>
    <row r="110" spans="2:6">
      <c r="B110" s="168" t="s">
        <v>1392</v>
      </c>
      <c r="C110" s="455" t="s">
        <v>1549</v>
      </c>
      <c r="D110" s="455" t="s">
        <v>77</v>
      </c>
      <c r="E110" s="168">
        <v>518160.92</v>
      </c>
      <c r="F110" s="523">
        <v>518160</v>
      </c>
    </row>
    <row r="111" spans="2:6">
      <c r="B111" s="168" t="s">
        <v>1183</v>
      </c>
      <c r="C111" s="455" t="s">
        <v>1549</v>
      </c>
      <c r="D111" s="455" t="s">
        <v>77</v>
      </c>
      <c r="E111" s="168">
        <v>2754.34</v>
      </c>
      <c r="F111" s="523">
        <v>2755</v>
      </c>
    </row>
    <row r="112" spans="2:6">
      <c r="B112" s="168" t="s">
        <v>2572</v>
      </c>
      <c r="C112" s="455" t="s">
        <v>1549</v>
      </c>
      <c r="D112" s="455" t="s">
        <v>77</v>
      </c>
      <c r="E112" s="168">
        <v>580744.66</v>
      </c>
      <c r="F112" s="523">
        <v>580744</v>
      </c>
    </row>
    <row r="113" spans="2:6">
      <c r="B113" s="168" t="s">
        <v>324</v>
      </c>
      <c r="C113" s="455" t="s">
        <v>1549</v>
      </c>
      <c r="D113" s="455" t="s">
        <v>77</v>
      </c>
      <c r="E113" s="168">
        <v>920140.68</v>
      </c>
      <c r="F113" s="523">
        <v>920140</v>
      </c>
    </row>
    <row r="114" spans="2:6">
      <c r="B114" s="168" t="s">
        <v>1439</v>
      </c>
      <c r="C114" s="455" t="s">
        <v>1549</v>
      </c>
      <c r="D114" s="455" t="s">
        <v>77</v>
      </c>
      <c r="E114" s="168">
        <v>175363.77</v>
      </c>
      <c r="F114" s="523">
        <v>175364</v>
      </c>
    </row>
    <row r="115" spans="2:6">
      <c r="B115" s="168"/>
      <c r="C115" s="455"/>
      <c r="D115" s="455"/>
      <c r="E115" s="457">
        <f>SUM(E104:E114)</f>
        <v>3136605.35</v>
      </c>
      <c r="F115" s="523"/>
    </row>
    <row r="116" spans="2:6">
      <c r="B116" s="168"/>
      <c r="C116" s="455"/>
      <c r="D116" s="455"/>
      <c r="E116" s="168"/>
      <c r="F116" s="523"/>
    </row>
    <row r="117" spans="2:6">
      <c r="B117" s="168" t="s">
        <v>88</v>
      </c>
      <c r="C117" s="455" t="s">
        <v>1549</v>
      </c>
      <c r="D117" s="455" t="s">
        <v>3516</v>
      </c>
      <c r="E117" s="168">
        <v>235663.75</v>
      </c>
      <c r="F117" s="523">
        <v>235664</v>
      </c>
    </row>
    <row r="118" spans="2:6">
      <c r="B118" s="168" t="s">
        <v>143</v>
      </c>
      <c r="C118" s="455" t="s">
        <v>1549</v>
      </c>
      <c r="D118" s="455" t="s">
        <v>3516</v>
      </c>
      <c r="E118" s="168">
        <v>241726.01</v>
      </c>
      <c r="F118" s="523">
        <v>241727</v>
      </c>
    </row>
    <row r="119" spans="2:6">
      <c r="B119" s="168" t="s">
        <v>178</v>
      </c>
      <c r="C119" s="455" t="s">
        <v>1549</v>
      </c>
      <c r="D119" s="455" t="s">
        <v>3516</v>
      </c>
      <c r="E119" s="168">
        <v>22807.74</v>
      </c>
      <c r="F119" s="523">
        <v>22808</v>
      </c>
    </row>
    <row r="120" spans="2:6">
      <c r="B120" s="168" t="s">
        <v>205</v>
      </c>
      <c r="C120" s="455" t="s">
        <v>1549</v>
      </c>
      <c r="D120" s="455" t="s">
        <v>3516</v>
      </c>
      <c r="E120" s="168">
        <v>45831.3</v>
      </c>
      <c r="F120" s="523">
        <v>45831</v>
      </c>
    </row>
    <row r="121" spans="2:6">
      <c r="B121" s="168" t="s">
        <v>234</v>
      </c>
      <c r="C121" s="455" t="s">
        <v>1549</v>
      </c>
      <c r="D121" s="455" t="s">
        <v>3516</v>
      </c>
      <c r="E121" s="168">
        <v>386427.94</v>
      </c>
      <c r="F121" s="523">
        <v>386428</v>
      </c>
    </row>
    <row r="122" spans="2:6">
      <c r="B122" s="168" t="s">
        <v>278</v>
      </c>
      <c r="C122" s="455" t="s">
        <v>1549</v>
      </c>
      <c r="D122" s="455" t="s">
        <v>3516</v>
      </c>
      <c r="E122" s="168">
        <v>9820.4500000000007</v>
      </c>
      <c r="F122" s="523">
        <v>9821</v>
      </c>
    </row>
    <row r="123" spans="2:6">
      <c r="B123" s="168" t="s">
        <v>292</v>
      </c>
      <c r="C123" s="455" t="s">
        <v>1549</v>
      </c>
      <c r="D123" s="455" t="s">
        <v>3516</v>
      </c>
      <c r="E123" s="168">
        <v>37091.75</v>
      </c>
      <c r="F123" s="523">
        <v>37091</v>
      </c>
    </row>
    <row r="124" spans="2:6">
      <c r="B124" s="168" t="s">
        <v>1350</v>
      </c>
      <c r="C124" s="455" t="s">
        <v>1549</v>
      </c>
      <c r="D124" s="455" t="s">
        <v>3516</v>
      </c>
      <c r="E124" s="168">
        <v>339329.58</v>
      </c>
      <c r="F124" s="523">
        <v>339330</v>
      </c>
    </row>
    <row r="125" spans="2:6">
      <c r="B125" s="168" t="s">
        <v>1373</v>
      </c>
      <c r="C125" s="455" t="s">
        <v>1549</v>
      </c>
      <c r="D125" s="455" t="s">
        <v>3516</v>
      </c>
      <c r="E125" s="168">
        <v>28312.21</v>
      </c>
      <c r="F125" s="523">
        <v>28313</v>
      </c>
    </row>
    <row r="126" spans="2:6">
      <c r="B126" s="168" t="s">
        <v>1400</v>
      </c>
      <c r="C126" s="455" t="s">
        <v>1549</v>
      </c>
      <c r="D126" s="455" t="s">
        <v>3516</v>
      </c>
      <c r="E126" s="168">
        <v>361517.35</v>
      </c>
      <c r="F126" s="523">
        <v>361518</v>
      </c>
    </row>
    <row r="127" spans="2:6">
      <c r="B127" s="168" t="s">
        <v>2543</v>
      </c>
      <c r="C127" s="455" t="s">
        <v>1549</v>
      </c>
      <c r="D127" s="455" t="s">
        <v>3516</v>
      </c>
      <c r="E127" s="168">
        <v>73418.05</v>
      </c>
      <c r="F127" s="523">
        <v>73419</v>
      </c>
    </row>
    <row r="128" spans="2:6">
      <c r="B128" s="168" t="s">
        <v>2580</v>
      </c>
      <c r="C128" s="455" t="s">
        <v>1549</v>
      </c>
      <c r="D128" s="455" t="s">
        <v>3516</v>
      </c>
      <c r="E128" s="168">
        <v>391637.48</v>
      </c>
      <c r="F128" s="523">
        <v>391638</v>
      </c>
    </row>
    <row r="129" spans="2:6">
      <c r="B129" s="168" t="s">
        <v>331</v>
      </c>
      <c r="C129" s="455" t="s">
        <v>1549</v>
      </c>
      <c r="D129" s="455" t="s">
        <v>3516</v>
      </c>
      <c r="E129" s="168">
        <v>323969.2</v>
      </c>
      <c r="F129" s="523">
        <v>323970</v>
      </c>
    </row>
    <row r="130" spans="2:6">
      <c r="B130" s="168" t="s">
        <v>377</v>
      </c>
      <c r="C130" s="455" t="s">
        <v>1549</v>
      </c>
      <c r="D130" s="455" t="s">
        <v>3516</v>
      </c>
      <c r="E130" s="168">
        <v>33732.629999999997</v>
      </c>
      <c r="F130" s="523">
        <v>33732</v>
      </c>
    </row>
    <row r="131" spans="2:6">
      <c r="B131" s="168" t="s">
        <v>1448</v>
      </c>
      <c r="C131" s="455" t="s">
        <v>1549</v>
      </c>
      <c r="D131" s="455" t="s">
        <v>3516</v>
      </c>
      <c r="E131" s="168">
        <v>316852.62</v>
      </c>
      <c r="F131" s="523">
        <v>316853</v>
      </c>
    </row>
    <row r="132" spans="2:6">
      <c r="B132" s="168"/>
      <c r="C132" s="455"/>
      <c r="D132" s="455"/>
      <c r="E132" s="457">
        <f>SUM(E117:E131)</f>
        <v>2848138.0600000005</v>
      </c>
      <c r="F132" s="523"/>
    </row>
    <row r="133" spans="2:6">
      <c r="B133" s="168"/>
      <c r="C133" s="455"/>
      <c r="D133" s="455"/>
      <c r="E133" s="168"/>
      <c r="F133" s="523"/>
    </row>
    <row r="134" spans="2:6">
      <c r="B134" s="168" t="s">
        <v>573</v>
      </c>
      <c r="C134" s="455" t="s">
        <v>1549</v>
      </c>
      <c r="D134" s="455" t="s">
        <v>2321</v>
      </c>
      <c r="E134" s="168">
        <v>3480</v>
      </c>
      <c r="F134" s="523">
        <v>3480</v>
      </c>
    </row>
    <row r="135" spans="2:6">
      <c r="B135" s="168"/>
      <c r="C135" s="455"/>
      <c r="D135" s="455"/>
      <c r="E135" s="168"/>
      <c r="F135" s="523"/>
    </row>
    <row r="136" spans="2:6">
      <c r="B136" s="168"/>
      <c r="C136" s="455"/>
      <c r="D136" s="455"/>
      <c r="E136" s="168"/>
      <c r="F136" s="523"/>
    </row>
    <row r="137" spans="2:6">
      <c r="B137" s="168" t="s">
        <v>3468</v>
      </c>
      <c r="C137" s="455"/>
      <c r="D137" s="455" t="s">
        <v>1395</v>
      </c>
      <c r="E137" s="168">
        <v>1693.64</v>
      </c>
      <c r="F137" s="523">
        <v>1693</v>
      </c>
    </row>
    <row r="138" spans="2:6">
      <c r="B138" s="168" t="s">
        <v>2702</v>
      </c>
      <c r="C138" s="455"/>
      <c r="D138" s="455" t="s">
        <v>1395</v>
      </c>
      <c r="E138" s="168">
        <v>17142.38</v>
      </c>
      <c r="F138" s="523">
        <v>17143</v>
      </c>
    </row>
    <row r="139" spans="2:6">
      <c r="B139" s="168" t="s">
        <v>2574</v>
      </c>
      <c r="C139" s="455" t="s">
        <v>1549</v>
      </c>
      <c r="D139" s="455" t="s">
        <v>1395</v>
      </c>
      <c r="E139" s="168">
        <v>54792.19</v>
      </c>
      <c r="F139" s="523">
        <v>54792</v>
      </c>
    </row>
    <row r="140" spans="2:6">
      <c r="B140" s="168" t="s">
        <v>326</v>
      </c>
      <c r="C140" s="455" t="s">
        <v>1549</v>
      </c>
      <c r="D140" s="455" t="s">
        <v>1395</v>
      </c>
      <c r="E140" s="168">
        <v>99251.39</v>
      </c>
      <c r="F140" s="523">
        <v>99252</v>
      </c>
    </row>
    <row r="141" spans="2:6">
      <c r="B141" s="168" t="s">
        <v>1441</v>
      </c>
      <c r="C141" s="455" t="s">
        <v>1549</v>
      </c>
      <c r="D141" s="455" t="s">
        <v>1395</v>
      </c>
      <c r="E141" s="168">
        <v>43820.45</v>
      </c>
      <c r="F141" s="523">
        <v>43821</v>
      </c>
    </row>
    <row r="142" spans="2:6">
      <c r="B142" s="168"/>
      <c r="C142" s="455"/>
      <c r="D142" s="455"/>
      <c r="E142" s="457">
        <f>SUM(E137:E141)</f>
        <v>216700.05</v>
      </c>
      <c r="F142" s="523"/>
    </row>
    <row r="143" spans="2:6">
      <c r="B143" s="168"/>
      <c r="C143" s="455"/>
      <c r="D143" s="455"/>
      <c r="E143" s="168"/>
      <c r="F143" s="523"/>
    </row>
    <row r="144" spans="2:6">
      <c r="B144" s="168" t="s">
        <v>85</v>
      </c>
      <c r="C144" s="455" t="s">
        <v>1549</v>
      </c>
      <c r="D144" s="455" t="s">
        <v>86</v>
      </c>
      <c r="E144" s="168">
        <v>22440.38</v>
      </c>
      <c r="F144" s="523">
        <v>22441</v>
      </c>
    </row>
    <row r="145" spans="2:6">
      <c r="B145" s="168" t="s">
        <v>232</v>
      </c>
      <c r="C145" s="455" t="s">
        <v>1549</v>
      </c>
      <c r="D145" s="455" t="s">
        <v>86</v>
      </c>
      <c r="E145" s="168">
        <v>118160.92</v>
      </c>
      <c r="F145" s="523">
        <v>118161</v>
      </c>
    </row>
    <row r="146" spans="2:6">
      <c r="B146" s="168" t="s">
        <v>140</v>
      </c>
      <c r="C146" s="455" t="s">
        <v>1549</v>
      </c>
      <c r="D146" s="455" t="s">
        <v>141</v>
      </c>
      <c r="E146" s="168">
        <v>113812.4</v>
      </c>
      <c r="F146" s="523">
        <v>113812</v>
      </c>
    </row>
    <row r="147" spans="2:6">
      <c r="B147" s="168" t="s">
        <v>3473</v>
      </c>
      <c r="C147" s="455"/>
      <c r="D147" s="455" t="s">
        <v>141</v>
      </c>
      <c r="E147" s="168">
        <v>1306.25</v>
      </c>
      <c r="F147" s="523">
        <v>1306</v>
      </c>
    </row>
    <row r="148" spans="2:6">
      <c r="B148" s="168"/>
      <c r="C148" s="455"/>
      <c r="D148" s="455"/>
      <c r="E148" s="457">
        <f>SUM(E144:E147)</f>
        <v>255719.94999999998</v>
      </c>
      <c r="F148" s="523"/>
    </row>
    <row r="149" spans="2:6">
      <c r="B149" s="168"/>
      <c r="C149" s="455"/>
      <c r="D149" s="455"/>
      <c r="E149" s="168"/>
      <c r="F149" s="523"/>
    </row>
    <row r="150" spans="2:6">
      <c r="B150" s="168" t="s">
        <v>3458</v>
      </c>
      <c r="C150" s="455"/>
      <c r="D150" s="455" t="s">
        <v>84</v>
      </c>
      <c r="E150" s="160">
        <v>1981.6</v>
      </c>
      <c r="F150" s="523">
        <v>1981</v>
      </c>
    </row>
    <row r="151" spans="2:6">
      <c r="B151" s="168" t="s">
        <v>83</v>
      </c>
      <c r="C151" s="455" t="s">
        <v>1549</v>
      </c>
      <c r="D151" s="455" t="s">
        <v>84</v>
      </c>
      <c r="E151" s="160">
        <v>235366.13</v>
      </c>
      <c r="F151" s="523">
        <v>235366</v>
      </c>
    </row>
    <row r="152" spans="2:6">
      <c r="B152" s="168" t="s">
        <v>139</v>
      </c>
      <c r="C152" s="455" t="s">
        <v>1549</v>
      </c>
      <c r="D152" s="455" t="s">
        <v>84</v>
      </c>
      <c r="E152" s="160">
        <v>190192.73</v>
      </c>
      <c r="F152" s="523">
        <v>190193</v>
      </c>
    </row>
    <row r="153" spans="2:6">
      <c r="B153" s="168" t="s">
        <v>231</v>
      </c>
      <c r="C153" s="455" t="s">
        <v>1549</v>
      </c>
      <c r="D153" s="455" t="s">
        <v>84</v>
      </c>
      <c r="E153" s="168">
        <v>367900.64</v>
      </c>
      <c r="F153" s="523">
        <v>367900</v>
      </c>
    </row>
    <row r="154" spans="2:6">
      <c r="B154" s="168" t="s">
        <v>290</v>
      </c>
      <c r="C154" s="455" t="s">
        <v>1549</v>
      </c>
      <c r="D154" s="455" t="s">
        <v>84</v>
      </c>
      <c r="E154" s="168">
        <v>47668.06</v>
      </c>
      <c r="F154" s="523">
        <v>47668</v>
      </c>
    </row>
    <row r="155" spans="2:6">
      <c r="B155" s="168" t="s">
        <v>3470</v>
      </c>
      <c r="C155" s="455"/>
      <c r="D155" s="455" t="s">
        <v>84</v>
      </c>
      <c r="E155" s="168">
        <v>1260.8</v>
      </c>
      <c r="F155" s="523">
        <v>1260</v>
      </c>
    </row>
    <row r="156" spans="2:6">
      <c r="B156" s="168" t="s">
        <v>1188</v>
      </c>
      <c r="C156" s="455" t="s">
        <v>1549</v>
      </c>
      <c r="D156" s="455" t="s">
        <v>84</v>
      </c>
      <c r="E156" s="168">
        <v>181259.48</v>
      </c>
      <c r="F156" s="523">
        <v>181260</v>
      </c>
    </row>
    <row r="157" spans="2:6">
      <c r="B157" s="168" t="s">
        <v>2578</v>
      </c>
      <c r="C157" s="455" t="s">
        <v>1549</v>
      </c>
      <c r="D157" s="455" t="s">
        <v>84</v>
      </c>
      <c r="E157" s="168">
        <v>60595.23</v>
      </c>
      <c r="F157" s="523">
        <v>60595</v>
      </c>
    </row>
    <row r="158" spans="2:6">
      <c r="B158" s="168" t="s">
        <v>2716</v>
      </c>
      <c r="C158" s="455"/>
      <c r="D158" s="455" t="s">
        <v>84</v>
      </c>
      <c r="E158" s="168">
        <v>73261.13</v>
      </c>
      <c r="F158" s="523">
        <v>73261</v>
      </c>
    </row>
    <row r="159" spans="2:6">
      <c r="B159" s="168" t="s">
        <v>2719</v>
      </c>
      <c r="C159" s="455"/>
      <c r="D159" s="455" t="s">
        <v>84</v>
      </c>
      <c r="E159" s="168">
        <v>38376.720000000001</v>
      </c>
      <c r="F159" s="523">
        <v>38376</v>
      </c>
    </row>
    <row r="160" spans="2:6">
      <c r="B160" s="168" t="s">
        <v>1445</v>
      </c>
      <c r="C160" s="455" t="s">
        <v>1549</v>
      </c>
      <c r="D160" s="455" t="s">
        <v>84</v>
      </c>
      <c r="E160" s="168">
        <v>203665.76</v>
      </c>
      <c r="F160" s="523">
        <v>203665</v>
      </c>
    </row>
    <row r="161" spans="2:6">
      <c r="B161" s="168"/>
      <c r="C161" s="455"/>
      <c r="D161" s="455"/>
      <c r="E161" s="457">
        <f>SUM(E150:E160)</f>
        <v>1401528.2800000003</v>
      </c>
      <c r="F161" s="523"/>
    </row>
    <row r="162" spans="2:6">
      <c r="B162" s="168"/>
      <c r="C162" s="455"/>
      <c r="D162" s="455"/>
      <c r="E162" s="168"/>
      <c r="F162" s="523"/>
    </row>
    <row r="164" spans="2:6">
      <c r="B164" s="168" t="s">
        <v>89</v>
      </c>
      <c r="C164" s="455" t="s">
        <v>1549</v>
      </c>
      <c r="D164" s="455" t="s">
        <v>3517</v>
      </c>
      <c r="E164" s="168">
        <v>10594.79</v>
      </c>
      <c r="F164" s="523">
        <v>10595</v>
      </c>
    </row>
    <row r="165" spans="2:6">
      <c r="B165" s="168" t="s">
        <v>144</v>
      </c>
      <c r="C165" s="455" t="s">
        <v>1549</v>
      </c>
      <c r="D165" s="455" t="s">
        <v>3517</v>
      </c>
      <c r="E165" s="168">
        <v>10929.21</v>
      </c>
      <c r="F165" s="523">
        <v>10930</v>
      </c>
    </row>
    <row r="166" spans="2:6">
      <c r="B166" s="168" t="s">
        <v>179</v>
      </c>
      <c r="C166" s="455" t="s">
        <v>1549</v>
      </c>
      <c r="D166" s="455" t="s">
        <v>3517</v>
      </c>
      <c r="E166" s="168">
        <v>1395.15</v>
      </c>
      <c r="F166" s="523">
        <v>1396</v>
      </c>
    </row>
    <row r="167" spans="2:6">
      <c r="B167" s="168" t="s">
        <v>206</v>
      </c>
      <c r="C167" s="455" t="s">
        <v>1549</v>
      </c>
      <c r="D167" s="455" t="s">
        <v>3517</v>
      </c>
      <c r="E167" s="168">
        <v>2080.9699999999998</v>
      </c>
      <c r="F167" s="523">
        <v>2081</v>
      </c>
    </row>
    <row r="168" spans="2:6">
      <c r="B168" s="168" t="s">
        <v>235</v>
      </c>
      <c r="C168" s="455" t="s">
        <v>1549</v>
      </c>
      <c r="D168" s="455" t="s">
        <v>3517</v>
      </c>
      <c r="E168" s="168">
        <v>17416.64</v>
      </c>
      <c r="F168" s="523">
        <v>17417</v>
      </c>
    </row>
    <row r="169" spans="2:6">
      <c r="B169" s="168" t="s">
        <v>279</v>
      </c>
      <c r="C169" s="455" t="s">
        <v>1549</v>
      </c>
      <c r="D169" s="455" t="s">
        <v>3517</v>
      </c>
      <c r="E169" s="168">
        <v>1122.1300000000001</v>
      </c>
      <c r="F169" s="523">
        <v>1122</v>
      </c>
    </row>
    <row r="170" spans="2:6">
      <c r="B170" s="168" t="s">
        <v>293</v>
      </c>
      <c r="C170" s="455" t="s">
        <v>1549</v>
      </c>
      <c r="D170" s="455" t="s">
        <v>3517</v>
      </c>
      <c r="E170" s="168">
        <v>1497.36</v>
      </c>
      <c r="F170" s="523">
        <v>1498</v>
      </c>
    </row>
    <row r="171" spans="2:6">
      <c r="B171" s="168" t="s">
        <v>1351</v>
      </c>
      <c r="C171" s="455" t="s">
        <v>1549</v>
      </c>
      <c r="D171" s="455" t="s">
        <v>3517</v>
      </c>
      <c r="E171" s="168">
        <v>20180.32</v>
      </c>
      <c r="F171" s="523">
        <v>20180</v>
      </c>
    </row>
    <row r="172" spans="2:6">
      <c r="B172" s="168" t="s">
        <v>1374</v>
      </c>
      <c r="C172" s="455" t="s">
        <v>1549</v>
      </c>
      <c r="D172" s="455" t="s">
        <v>3517</v>
      </c>
      <c r="E172" s="168">
        <v>1681.24</v>
      </c>
      <c r="F172" s="523">
        <v>1682</v>
      </c>
    </row>
    <row r="173" spans="2:6">
      <c r="B173" s="168" t="s">
        <v>1401</v>
      </c>
      <c r="C173" s="455" t="s">
        <v>1549</v>
      </c>
      <c r="D173" s="455" t="s">
        <v>3517</v>
      </c>
      <c r="E173" s="168">
        <v>23729.65</v>
      </c>
      <c r="F173" s="523">
        <v>23729</v>
      </c>
    </row>
    <row r="174" spans="2:6">
      <c r="B174" s="168" t="s">
        <v>2544</v>
      </c>
      <c r="C174" s="455" t="s">
        <v>1549</v>
      </c>
      <c r="D174" s="455" t="s">
        <v>3517</v>
      </c>
      <c r="E174" s="168">
        <v>715.32</v>
      </c>
      <c r="F174" s="523">
        <v>716</v>
      </c>
    </row>
    <row r="175" spans="2:6">
      <c r="B175" s="168" t="s">
        <v>2581</v>
      </c>
      <c r="C175" s="455" t="s">
        <v>1549</v>
      </c>
      <c r="D175" s="455" t="s">
        <v>3517</v>
      </c>
      <c r="E175" s="168">
        <v>25562.52</v>
      </c>
      <c r="F175" s="523">
        <v>25562</v>
      </c>
    </row>
    <row r="176" spans="2:6">
      <c r="B176" s="168" t="s">
        <v>332</v>
      </c>
      <c r="C176" s="455" t="s">
        <v>1549</v>
      </c>
      <c r="D176" s="455" t="s">
        <v>3517</v>
      </c>
      <c r="E176" s="168">
        <v>18448.810000000001</v>
      </c>
      <c r="F176" s="523">
        <v>18449</v>
      </c>
    </row>
    <row r="177" spans="2:6">
      <c r="B177" s="168" t="s">
        <v>378</v>
      </c>
      <c r="C177" s="455" t="s">
        <v>1549</v>
      </c>
      <c r="D177" s="455" t="s">
        <v>3517</v>
      </c>
      <c r="E177" s="168">
        <v>1497.36</v>
      </c>
      <c r="F177" s="523">
        <v>1497</v>
      </c>
    </row>
    <row r="178" spans="2:6">
      <c r="B178" s="168" t="s">
        <v>1449</v>
      </c>
      <c r="C178" s="455" t="s">
        <v>1549</v>
      </c>
      <c r="D178" s="455" t="s">
        <v>3517</v>
      </c>
      <c r="E178" s="168">
        <v>16444.099999999999</v>
      </c>
      <c r="F178" s="523">
        <v>16445</v>
      </c>
    </row>
    <row r="179" spans="2:6">
      <c r="B179" s="168"/>
      <c r="C179" s="455"/>
      <c r="D179" s="455"/>
      <c r="E179" s="457">
        <f>SUM(E163:E178)</f>
        <v>153295.57</v>
      </c>
      <c r="F179" s="523"/>
    </row>
    <row r="180" spans="2:6">
      <c r="B180" s="168"/>
      <c r="C180" s="455"/>
      <c r="D180" s="455"/>
      <c r="E180" s="168"/>
      <c r="F180" s="523"/>
    </row>
    <row r="183" spans="2:6">
      <c r="B183" s="139" t="s">
        <v>3494</v>
      </c>
      <c r="C183" s="209"/>
      <c r="D183" s="209"/>
      <c r="E183" s="209"/>
      <c r="F183" s="209"/>
    </row>
    <row r="184" spans="2:6">
      <c r="B184" s="168" t="s">
        <v>574</v>
      </c>
      <c r="C184" s="455" t="s">
        <v>1550</v>
      </c>
      <c r="D184" s="455" t="s">
        <v>3517</v>
      </c>
      <c r="E184" s="168">
        <v>3180.92</v>
      </c>
      <c r="F184" s="523">
        <v>3180</v>
      </c>
    </row>
    <row r="185" spans="2:6">
      <c r="B185" s="139" t="s">
        <v>582</v>
      </c>
      <c r="C185" s="140" t="s">
        <v>1550</v>
      </c>
      <c r="D185" s="140" t="s">
        <v>3521</v>
      </c>
      <c r="E185" s="139">
        <v>572108.04</v>
      </c>
      <c r="F185" s="516">
        <v>572108</v>
      </c>
    </row>
    <row r="186" spans="2:6">
      <c r="B186" s="139" t="s">
        <v>2681</v>
      </c>
      <c r="C186" s="140"/>
      <c r="D186" s="140" t="s">
        <v>3520</v>
      </c>
      <c r="E186" s="139">
        <v>433355.02</v>
      </c>
      <c r="F186" s="516">
        <v>433355</v>
      </c>
    </row>
    <row r="187" spans="2:6">
      <c r="B187" s="139" t="s">
        <v>585</v>
      </c>
      <c r="C187" s="140" t="s">
        <v>1550</v>
      </c>
      <c r="D187" s="140" t="s">
        <v>583</v>
      </c>
      <c r="E187" s="139">
        <v>1123880.32</v>
      </c>
      <c r="F187" s="516">
        <v>1123880</v>
      </c>
    </row>
    <row r="188" spans="2:6">
      <c r="B188" s="139" t="s">
        <v>586</v>
      </c>
      <c r="C188" s="140" t="s">
        <v>1550</v>
      </c>
      <c r="D188" s="140" t="s">
        <v>3522</v>
      </c>
      <c r="E188" s="139">
        <v>374625</v>
      </c>
      <c r="F188" s="516">
        <v>374626</v>
      </c>
    </row>
    <row r="189" spans="2:6">
      <c r="B189" s="139" t="s">
        <v>588</v>
      </c>
      <c r="C189" s="140" t="s">
        <v>1550</v>
      </c>
      <c r="D189" s="140" t="s">
        <v>545</v>
      </c>
      <c r="E189" s="139">
        <v>96012</v>
      </c>
      <c r="F189" s="516">
        <v>96013</v>
      </c>
    </row>
    <row r="190" spans="2:6">
      <c r="B190" s="139" t="s">
        <v>589</v>
      </c>
      <c r="C190" s="140" t="s">
        <v>1550</v>
      </c>
      <c r="D190" s="140" t="s">
        <v>590</v>
      </c>
      <c r="E190" s="139">
        <v>335464.15000000002</v>
      </c>
      <c r="F190" s="516">
        <v>335465</v>
      </c>
    </row>
    <row r="191" spans="2:6">
      <c r="B191" s="209"/>
      <c r="C191" s="209"/>
      <c r="D191" s="209"/>
      <c r="E191" s="565">
        <f>SUM(E184:E190)</f>
        <v>2938625.45</v>
      </c>
      <c r="F191" s="565">
        <f>SUM('EMPLOYEE COST 0910'!F184:F190)</f>
        <v>2938627</v>
      </c>
    </row>
    <row r="221" spans="2:6">
      <c r="B221" s="168"/>
      <c r="C221" s="455"/>
      <c r="D221" s="455"/>
      <c r="E221" s="168"/>
      <c r="F221" s="523"/>
    </row>
    <row r="222" spans="2:6">
      <c r="B222" s="168"/>
      <c r="C222" s="455"/>
      <c r="D222" s="455"/>
      <c r="E222" s="168"/>
      <c r="F222" s="523"/>
    </row>
    <row r="223" spans="2:6">
      <c r="B223" s="168"/>
      <c r="C223" s="455"/>
      <c r="D223" s="455"/>
      <c r="E223" s="168"/>
      <c r="F223" s="523"/>
    </row>
    <row r="224" spans="2:6">
      <c r="B224" s="168"/>
      <c r="C224" s="455"/>
      <c r="D224" s="455"/>
      <c r="E224" s="168"/>
      <c r="F224" s="523"/>
    </row>
    <row r="225" spans="2:6">
      <c r="B225" s="168"/>
      <c r="C225" s="455"/>
      <c r="D225" s="455"/>
      <c r="E225" s="168"/>
      <c r="F225" s="523"/>
    </row>
    <row r="226" spans="2:6">
      <c r="B226" s="168"/>
      <c r="C226" s="455"/>
      <c r="D226" s="455"/>
      <c r="E226" s="168"/>
      <c r="F226" s="523"/>
    </row>
    <row r="227" spans="2:6">
      <c r="B227" s="168"/>
      <c r="C227" s="455"/>
      <c r="D227" s="455"/>
      <c r="E227" s="168"/>
      <c r="F227" s="523"/>
    </row>
    <row r="228" spans="2:6">
      <c r="B228" s="168"/>
      <c r="C228" s="455"/>
      <c r="D228" s="455"/>
      <c r="E228" s="168"/>
      <c r="F228" s="523"/>
    </row>
    <row r="229" spans="2:6">
      <c r="B229" s="168"/>
      <c r="C229" s="455"/>
      <c r="D229" s="455"/>
      <c r="E229" s="168"/>
      <c r="F229" s="523"/>
    </row>
    <row r="230" spans="2:6">
      <c r="B230" s="168"/>
      <c r="C230" s="455"/>
      <c r="D230" s="455"/>
      <c r="E230" s="168"/>
      <c r="F230" s="523"/>
    </row>
    <row r="231" spans="2:6">
      <c r="B231" s="168"/>
      <c r="C231" s="455"/>
      <c r="D231" s="455"/>
      <c r="E231" s="168"/>
      <c r="F231" s="523"/>
    </row>
    <row r="232" spans="2:6">
      <c r="B232" s="168"/>
      <c r="C232" s="455"/>
      <c r="D232" s="455"/>
      <c r="E232" s="168"/>
      <c r="F232" s="523"/>
    </row>
    <row r="233" spans="2:6">
      <c r="B233" s="168"/>
      <c r="C233" s="455"/>
      <c r="D233" s="455"/>
      <c r="E233" s="168"/>
      <c r="F233" s="523"/>
    </row>
    <row r="234" spans="2:6">
      <c r="B234" s="168"/>
      <c r="C234" s="455"/>
      <c r="D234" s="455"/>
      <c r="E234" s="168"/>
      <c r="F234" s="523"/>
    </row>
  </sheetData>
  <sortState ref="B339:F516">
    <sortCondition ref="E339:E516"/>
  </sortState>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dimension ref="B1:G483"/>
  <sheetViews>
    <sheetView view="pageBreakPreview" topLeftCell="B314" zoomScale="202" zoomScaleSheetLayoutView="202" workbookViewId="0">
      <selection activeCell="B177" sqref="B177"/>
    </sheetView>
  </sheetViews>
  <sheetFormatPr defaultRowHeight="15"/>
  <cols>
    <col min="1" max="1" width="9.140625" style="209"/>
    <col min="2" max="2" width="17.7109375" style="209" customWidth="1"/>
    <col min="3" max="4" width="9.140625" style="209"/>
    <col min="5" max="5" width="14.85546875" style="209" bestFit="1" customWidth="1"/>
    <col min="6" max="6" width="16.5703125" style="209" bestFit="1" customWidth="1"/>
    <col min="7" max="7" width="15.5703125" style="209" customWidth="1"/>
    <col min="8" max="8" width="9.28515625" style="209" bestFit="1" customWidth="1"/>
    <col min="9" max="16384" width="9.140625" style="209"/>
  </cols>
  <sheetData>
    <row r="1" spans="2:7">
      <c r="B1" s="209" t="s">
        <v>3493</v>
      </c>
    </row>
    <row r="3" spans="2:7">
      <c r="B3" s="139" t="s">
        <v>3458</v>
      </c>
      <c r="C3" s="140"/>
      <c r="D3" s="140"/>
      <c r="E3" s="634">
        <v>1981.6</v>
      </c>
      <c r="F3" s="516">
        <v>1981</v>
      </c>
      <c r="G3" s="566">
        <f>E3-F3</f>
        <v>0.59999999999990905</v>
      </c>
    </row>
    <row r="4" spans="2:7">
      <c r="B4" s="139" t="s">
        <v>571</v>
      </c>
      <c r="C4" s="140" t="s">
        <v>1549</v>
      </c>
      <c r="D4" s="140" t="s">
        <v>572</v>
      </c>
      <c r="E4" s="139">
        <v>0</v>
      </c>
      <c r="F4" s="516">
        <v>0</v>
      </c>
      <c r="G4" s="566">
        <f t="shared" ref="G4:G67" si="0">E4-F4</f>
        <v>0</v>
      </c>
    </row>
    <row r="5" spans="2:7">
      <c r="B5" s="139" t="s">
        <v>573</v>
      </c>
      <c r="C5" s="140" t="s">
        <v>1549</v>
      </c>
      <c r="D5" s="140" t="s">
        <v>2321</v>
      </c>
      <c r="E5" s="634">
        <v>3480</v>
      </c>
      <c r="F5" s="516">
        <v>3480</v>
      </c>
      <c r="G5" s="566">
        <f t="shared" si="0"/>
        <v>0</v>
      </c>
    </row>
    <row r="6" spans="2:7">
      <c r="B6" s="139" t="s">
        <v>3459</v>
      </c>
      <c r="C6" s="140"/>
      <c r="D6" s="140" t="s">
        <v>575</v>
      </c>
      <c r="E6" s="634">
        <v>79415.22</v>
      </c>
      <c r="F6" s="516">
        <v>79415</v>
      </c>
      <c r="G6" s="566">
        <f t="shared" si="0"/>
        <v>0.22000000000116415</v>
      </c>
    </row>
    <row r="8" spans="2:7">
      <c r="B8" s="139" t="s">
        <v>576</v>
      </c>
      <c r="C8" s="140" t="s">
        <v>1549</v>
      </c>
      <c r="D8" s="140" t="s">
        <v>577</v>
      </c>
      <c r="E8" s="139">
        <v>0</v>
      </c>
      <c r="F8" s="516">
        <v>0</v>
      </c>
      <c r="G8" s="566">
        <f t="shared" si="0"/>
        <v>0</v>
      </c>
    </row>
    <row r="9" spans="2:7">
      <c r="B9" s="139" t="s">
        <v>579</v>
      </c>
      <c r="C9" s="140" t="s">
        <v>1549</v>
      </c>
      <c r="D9" s="140" t="s">
        <v>577</v>
      </c>
      <c r="E9" s="139">
        <v>0</v>
      </c>
      <c r="F9" s="516">
        <v>0</v>
      </c>
      <c r="G9" s="566">
        <f t="shared" si="0"/>
        <v>0</v>
      </c>
    </row>
    <row r="10" spans="2:7">
      <c r="B10" s="139" t="s">
        <v>580</v>
      </c>
      <c r="C10" s="140" t="s">
        <v>1549</v>
      </c>
      <c r="D10" s="140" t="s">
        <v>1807</v>
      </c>
      <c r="E10" s="139">
        <v>0</v>
      </c>
      <c r="F10" s="516">
        <v>0</v>
      </c>
      <c r="G10" s="566">
        <f t="shared" si="0"/>
        <v>0</v>
      </c>
    </row>
    <row r="11" spans="2:7">
      <c r="B11" s="139" t="s">
        <v>581</v>
      </c>
      <c r="C11" s="140" t="s">
        <v>1549</v>
      </c>
      <c r="D11" s="140" t="s">
        <v>2321</v>
      </c>
      <c r="E11" s="139">
        <v>0</v>
      </c>
      <c r="F11" s="516">
        <v>0</v>
      </c>
      <c r="G11" s="566">
        <f t="shared" si="0"/>
        <v>0</v>
      </c>
    </row>
    <row r="12" spans="2:7">
      <c r="B12" s="139" t="s">
        <v>74</v>
      </c>
      <c r="C12" s="140" t="s">
        <v>1549</v>
      </c>
      <c r="D12" s="140" t="s">
        <v>75</v>
      </c>
      <c r="E12" s="634">
        <v>1518807.62</v>
      </c>
      <c r="F12" s="516">
        <v>1518808</v>
      </c>
      <c r="G12" s="566">
        <f t="shared" si="0"/>
        <v>-0.37999999988824129</v>
      </c>
    </row>
    <row r="13" spans="2:7">
      <c r="B13" s="139" t="s">
        <v>76</v>
      </c>
      <c r="C13" s="140" t="s">
        <v>1549</v>
      </c>
      <c r="D13" s="140" t="s">
        <v>77</v>
      </c>
      <c r="E13" s="634">
        <v>138417.68</v>
      </c>
      <c r="F13" s="516">
        <v>138418</v>
      </c>
      <c r="G13" s="566">
        <f t="shared" si="0"/>
        <v>-0.32000000000698492</v>
      </c>
    </row>
    <row r="14" spans="2:7">
      <c r="B14" s="139" t="s">
        <v>78</v>
      </c>
      <c r="C14" s="140" t="s">
        <v>1549</v>
      </c>
      <c r="D14" s="140" t="s">
        <v>60</v>
      </c>
      <c r="E14" s="634">
        <v>141424.28</v>
      </c>
      <c r="F14" s="516">
        <v>141424</v>
      </c>
      <c r="G14" s="566">
        <f t="shared" si="0"/>
        <v>0.27999999999883585</v>
      </c>
    </row>
    <row r="15" spans="2:7">
      <c r="B15" s="139" t="s">
        <v>79</v>
      </c>
      <c r="C15" s="140" t="s">
        <v>1549</v>
      </c>
      <c r="D15" s="140" t="s">
        <v>515</v>
      </c>
      <c r="E15" s="634">
        <v>79066.19</v>
      </c>
      <c r="F15" s="516">
        <v>79066</v>
      </c>
      <c r="G15" s="566">
        <f t="shared" si="0"/>
        <v>0.19000000000232831</v>
      </c>
    </row>
    <row r="16" spans="2:7">
      <c r="B16" s="139" t="s">
        <v>80</v>
      </c>
      <c r="C16" s="140" t="s">
        <v>1549</v>
      </c>
      <c r="D16" s="140" t="s">
        <v>660</v>
      </c>
      <c r="E16" s="139">
        <v>0</v>
      </c>
      <c r="F16" s="516">
        <v>0</v>
      </c>
      <c r="G16" s="566">
        <f t="shared" si="0"/>
        <v>0</v>
      </c>
    </row>
    <row r="17" spans="2:7">
      <c r="B17" s="139" t="s">
        <v>82</v>
      </c>
      <c r="C17" s="140" t="s">
        <v>1549</v>
      </c>
      <c r="D17" s="140" t="s">
        <v>767</v>
      </c>
      <c r="E17" s="634">
        <v>4250</v>
      </c>
      <c r="F17" s="516">
        <v>4251</v>
      </c>
      <c r="G17" s="566">
        <f t="shared" si="0"/>
        <v>-1</v>
      </c>
    </row>
    <row r="18" spans="2:7">
      <c r="B18" s="139" t="s">
        <v>83</v>
      </c>
      <c r="C18" s="140" t="s">
        <v>1549</v>
      </c>
      <c r="D18" s="140" t="s">
        <v>84</v>
      </c>
      <c r="E18" s="634">
        <v>235366.13</v>
      </c>
      <c r="F18" s="516">
        <v>235366</v>
      </c>
      <c r="G18" s="566">
        <f t="shared" si="0"/>
        <v>0.13000000000465661</v>
      </c>
    </row>
    <row r="19" spans="2:7">
      <c r="B19" s="139" t="s">
        <v>85</v>
      </c>
      <c r="C19" s="140" t="s">
        <v>1549</v>
      </c>
      <c r="D19" s="140" t="s">
        <v>86</v>
      </c>
      <c r="E19" s="634">
        <v>22440.38</v>
      </c>
      <c r="F19" s="516">
        <v>22441</v>
      </c>
      <c r="G19" s="566">
        <f t="shared" si="0"/>
        <v>-0.61999999999898137</v>
      </c>
    </row>
    <row r="20" spans="2:7">
      <c r="B20" s="139" t="s">
        <v>87</v>
      </c>
      <c r="C20" s="140" t="s">
        <v>1549</v>
      </c>
      <c r="D20" s="140" t="s">
        <v>590</v>
      </c>
      <c r="E20" s="634">
        <v>47588.4</v>
      </c>
      <c r="F20" s="516">
        <v>47589</v>
      </c>
      <c r="G20" s="566">
        <f t="shared" si="0"/>
        <v>-0.59999999999854481</v>
      </c>
    </row>
    <row r="21" spans="2:7">
      <c r="B21" s="139" t="s">
        <v>88</v>
      </c>
      <c r="C21" s="140" t="s">
        <v>1549</v>
      </c>
      <c r="D21" s="140" t="s">
        <v>590</v>
      </c>
      <c r="E21" s="634">
        <v>235663.75</v>
      </c>
      <c r="F21" s="516">
        <v>235664</v>
      </c>
      <c r="G21" s="566">
        <f t="shared" si="0"/>
        <v>-0.25</v>
      </c>
    </row>
    <row r="22" spans="2:7">
      <c r="B22" s="139" t="s">
        <v>89</v>
      </c>
      <c r="C22" s="140" t="s">
        <v>1549</v>
      </c>
      <c r="D22" s="140" t="s">
        <v>590</v>
      </c>
      <c r="E22" s="634">
        <v>10594.79</v>
      </c>
      <c r="F22" s="516">
        <v>10595</v>
      </c>
      <c r="G22" s="566">
        <f t="shared" si="0"/>
        <v>-0.20999999999912689</v>
      </c>
    </row>
    <row r="23" spans="2:7">
      <c r="B23" s="139" t="s">
        <v>90</v>
      </c>
      <c r="C23" s="140" t="s">
        <v>1549</v>
      </c>
      <c r="D23" s="140" t="s">
        <v>590</v>
      </c>
      <c r="E23" s="634">
        <v>13395.85</v>
      </c>
      <c r="F23" s="516">
        <v>13396</v>
      </c>
      <c r="G23" s="566">
        <f t="shared" si="0"/>
        <v>-0.1499999999996362</v>
      </c>
    </row>
    <row r="24" spans="2:7">
      <c r="B24" s="139" t="s">
        <v>91</v>
      </c>
      <c r="C24" s="140" t="s">
        <v>1549</v>
      </c>
      <c r="D24" s="140" t="s">
        <v>1807</v>
      </c>
      <c r="E24" s="634">
        <v>572.58000000000004</v>
      </c>
      <c r="F24" s="516">
        <v>573</v>
      </c>
      <c r="G24" s="566">
        <f t="shared" si="0"/>
        <v>-0.41999999999995907</v>
      </c>
    </row>
    <row r="25" spans="2:7">
      <c r="B25" s="139" t="s">
        <v>112</v>
      </c>
      <c r="C25" s="140" t="s">
        <v>1549</v>
      </c>
      <c r="D25" s="140" t="s">
        <v>75</v>
      </c>
      <c r="E25" s="139">
        <v>0</v>
      </c>
      <c r="F25" s="516">
        <v>0</v>
      </c>
      <c r="G25" s="566">
        <f t="shared" si="0"/>
        <v>0</v>
      </c>
    </row>
    <row r="26" spans="2:7">
      <c r="B26" s="139" t="s">
        <v>113</v>
      </c>
      <c r="C26" s="140" t="s">
        <v>1549</v>
      </c>
      <c r="D26" s="140" t="s">
        <v>60</v>
      </c>
      <c r="E26" s="139">
        <v>0</v>
      </c>
      <c r="F26" s="516">
        <v>0</v>
      </c>
      <c r="G26" s="566">
        <f t="shared" si="0"/>
        <v>0</v>
      </c>
    </row>
    <row r="27" spans="2:7">
      <c r="B27" s="139" t="s">
        <v>114</v>
      </c>
      <c r="C27" s="140" t="s">
        <v>1549</v>
      </c>
      <c r="D27" s="140" t="s">
        <v>767</v>
      </c>
      <c r="E27" s="139">
        <v>0</v>
      </c>
      <c r="F27" s="516">
        <v>0</v>
      </c>
      <c r="G27" s="566">
        <f t="shared" si="0"/>
        <v>0</v>
      </c>
    </row>
    <row r="28" spans="2:7">
      <c r="B28" s="139" t="s">
        <v>115</v>
      </c>
      <c r="C28" s="140" t="s">
        <v>1549</v>
      </c>
      <c r="D28" s="140" t="s">
        <v>84</v>
      </c>
      <c r="E28" s="139">
        <v>0</v>
      </c>
      <c r="F28" s="516">
        <v>0</v>
      </c>
      <c r="G28" s="566">
        <f t="shared" si="0"/>
        <v>0</v>
      </c>
    </row>
    <row r="29" spans="2:7">
      <c r="B29" s="139" t="s">
        <v>116</v>
      </c>
      <c r="C29" s="140" t="s">
        <v>1549</v>
      </c>
      <c r="D29" s="140" t="s">
        <v>575</v>
      </c>
      <c r="E29" s="139">
        <v>0</v>
      </c>
      <c r="F29" s="516">
        <v>0</v>
      </c>
      <c r="G29" s="566">
        <f t="shared" si="0"/>
        <v>0</v>
      </c>
    </row>
    <row r="30" spans="2:7">
      <c r="B30" s="139" t="s">
        <v>117</v>
      </c>
      <c r="C30" s="140" t="s">
        <v>1549</v>
      </c>
      <c r="D30" s="140" t="s">
        <v>575</v>
      </c>
      <c r="E30" s="139">
        <v>0</v>
      </c>
      <c r="F30" s="516">
        <v>0</v>
      </c>
      <c r="G30" s="566">
        <f t="shared" si="0"/>
        <v>0</v>
      </c>
    </row>
    <row r="31" spans="2:7">
      <c r="B31" s="139" t="s">
        <v>118</v>
      </c>
      <c r="C31" s="140" t="s">
        <v>1549</v>
      </c>
      <c r="D31" s="140" t="s">
        <v>1807</v>
      </c>
      <c r="E31" s="139">
        <v>0</v>
      </c>
      <c r="F31" s="516">
        <v>0</v>
      </c>
      <c r="G31" s="566">
        <f t="shared" si="0"/>
        <v>0</v>
      </c>
    </row>
    <row r="32" spans="2:7">
      <c r="B32" s="139" t="s">
        <v>128</v>
      </c>
      <c r="C32" s="140" t="s">
        <v>1549</v>
      </c>
      <c r="D32" s="140" t="s">
        <v>75</v>
      </c>
      <c r="E32" s="139">
        <v>0</v>
      </c>
      <c r="F32" s="516">
        <v>0</v>
      </c>
      <c r="G32" s="566">
        <f t="shared" si="0"/>
        <v>0</v>
      </c>
    </row>
    <row r="33" spans="2:7">
      <c r="B33" s="139" t="s">
        <v>129</v>
      </c>
      <c r="C33" s="140" t="s">
        <v>1549</v>
      </c>
      <c r="D33" s="140" t="s">
        <v>60</v>
      </c>
      <c r="E33" s="139">
        <v>0</v>
      </c>
      <c r="F33" s="516">
        <v>0</v>
      </c>
      <c r="G33" s="566">
        <f t="shared" si="0"/>
        <v>0</v>
      </c>
    </row>
    <row r="34" spans="2:7">
      <c r="B34" s="139" t="s">
        <v>130</v>
      </c>
      <c r="C34" s="140" t="s">
        <v>1549</v>
      </c>
      <c r="D34" s="140" t="s">
        <v>84</v>
      </c>
      <c r="E34" s="139">
        <v>0</v>
      </c>
      <c r="F34" s="516">
        <v>0</v>
      </c>
      <c r="G34" s="566">
        <f t="shared" si="0"/>
        <v>0</v>
      </c>
    </row>
    <row r="35" spans="2:7">
      <c r="B35" s="139" t="s">
        <v>133</v>
      </c>
      <c r="C35" s="140" t="s">
        <v>1549</v>
      </c>
      <c r="D35" s="140" t="s">
        <v>75</v>
      </c>
      <c r="E35" s="634">
        <v>1135523.81</v>
      </c>
      <c r="F35" s="516">
        <v>1135524</v>
      </c>
      <c r="G35" s="566">
        <f t="shared" si="0"/>
        <v>-0.18999999994412065</v>
      </c>
    </row>
    <row r="36" spans="2:7">
      <c r="B36" s="139" t="s">
        <v>134</v>
      </c>
      <c r="C36" s="140" t="s">
        <v>1549</v>
      </c>
      <c r="D36" s="140" t="s">
        <v>77</v>
      </c>
      <c r="E36" s="634">
        <v>26060.17</v>
      </c>
      <c r="F36" s="516">
        <v>26060</v>
      </c>
      <c r="G36" s="566">
        <f t="shared" si="0"/>
        <v>0.16999999999825377</v>
      </c>
    </row>
    <row r="37" spans="2:7">
      <c r="B37" s="139" t="s">
        <v>135</v>
      </c>
      <c r="C37" s="140" t="s">
        <v>1549</v>
      </c>
      <c r="D37" s="140" t="s">
        <v>60</v>
      </c>
      <c r="E37" s="634">
        <v>90749.86</v>
      </c>
      <c r="F37" s="516">
        <v>90750</v>
      </c>
      <c r="G37" s="566">
        <f t="shared" si="0"/>
        <v>-0.13999999999941792</v>
      </c>
    </row>
    <row r="38" spans="2:7">
      <c r="B38" s="139" t="s">
        <v>136</v>
      </c>
      <c r="C38" s="140" t="s">
        <v>1549</v>
      </c>
      <c r="D38" s="140" t="s">
        <v>515</v>
      </c>
      <c r="E38" s="634">
        <v>213083.57</v>
      </c>
      <c r="F38" s="516">
        <v>213083</v>
      </c>
      <c r="G38" s="566">
        <f t="shared" si="0"/>
        <v>0.57000000000698492</v>
      </c>
    </row>
    <row r="39" spans="2:7">
      <c r="B39" s="139" t="s">
        <v>137</v>
      </c>
      <c r="C39" s="140" t="s">
        <v>1549</v>
      </c>
      <c r="D39" s="140" t="s">
        <v>660</v>
      </c>
      <c r="E39" s="634">
        <v>0</v>
      </c>
      <c r="F39" s="516">
        <v>0</v>
      </c>
      <c r="G39" s="566">
        <f t="shared" si="0"/>
        <v>0</v>
      </c>
    </row>
    <row r="40" spans="2:7">
      <c r="B40" s="139" t="s">
        <v>138</v>
      </c>
      <c r="C40" s="140" t="s">
        <v>1549</v>
      </c>
      <c r="D40" s="140" t="s">
        <v>767</v>
      </c>
      <c r="E40" s="634">
        <v>20543.79</v>
      </c>
      <c r="F40" s="516">
        <v>20544</v>
      </c>
      <c r="G40" s="566">
        <f t="shared" si="0"/>
        <v>-0.20999999999912689</v>
      </c>
    </row>
    <row r="41" spans="2:7">
      <c r="B41" s="139" t="s">
        <v>139</v>
      </c>
      <c r="C41" s="140" t="s">
        <v>1549</v>
      </c>
      <c r="D41" s="140" t="s">
        <v>84</v>
      </c>
      <c r="E41" s="634">
        <v>190192.73</v>
      </c>
      <c r="F41" s="516">
        <v>190193</v>
      </c>
      <c r="G41" s="566">
        <f t="shared" si="0"/>
        <v>-0.26999999998952262</v>
      </c>
    </row>
    <row r="42" spans="2:7">
      <c r="B42" s="139" t="s">
        <v>140</v>
      </c>
      <c r="C42" s="140" t="s">
        <v>1549</v>
      </c>
      <c r="D42" s="140" t="s">
        <v>141</v>
      </c>
      <c r="E42" s="634">
        <v>113812.4</v>
      </c>
      <c r="F42" s="516">
        <v>113812</v>
      </c>
      <c r="G42" s="566">
        <f t="shared" si="0"/>
        <v>0.39999999999417923</v>
      </c>
    </row>
    <row r="43" spans="2:7">
      <c r="B43" s="139" t="s">
        <v>142</v>
      </c>
      <c r="C43" s="140" t="s">
        <v>1549</v>
      </c>
      <c r="D43" s="140" t="s">
        <v>590</v>
      </c>
      <c r="E43" s="634">
        <v>83369.72</v>
      </c>
      <c r="F43" s="516">
        <v>83370</v>
      </c>
      <c r="G43" s="566">
        <f t="shared" si="0"/>
        <v>-0.27999999999883585</v>
      </c>
    </row>
    <row r="44" spans="2:7">
      <c r="B44" s="139" t="s">
        <v>143</v>
      </c>
      <c r="C44" s="140" t="s">
        <v>1549</v>
      </c>
      <c r="D44" s="140" t="s">
        <v>590</v>
      </c>
      <c r="E44" s="634">
        <v>241726.01</v>
      </c>
      <c r="F44" s="516">
        <v>241727</v>
      </c>
      <c r="G44" s="566">
        <f t="shared" si="0"/>
        <v>-0.98999999999068677</v>
      </c>
    </row>
    <row r="45" spans="2:7">
      <c r="B45" s="139" t="s">
        <v>144</v>
      </c>
      <c r="C45" s="140" t="s">
        <v>1549</v>
      </c>
      <c r="D45" s="140" t="s">
        <v>590</v>
      </c>
      <c r="E45" s="634">
        <v>10929.21</v>
      </c>
      <c r="F45" s="516">
        <v>10930</v>
      </c>
      <c r="G45" s="566">
        <f t="shared" si="0"/>
        <v>-0.79000000000087311</v>
      </c>
    </row>
    <row r="46" spans="2:7">
      <c r="B46" s="139" t="s">
        <v>145</v>
      </c>
      <c r="C46" s="140" t="s">
        <v>1549</v>
      </c>
      <c r="D46" s="140" t="s">
        <v>590</v>
      </c>
      <c r="E46" s="634">
        <v>16865.060000000001</v>
      </c>
      <c r="F46" s="516">
        <v>16866</v>
      </c>
      <c r="G46" s="566">
        <f t="shared" si="0"/>
        <v>-0.93999999999869033</v>
      </c>
    </row>
    <row r="47" spans="2:7">
      <c r="B47" s="139" t="s">
        <v>146</v>
      </c>
      <c r="C47" s="140" t="s">
        <v>1549</v>
      </c>
      <c r="D47" s="140" t="s">
        <v>1807</v>
      </c>
      <c r="E47" s="634">
        <v>591.33000000000004</v>
      </c>
      <c r="F47" s="516">
        <v>592</v>
      </c>
      <c r="G47" s="566">
        <f t="shared" si="0"/>
        <v>-0.66999999999995907</v>
      </c>
    </row>
    <row r="48" spans="2:7">
      <c r="B48" s="139" t="s">
        <v>173</v>
      </c>
      <c r="C48" s="140" t="s">
        <v>1549</v>
      </c>
      <c r="D48" s="140" t="s">
        <v>75</v>
      </c>
      <c r="E48" s="634">
        <v>108390.91</v>
      </c>
      <c r="F48" s="516">
        <v>108391</v>
      </c>
      <c r="G48" s="566">
        <f t="shared" si="0"/>
        <v>-8.999999999650754E-2</v>
      </c>
    </row>
    <row r="49" spans="2:7">
      <c r="B49" s="139" t="s">
        <v>174</v>
      </c>
      <c r="C49" s="140" t="s">
        <v>1549</v>
      </c>
      <c r="D49" s="140" t="s">
        <v>60</v>
      </c>
      <c r="E49" s="634">
        <v>14947.06</v>
      </c>
      <c r="F49" s="516">
        <v>14948</v>
      </c>
      <c r="G49" s="566">
        <f t="shared" si="0"/>
        <v>-0.94000000000050932</v>
      </c>
    </row>
    <row r="50" spans="2:7">
      <c r="B50" s="139" t="s">
        <v>3463</v>
      </c>
      <c r="C50" s="140"/>
      <c r="D50" s="140" t="s">
        <v>3464</v>
      </c>
      <c r="E50" s="634">
        <v>11687.93</v>
      </c>
      <c r="F50" s="516">
        <v>11687</v>
      </c>
      <c r="G50" s="566">
        <f t="shared" si="0"/>
        <v>0.93000000000029104</v>
      </c>
    </row>
    <row r="51" spans="2:7">
      <c r="B51" s="139" t="s">
        <v>175</v>
      </c>
      <c r="C51" s="140" t="s">
        <v>1549</v>
      </c>
      <c r="D51" s="140" t="s">
        <v>660</v>
      </c>
      <c r="E51" s="634">
        <v>0</v>
      </c>
      <c r="F51" s="516">
        <v>0</v>
      </c>
      <c r="G51" s="566">
        <f t="shared" si="0"/>
        <v>0</v>
      </c>
    </row>
    <row r="52" spans="2:7">
      <c r="B52" s="139" t="s">
        <v>176</v>
      </c>
      <c r="C52" s="140" t="s">
        <v>1549</v>
      </c>
      <c r="D52" s="140" t="s">
        <v>767</v>
      </c>
      <c r="E52" s="634">
        <v>0</v>
      </c>
      <c r="F52" s="516">
        <v>0</v>
      </c>
      <c r="G52" s="566">
        <f t="shared" si="0"/>
        <v>0</v>
      </c>
    </row>
    <row r="53" spans="2:7">
      <c r="B53" s="139" t="s">
        <v>177</v>
      </c>
      <c r="C53" s="140" t="s">
        <v>1549</v>
      </c>
      <c r="D53" s="140" t="s">
        <v>575</v>
      </c>
      <c r="E53" s="634">
        <v>13615.2</v>
      </c>
      <c r="F53" s="516">
        <v>13616</v>
      </c>
      <c r="G53" s="566">
        <f t="shared" si="0"/>
        <v>-0.7999999999992724</v>
      </c>
    </row>
    <row r="54" spans="2:7">
      <c r="B54" s="139" t="s">
        <v>178</v>
      </c>
      <c r="C54" s="140" t="s">
        <v>1549</v>
      </c>
      <c r="D54" s="140" t="s">
        <v>590</v>
      </c>
      <c r="E54" s="634">
        <v>22807.74</v>
      </c>
      <c r="F54" s="516">
        <v>22808</v>
      </c>
      <c r="G54" s="566">
        <f t="shared" si="0"/>
        <v>-0.25999999999839929</v>
      </c>
    </row>
    <row r="55" spans="2:7">
      <c r="B55" s="139" t="s">
        <v>179</v>
      </c>
      <c r="C55" s="140" t="s">
        <v>1549</v>
      </c>
      <c r="D55" s="140" t="s">
        <v>590</v>
      </c>
      <c r="E55" s="634">
        <v>1395.15</v>
      </c>
      <c r="F55" s="516">
        <v>1396</v>
      </c>
      <c r="G55" s="566">
        <f t="shared" si="0"/>
        <v>-0.84999999999990905</v>
      </c>
    </row>
    <row r="56" spans="2:7">
      <c r="B56" s="139" t="s">
        <v>180</v>
      </c>
      <c r="C56" s="140" t="s">
        <v>1549</v>
      </c>
      <c r="D56" s="140" t="s">
        <v>590</v>
      </c>
      <c r="E56" s="634">
        <v>158.47999999999999</v>
      </c>
      <c r="F56" s="516">
        <v>159</v>
      </c>
      <c r="G56" s="566">
        <f t="shared" si="0"/>
        <v>-0.52000000000001023</v>
      </c>
    </row>
    <row r="57" spans="2:7">
      <c r="B57" s="139" t="s">
        <v>181</v>
      </c>
      <c r="C57" s="140" t="s">
        <v>1549</v>
      </c>
      <c r="D57" s="140" t="s">
        <v>1807</v>
      </c>
      <c r="E57" s="634">
        <v>48.75</v>
      </c>
      <c r="F57" s="516">
        <v>49</v>
      </c>
      <c r="G57" s="566">
        <f t="shared" si="0"/>
        <v>-0.25</v>
      </c>
    </row>
    <row r="58" spans="2:7">
      <c r="B58" s="139" t="s">
        <v>200</v>
      </c>
      <c r="C58" s="140" t="s">
        <v>1549</v>
      </c>
      <c r="D58" s="140" t="s">
        <v>75</v>
      </c>
      <c r="E58" s="634">
        <v>209537.54</v>
      </c>
      <c r="F58" s="516">
        <v>209538</v>
      </c>
      <c r="G58" s="566">
        <f t="shared" si="0"/>
        <v>-0.45999999999185093</v>
      </c>
    </row>
    <row r="59" spans="2:7">
      <c r="B59" s="139" t="s">
        <v>2695</v>
      </c>
      <c r="C59" s="140"/>
      <c r="D59" s="140"/>
      <c r="E59" s="634">
        <v>0</v>
      </c>
      <c r="F59" s="516">
        <v>0</v>
      </c>
      <c r="G59" s="566">
        <f t="shared" si="0"/>
        <v>0</v>
      </c>
    </row>
    <row r="60" spans="2:7">
      <c r="B60" s="139" t="s">
        <v>201</v>
      </c>
      <c r="C60" s="140" t="s">
        <v>1549</v>
      </c>
      <c r="D60" s="140" t="s">
        <v>60</v>
      </c>
      <c r="E60" s="634">
        <v>16453.28</v>
      </c>
      <c r="F60" s="516">
        <v>16454</v>
      </c>
      <c r="G60" s="566">
        <f t="shared" si="0"/>
        <v>-0.72000000000116415</v>
      </c>
    </row>
    <row r="61" spans="2:7">
      <c r="B61" s="139" t="s">
        <v>202</v>
      </c>
      <c r="C61" s="140" t="s">
        <v>1549</v>
      </c>
      <c r="D61" s="140" t="s">
        <v>515</v>
      </c>
      <c r="E61" s="139">
        <v>0</v>
      </c>
      <c r="F61" s="516">
        <v>0</v>
      </c>
      <c r="G61" s="566">
        <f t="shared" si="0"/>
        <v>0</v>
      </c>
    </row>
    <row r="62" spans="2:7">
      <c r="B62" s="139" t="s">
        <v>203</v>
      </c>
      <c r="C62" s="140" t="s">
        <v>1549</v>
      </c>
      <c r="D62" s="140" t="s">
        <v>767</v>
      </c>
      <c r="E62" s="139">
        <v>0</v>
      </c>
      <c r="F62" s="516">
        <v>0</v>
      </c>
      <c r="G62" s="566">
        <f t="shared" si="0"/>
        <v>0</v>
      </c>
    </row>
    <row r="63" spans="2:7">
      <c r="B63" s="139" t="s">
        <v>2696</v>
      </c>
      <c r="C63" s="140"/>
      <c r="D63" s="140"/>
      <c r="E63" s="139">
        <v>0</v>
      </c>
      <c r="F63" s="516">
        <v>0</v>
      </c>
      <c r="G63" s="566">
        <f t="shared" si="0"/>
        <v>0</v>
      </c>
    </row>
    <row r="64" spans="2:7">
      <c r="B64" s="139" t="s">
        <v>204</v>
      </c>
      <c r="C64" s="140" t="s">
        <v>1549</v>
      </c>
      <c r="D64" s="140" t="s">
        <v>590</v>
      </c>
      <c r="E64" s="634">
        <v>12621.6</v>
      </c>
      <c r="F64" s="516">
        <v>12622</v>
      </c>
      <c r="G64" s="566">
        <f t="shared" si="0"/>
        <v>-0.3999999999996362</v>
      </c>
    </row>
    <row r="65" spans="2:7">
      <c r="B65" s="139" t="s">
        <v>205</v>
      </c>
      <c r="C65" s="140" t="s">
        <v>1549</v>
      </c>
      <c r="D65" s="140" t="s">
        <v>590</v>
      </c>
      <c r="E65" s="634">
        <v>45831.3</v>
      </c>
      <c r="F65" s="516">
        <v>45831</v>
      </c>
      <c r="G65" s="566">
        <f t="shared" si="0"/>
        <v>0.30000000000291038</v>
      </c>
    </row>
    <row r="66" spans="2:7">
      <c r="B66" s="139" t="s">
        <v>206</v>
      </c>
      <c r="C66" s="140" t="s">
        <v>1549</v>
      </c>
      <c r="D66" s="140" t="s">
        <v>590</v>
      </c>
      <c r="E66" s="634">
        <v>2080.9699999999998</v>
      </c>
      <c r="F66" s="516">
        <v>2081</v>
      </c>
      <c r="G66" s="566">
        <f t="shared" si="0"/>
        <v>-3.0000000000200089E-2</v>
      </c>
    </row>
    <row r="67" spans="2:7">
      <c r="B67" s="139" t="s">
        <v>207</v>
      </c>
      <c r="C67" s="140" t="s">
        <v>1549</v>
      </c>
      <c r="D67" s="140" t="s">
        <v>590</v>
      </c>
      <c r="E67" s="634">
        <v>2942.92</v>
      </c>
      <c r="F67" s="516">
        <v>2943</v>
      </c>
      <c r="G67" s="566">
        <f t="shared" si="0"/>
        <v>-7.999999999992724E-2</v>
      </c>
    </row>
    <row r="68" spans="2:7">
      <c r="B68" s="139" t="s">
        <v>208</v>
      </c>
      <c r="C68" s="140" t="s">
        <v>1549</v>
      </c>
      <c r="D68" s="140" t="s">
        <v>1807</v>
      </c>
      <c r="E68" s="634">
        <v>90</v>
      </c>
      <c r="F68" s="516">
        <v>90</v>
      </c>
      <c r="G68" s="566">
        <f t="shared" ref="G68:G131" si="1">E68-F68</f>
        <v>0</v>
      </c>
    </row>
    <row r="69" spans="2:7">
      <c r="B69" s="139" t="s">
        <v>225</v>
      </c>
      <c r="C69" s="140" t="s">
        <v>1549</v>
      </c>
      <c r="D69" s="140" t="s">
        <v>75</v>
      </c>
      <c r="E69" s="634">
        <v>2272928.91</v>
      </c>
      <c r="F69" s="516">
        <v>2272929</v>
      </c>
      <c r="G69" s="566">
        <f t="shared" si="1"/>
        <v>-8.9999999850988388E-2</v>
      </c>
    </row>
    <row r="70" spans="2:7">
      <c r="B70" s="139" t="s">
        <v>226</v>
      </c>
      <c r="C70" s="140" t="s">
        <v>1549</v>
      </c>
      <c r="D70" s="140" t="s">
        <v>77</v>
      </c>
      <c r="E70" s="634">
        <v>363117.5</v>
      </c>
      <c r="F70" s="516">
        <v>363117</v>
      </c>
      <c r="G70" s="566">
        <f t="shared" si="1"/>
        <v>0.5</v>
      </c>
    </row>
    <row r="71" spans="2:7">
      <c r="B71" s="139" t="s">
        <v>227</v>
      </c>
      <c r="C71" s="140" t="s">
        <v>1549</v>
      </c>
      <c r="D71" s="140" t="s">
        <v>60</v>
      </c>
      <c r="E71" s="634">
        <v>194551.28</v>
      </c>
      <c r="F71" s="516">
        <v>194552</v>
      </c>
      <c r="G71" s="566">
        <f t="shared" si="1"/>
        <v>-0.72000000000116415</v>
      </c>
    </row>
    <row r="72" spans="2:7">
      <c r="B72" s="139" t="s">
        <v>3468</v>
      </c>
      <c r="C72" s="140"/>
      <c r="D72" s="140"/>
      <c r="E72" s="634">
        <v>1693.64</v>
      </c>
      <c r="F72" s="516">
        <v>1693</v>
      </c>
      <c r="G72" s="566">
        <f t="shared" si="1"/>
        <v>0.64000000000010004</v>
      </c>
    </row>
    <row r="73" spans="2:7">
      <c r="B73" s="139" t="s">
        <v>228</v>
      </c>
      <c r="C73" s="140" t="s">
        <v>1549</v>
      </c>
      <c r="D73" s="140"/>
      <c r="E73" s="634">
        <v>163706.31</v>
      </c>
      <c r="F73" s="516">
        <v>163706</v>
      </c>
      <c r="G73" s="566">
        <f t="shared" si="1"/>
        <v>0.30999999999767169</v>
      </c>
    </row>
    <row r="74" spans="2:7">
      <c r="B74" s="139" t="s">
        <v>229</v>
      </c>
      <c r="C74" s="140" t="s">
        <v>1549</v>
      </c>
      <c r="D74" s="140" t="s">
        <v>660</v>
      </c>
      <c r="E74" s="634">
        <v>0</v>
      </c>
      <c r="F74" s="516">
        <v>0</v>
      </c>
      <c r="G74" s="566">
        <f t="shared" si="1"/>
        <v>0</v>
      </c>
    </row>
    <row r="75" spans="2:7">
      <c r="B75" s="139" t="s">
        <v>230</v>
      </c>
      <c r="C75" s="140" t="s">
        <v>1549</v>
      </c>
      <c r="D75" s="140" t="s">
        <v>767</v>
      </c>
      <c r="E75" s="634">
        <v>8691.2000000000007</v>
      </c>
      <c r="F75" s="516">
        <v>8692</v>
      </c>
      <c r="G75" s="566">
        <f t="shared" si="1"/>
        <v>-0.7999999999992724</v>
      </c>
    </row>
    <row r="76" spans="2:7">
      <c r="B76" s="139" t="s">
        <v>231</v>
      </c>
      <c r="C76" s="140" t="s">
        <v>1549</v>
      </c>
      <c r="D76" s="140" t="s">
        <v>84</v>
      </c>
      <c r="E76" s="634">
        <v>367900.64</v>
      </c>
      <c r="F76" s="516">
        <v>367900</v>
      </c>
      <c r="G76" s="566">
        <f t="shared" si="1"/>
        <v>0.64000000001396984</v>
      </c>
    </row>
    <row r="77" spans="2:7">
      <c r="B77" s="139" t="s">
        <v>232</v>
      </c>
      <c r="C77" s="140" t="s">
        <v>1549</v>
      </c>
      <c r="D77" s="140" t="s">
        <v>86</v>
      </c>
      <c r="E77" s="634">
        <v>118160.92</v>
      </c>
      <c r="F77" s="516">
        <v>118161</v>
      </c>
      <c r="G77" s="566">
        <f t="shared" si="1"/>
        <v>-8.000000000174623E-2</v>
      </c>
    </row>
    <row r="78" spans="2:7">
      <c r="B78" s="139" t="s">
        <v>233</v>
      </c>
      <c r="C78" s="140" t="s">
        <v>1549</v>
      </c>
      <c r="D78" s="140" t="s">
        <v>590</v>
      </c>
      <c r="E78" s="634">
        <v>93131.68</v>
      </c>
      <c r="F78" s="516">
        <v>93132</v>
      </c>
      <c r="G78" s="566">
        <f t="shared" si="1"/>
        <v>-0.32000000000698492</v>
      </c>
    </row>
    <row r="79" spans="2:7">
      <c r="B79" s="139" t="s">
        <v>234</v>
      </c>
      <c r="C79" s="140" t="s">
        <v>1549</v>
      </c>
      <c r="D79" s="140" t="s">
        <v>590</v>
      </c>
      <c r="E79" s="634">
        <v>386427.94</v>
      </c>
      <c r="F79" s="516">
        <v>386428</v>
      </c>
      <c r="G79" s="566">
        <f t="shared" si="1"/>
        <v>-5.9999999997671694E-2</v>
      </c>
    </row>
    <row r="80" spans="2:7">
      <c r="B80" s="139" t="s">
        <v>235</v>
      </c>
      <c r="C80" s="140" t="s">
        <v>1549</v>
      </c>
      <c r="D80" s="140" t="s">
        <v>590</v>
      </c>
      <c r="E80" s="634">
        <v>17416.64</v>
      </c>
      <c r="F80" s="516">
        <v>17417</v>
      </c>
      <c r="G80" s="566">
        <f t="shared" si="1"/>
        <v>-0.36000000000058208</v>
      </c>
    </row>
    <row r="81" spans="2:7">
      <c r="B81" s="139" t="s">
        <v>236</v>
      </c>
      <c r="C81" s="140" t="s">
        <v>1549</v>
      </c>
      <c r="D81" s="140" t="s">
        <v>590</v>
      </c>
      <c r="E81" s="634">
        <v>19247.439999999999</v>
      </c>
      <c r="F81" s="516">
        <v>19248</v>
      </c>
      <c r="G81" s="566">
        <f t="shared" si="1"/>
        <v>-0.56000000000130967</v>
      </c>
    </row>
    <row r="82" spans="2:7">
      <c r="B82" s="139" t="s">
        <v>237</v>
      </c>
      <c r="C82" s="140" t="s">
        <v>1549</v>
      </c>
      <c r="D82" s="140" t="s">
        <v>1807</v>
      </c>
      <c r="E82" s="634">
        <v>808.23</v>
      </c>
      <c r="F82" s="516">
        <v>809</v>
      </c>
      <c r="G82" s="566">
        <f t="shared" si="1"/>
        <v>-0.76999999999998181</v>
      </c>
    </row>
    <row r="83" spans="2:7">
      <c r="B83" s="139" t="s">
        <v>274</v>
      </c>
      <c r="C83" s="140" t="s">
        <v>1549</v>
      </c>
      <c r="D83" s="140" t="s">
        <v>75</v>
      </c>
      <c r="E83" s="634">
        <v>61563.79</v>
      </c>
      <c r="F83" s="516">
        <v>61564</v>
      </c>
      <c r="G83" s="566">
        <f t="shared" si="1"/>
        <v>-0.20999999999912689</v>
      </c>
    </row>
    <row r="84" spans="2:7">
      <c r="B84" s="139" t="s">
        <v>275</v>
      </c>
      <c r="C84" s="140" t="s">
        <v>1549</v>
      </c>
      <c r="D84" s="140" t="s">
        <v>77</v>
      </c>
      <c r="E84" s="634">
        <v>37416.22</v>
      </c>
      <c r="F84" s="516">
        <v>37416</v>
      </c>
      <c r="G84" s="566">
        <f t="shared" si="1"/>
        <v>0.22000000000116415</v>
      </c>
    </row>
    <row r="85" spans="2:7">
      <c r="B85" s="139" t="s">
        <v>276</v>
      </c>
      <c r="C85" s="140" t="s">
        <v>1549</v>
      </c>
      <c r="D85" s="140" t="s">
        <v>60</v>
      </c>
      <c r="E85" s="634">
        <v>5011.25</v>
      </c>
      <c r="F85" s="516">
        <v>5012</v>
      </c>
      <c r="G85" s="566">
        <f t="shared" si="1"/>
        <v>-0.75</v>
      </c>
    </row>
    <row r="86" spans="2:7">
      <c r="B86" s="139" t="s">
        <v>2702</v>
      </c>
      <c r="C86" s="140"/>
      <c r="D86" s="140"/>
      <c r="E86" s="634">
        <v>17142.38</v>
      </c>
      <c r="F86" s="516">
        <v>17143</v>
      </c>
      <c r="G86" s="566">
        <f t="shared" si="1"/>
        <v>-0.61999999999898137</v>
      </c>
    </row>
    <row r="87" spans="2:7">
      <c r="B87" s="139" t="s">
        <v>277</v>
      </c>
      <c r="C87" s="140" t="s">
        <v>1549</v>
      </c>
      <c r="D87" s="140" t="s">
        <v>575</v>
      </c>
      <c r="E87" s="634">
        <v>0</v>
      </c>
      <c r="F87" s="516">
        <v>0</v>
      </c>
      <c r="G87" s="566">
        <f t="shared" si="1"/>
        <v>0</v>
      </c>
    </row>
    <row r="88" spans="2:7">
      <c r="B88" s="139" t="s">
        <v>278</v>
      </c>
      <c r="C88" s="140" t="s">
        <v>1549</v>
      </c>
      <c r="D88" s="140" t="s">
        <v>590</v>
      </c>
      <c r="E88" s="634">
        <v>9820.4500000000007</v>
      </c>
      <c r="F88" s="516">
        <v>9821</v>
      </c>
      <c r="G88" s="566">
        <f t="shared" si="1"/>
        <v>-0.5499999999992724</v>
      </c>
    </row>
    <row r="89" spans="2:7">
      <c r="B89" s="139" t="s">
        <v>279</v>
      </c>
      <c r="C89" s="140" t="s">
        <v>1549</v>
      </c>
      <c r="D89" s="140" t="s">
        <v>590</v>
      </c>
      <c r="E89" s="634">
        <v>1122.1300000000001</v>
      </c>
      <c r="F89" s="516">
        <v>1122</v>
      </c>
      <c r="G89" s="566">
        <f t="shared" si="1"/>
        <v>0.13000000000010914</v>
      </c>
    </row>
    <row r="90" spans="2:7">
      <c r="B90" s="139" t="s">
        <v>280</v>
      </c>
      <c r="C90" s="140" t="s">
        <v>1549</v>
      </c>
      <c r="D90" s="140" t="s">
        <v>590</v>
      </c>
      <c r="E90" s="634">
        <v>532.27</v>
      </c>
      <c r="F90" s="516">
        <v>533</v>
      </c>
      <c r="G90" s="566">
        <f t="shared" si="1"/>
        <v>-0.73000000000001819</v>
      </c>
    </row>
    <row r="91" spans="2:7">
      <c r="B91" s="139" t="s">
        <v>281</v>
      </c>
      <c r="C91" s="140" t="s">
        <v>1549</v>
      </c>
      <c r="D91" s="140" t="s">
        <v>1807</v>
      </c>
      <c r="E91" s="634">
        <v>32.58</v>
      </c>
      <c r="F91" s="516">
        <v>33</v>
      </c>
      <c r="G91" s="566">
        <f t="shared" si="1"/>
        <v>-0.42000000000000171</v>
      </c>
    </row>
    <row r="92" spans="2:7">
      <c r="B92" s="139" t="s">
        <v>286</v>
      </c>
      <c r="C92" s="140" t="s">
        <v>1549</v>
      </c>
      <c r="D92" s="140" t="s">
        <v>75</v>
      </c>
      <c r="E92" s="634">
        <v>172413.24</v>
      </c>
      <c r="F92" s="516">
        <v>172413</v>
      </c>
      <c r="G92" s="566">
        <f t="shared" si="1"/>
        <v>0.23999999999068677</v>
      </c>
    </row>
    <row r="93" spans="2:7">
      <c r="B93" s="139" t="s">
        <v>287</v>
      </c>
      <c r="C93" s="140" t="s">
        <v>1549</v>
      </c>
      <c r="D93" s="140" t="s">
        <v>77</v>
      </c>
      <c r="E93" s="634">
        <v>0</v>
      </c>
      <c r="F93" s="516">
        <v>0</v>
      </c>
      <c r="G93" s="566">
        <f t="shared" si="1"/>
        <v>0</v>
      </c>
    </row>
    <row r="94" spans="2:7">
      <c r="B94" s="139" t="s">
        <v>288</v>
      </c>
      <c r="C94" s="140" t="s">
        <v>1549</v>
      </c>
      <c r="D94" s="140" t="s">
        <v>60</v>
      </c>
      <c r="E94" s="634">
        <v>14049.9</v>
      </c>
      <c r="F94" s="516">
        <v>14049</v>
      </c>
      <c r="G94" s="566">
        <f t="shared" si="1"/>
        <v>0.8999999999996362</v>
      </c>
    </row>
    <row r="95" spans="2:7">
      <c r="B95" s="139" t="s">
        <v>289</v>
      </c>
      <c r="C95" s="140" t="s">
        <v>1549</v>
      </c>
      <c r="D95" s="140" t="s">
        <v>767</v>
      </c>
      <c r="E95" s="634">
        <v>0</v>
      </c>
      <c r="F95" s="516">
        <v>0</v>
      </c>
      <c r="G95" s="566">
        <f t="shared" si="1"/>
        <v>0</v>
      </c>
    </row>
    <row r="96" spans="2:7">
      <c r="B96" s="139" t="s">
        <v>290</v>
      </c>
      <c r="C96" s="140" t="s">
        <v>1549</v>
      </c>
      <c r="D96" s="140" t="s">
        <v>84</v>
      </c>
      <c r="E96" s="634">
        <v>47668.06</v>
      </c>
      <c r="F96" s="516">
        <v>47668</v>
      </c>
      <c r="G96" s="566">
        <f t="shared" si="1"/>
        <v>5.9999999997671694E-2</v>
      </c>
    </row>
    <row r="97" spans="2:7">
      <c r="B97" s="139" t="s">
        <v>291</v>
      </c>
      <c r="C97" s="140" t="s">
        <v>1549</v>
      </c>
      <c r="D97" s="140" t="s">
        <v>575</v>
      </c>
      <c r="E97" s="634">
        <v>10929.6</v>
      </c>
      <c r="F97" s="516">
        <v>10930</v>
      </c>
      <c r="G97" s="566">
        <f t="shared" si="1"/>
        <v>-0.3999999999996362</v>
      </c>
    </row>
    <row r="98" spans="2:7">
      <c r="B98" s="139" t="s">
        <v>292</v>
      </c>
      <c r="C98" s="140" t="s">
        <v>1549</v>
      </c>
      <c r="D98" s="140" t="s">
        <v>575</v>
      </c>
      <c r="E98" s="634">
        <v>37091.75</v>
      </c>
      <c r="F98" s="516">
        <v>37091</v>
      </c>
      <c r="G98" s="566">
        <f t="shared" si="1"/>
        <v>0.75</v>
      </c>
    </row>
    <row r="99" spans="2:7">
      <c r="B99" s="139" t="s">
        <v>293</v>
      </c>
      <c r="C99" s="140" t="s">
        <v>1549</v>
      </c>
      <c r="D99" s="140" t="s">
        <v>575</v>
      </c>
      <c r="E99" s="634">
        <v>1497.36</v>
      </c>
      <c r="F99" s="516">
        <v>1498</v>
      </c>
      <c r="G99" s="566">
        <f t="shared" si="1"/>
        <v>-0.64000000000010004</v>
      </c>
    </row>
    <row r="100" spans="2:7">
      <c r="B100" s="139" t="s">
        <v>294</v>
      </c>
      <c r="C100" s="140" t="s">
        <v>1549</v>
      </c>
      <c r="D100" s="140" t="s">
        <v>575</v>
      </c>
      <c r="E100" s="634">
        <v>2542.4299999999998</v>
      </c>
      <c r="F100" s="516">
        <v>2543</v>
      </c>
      <c r="G100" s="566">
        <f t="shared" si="1"/>
        <v>-0.57000000000016371</v>
      </c>
    </row>
    <row r="101" spans="2:7">
      <c r="B101" s="139" t="s">
        <v>1139</v>
      </c>
      <c r="C101" s="140" t="s">
        <v>1549</v>
      </c>
      <c r="D101" s="140" t="s">
        <v>1807</v>
      </c>
      <c r="E101" s="634">
        <v>45</v>
      </c>
      <c r="F101" s="516">
        <v>45</v>
      </c>
      <c r="G101" s="566">
        <f t="shared" si="1"/>
        <v>0</v>
      </c>
    </row>
    <row r="102" spans="2:7">
      <c r="B102" s="139" t="s">
        <v>1154</v>
      </c>
      <c r="C102" s="140" t="s">
        <v>1549</v>
      </c>
      <c r="D102" s="140" t="s">
        <v>75</v>
      </c>
      <c r="E102" s="139">
        <v>0</v>
      </c>
      <c r="F102" s="516">
        <v>0</v>
      </c>
      <c r="G102" s="566">
        <f t="shared" si="1"/>
        <v>0</v>
      </c>
    </row>
    <row r="103" spans="2:7">
      <c r="B103" s="139" t="s">
        <v>1155</v>
      </c>
      <c r="C103" s="140" t="s">
        <v>1549</v>
      </c>
      <c r="D103" s="140" t="s">
        <v>60</v>
      </c>
      <c r="E103" s="139">
        <v>0</v>
      </c>
      <c r="F103" s="516">
        <v>0</v>
      </c>
      <c r="G103" s="566">
        <f t="shared" si="1"/>
        <v>0</v>
      </c>
    </row>
    <row r="104" spans="2:7">
      <c r="B104" s="139" t="s">
        <v>1156</v>
      </c>
      <c r="C104" s="140" t="s">
        <v>1549</v>
      </c>
      <c r="D104" s="140" t="s">
        <v>515</v>
      </c>
      <c r="E104" s="139">
        <v>0</v>
      </c>
      <c r="F104" s="516">
        <v>0</v>
      </c>
      <c r="G104" s="566">
        <f t="shared" si="1"/>
        <v>0</v>
      </c>
    </row>
    <row r="105" spans="2:7">
      <c r="B105" s="139" t="s">
        <v>1157</v>
      </c>
      <c r="C105" s="140" t="s">
        <v>1549</v>
      </c>
      <c r="D105" s="140" t="s">
        <v>660</v>
      </c>
      <c r="E105" s="139">
        <v>0</v>
      </c>
      <c r="F105" s="516">
        <v>0</v>
      </c>
      <c r="G105" s="566">
        <f t="shared" si="1"/>
        <v>0</v>
      </c>
    </row>
    <row r="106" spans="2:7">
      <c r="B106" s="139" t="s">
        <v>1158</v>
      </c>
      <c r="C106" s="140" t="s">
        <v>1549</v>
      </c>
      <c r="D106" s="140" t="s">
        <v>767</v>
      </c>
      <c r="E106" s="139">
        <v>0</v>
      </c>
      <c r="F106" s="516">
        <v>0</v>
      </c>
      <c r="G106" s="566">
        <f t="shared" si="1"/>
        <v>0</v>
      </c>
    </row>
    <row r="107" spans="2:7">
      <c r="B107" s="139" t="s">
        <v>1159</v>
      </c>
      <c r="C107" s="140" t="s">
        <v>1549</v>
      </c>
      <c r="D107" s="140" t="s">
        <v>84</v>
      </c>
      <c r="E107" s="139">
        <v>0</v>
      </c>
      <c r="F107" s="516">
        <v>0</v>
      </c>
      <c r="G107" s="566">
        <f t="shared" si="1"/>
        <v>0</v>
      </c>
    </row>
    <row r="108" spans="2:7">
      <c r="B108" s="139" t="s">
        <v>1160</v>
      </c>
      <c r="C108" s="140" t="s">
        <v>1549</v>
      </c>
      <c r="D108" s="140" t="s">
        <v>590</v>
      </c>
      <c r="E108" s="139">
        <v>0</v>
      </c>
      <c r="F108" s="516">
        <v>0</v>
      </c>
      <c r="G108" s="566">
        <f t="shared" si="1"/>
        <v>0</v>
      </c>
    </row>
    <row r="109" spans="2:7">
      <c r="B109" s="139" t="s">
        <v>1161</v>
      </c>
      <c r="C109" s="140" t="s">
        <v>1549</v>
      </c>
      <c r="D109" s="140" t="s">
        <v>590</v>
      </c>
      <c r="E109" s="139">
        <v>0</v>
      </c>
      <c r="F109" s="516">
        <v>0</v>
      </c>
      <c r="G109" s="566">
        <f t="shared" si="1"/>
        <v>0</v>
      </c>
    </row>
    <row r="110" spans="2:7">
      <c r="B110" s="139" t="s">
        <v>1162</v>
      </c>
      <c r="C110" s="140" t="s">
        <v>1549</v>
      </c>
      <c r="D110" s="140" t="s">
        <v>590</v>
      </c>
      <c r="E110" s="139">
        <v>0</v>
      </c>
      <c r="F110" s="516">
        <v>0</v>
      </c>
      <c r="G110" s="566">
        <f t="shared" si="1"/>
        <v>0</v>
      </c>
    </row>
    <row r="111" spans="2:7">
      <c r="B111" s="139" t="s">
        <v>1306</v>
      </c>
      <c r="C111" s="140" t="s">
        <v>1549</v>
      </c>
      <c r="D111" s="140" t="s">
        <v>575</v>
      </c>
      <c r="E111" s="139">
        <v>0</v>
      </c>
      <c r="F111" s="516">
        <v>0</v>
      </c>
      <c r="G111" s="566">
        <f t="shared" si="1"/>
        <v>0</v>
      </c>
    </row>
    <row r="112" spans="2:7">
      <c r="B112" s="139" t="s">
        <v>1307</v>
      </c>
      <c r="C112" s="140" t="s">
        <v>1549</v>
      </c>
      <c r="D112" s="140" t="s">
        <v>1807</v>
      </c>
      <c r="E112" s="139">
        <v>0</v>
      </c>
      <c r="F112" s="516">
        <v>0</v>
      </c>
      <c r="G112" s="566">
        <f t="shared" si="1"/>
        <v>0</v>
      </c>
    </row>
    <row r="113" spans="2:7">
      <c r="B113" s="139" t="s">
        <v>1343</v>
      </c>
      <c r="C113" s="140" t="s">
        <v>1549</v>
      </c>
      <c r="D113" s="140" t="s">
        <v>75</v>
      </c>
      <c r="E113" s="634">
        <v>1544001.96</v>
      </c>
      <c r="F113" s="516">
        <v>1544002</v>
      </c>
      <c r="G113" s="566">
        <f t="shared" si="1"/>
        <v>-4.0000000037252903E-2</v>
      </c>
    </row>
    <row r="114" spans="2:7">
      <c r="B114" s="139" t="s">
        <v>1344</v>
      </c>
      <c r="C114" s="140" t="s">
        <v>1549</v>
      </c>
      <c r="D114" s="140" t="s">
        <v>77</v>
      </c>
      <c r="E114" s="634">
        <v>360589.21</v>
      </c>
      <c r="F114" s="516">
        <v>360589</v>
      </c>
      <c r="G114" s="566">
        <f t="shared" si="1"/>
        <v>0.21000000002095476</v>
      </c>
    </row>
    <row r="115" spans="2:7">
      <c r="B115" s="139" t="s">
        <v>1345</v>
      </c>
      <c r="C115" s="140" t="s">
        <v>1549</v>
      </c>
      <c r="D115" s="140" t="s">
        <v>60</v>
      </c>
      <c r="E115" s="634">
        <v>132661.6</v>
      </c>
      <c r="F115" s="516">
        <v>132662</v>
      </c>
      <c r="G115" s="566">
        <f t="shared" si="1"/>
        <v>-0.39999999999417923</v>
      </c>
    </row>
    <row r="116" spans="2:7">
      <c r="B116" s="139" t="s">
        <v>1346</v>
      </c>
      <c r="C116" s="140" t="s">
        <v>1549</v>
      </c>
      <c r="D116" s="140" t="s">
        <v>515</v>
      </c>
      <c r="E116" s="634">
        <v>13621.57</v>
      </c>
      <c r="F116" s="516">
        <v>13621</v>
      </c>
      <c r="G116" s="566">
        <f t="shared" si="1"/>
        <v>0.56999999999970896</v>
      </c>
    </row>
    <row r="117" spans="2:7">
      <c r="B117" s="139" t="s">
        <v>1347</v>
      </c>
      <c r="C117" s="140" t="s">
        <v>1549</v>
      </c>
      <c r="D117" s="140" t="s">
        <v>660</v>
      </c>
      <c r="E117" s="634">
        <v>0</v>
      </c>
      <c r="F117" s="516">
        <v>0</v>
      </c>
      <c r="G117" s="566">
        <f t="shared" si="1"/>
        <v>0</v>
      </c>
    </row>
    <row r="118" spans="2:7">
      <c r="B118" s="139" t="s">
        <v>1348</v>
      </c>
      <c r="C118" s="140" t="s">
        <v>1549</v>
      </c>
      <c r="D118" s="140" t="s">
        <v>767</v>
      </c>
      <c r="E118" s="634">
        <v>0</v>
      </c>
      <c r="F118" s="516">
        <v>0</v>
      </c>
      <c r="G118" s="566">
        <f t="shared" si="1"/>
        <v>0</v>
      </c>
    </row>
    <row r="119" spans="2:7">
      <c r="B119" s="139" t="s">
        <v>3470</v>
      </c>
      <c r="C119" s="140"/>
      <c r="D119" s="140"/>
      <c r="E119" s="634">
        <v>1260.8</v>
      </c>
      <c r="F119" s="516">
        <v>1260</v>
      </c>
      <c r="G119" s="566">
        <f t="shared" si="1"/>
        <v>0.79999999999995453</v>
      </c>
    </row>
    <row r="120" spans="2:7">
      <c r="B120" s="139" t="s">
        <v>1349</v>
      </c>
      <c r="C120" s="140" t="s">
        <v>1549</v>
      </c>
      <c r="D120" s="140" t="s">
        <v>575</v>
      </c>
      <c r="E120" s="634">
        <v>0</v>
      </c>
      <c r="F120" s="516">
        <v>0</v>
      </c>
      <c r="G120" s="566">
        <f t="shared" si="1"/>
        <v>0</v>
      </c>
    </row>
    <row r="121" spans="2:7">
      <c r="B121" s="139" t="s">
        <v>1350</v>
      </c>
      <c r="C121" s="140" t="s">
        <v>1549</v>
      </c>
      <c r="D121" s="140" t="s">
        <v>590</v>
      </c>
      <c r="E121" s="634">
        <v>339329.58</v>
      </c>
      <c r="F121" s="516">
        <v>339330</v>
      </c>
      <c r="G121" s="566">
        <f t="shared" si="1"/>
        <v>-0.41999999998370185</v>
      </c>
    </row>
    <row r="122" spans="2:7">
      <c r="B122" s="139" t="s">
        <v>1351</v>
      </c>
      <c r="C122" s="140" t="s">
        <v>1549</v>
      </c>
      <c r="D122" s="140" t="s">
        <v>590</v>
      </c>
      <c r="E122" s="634">
        <v>20180.32</v>
      </c>
      <c r="F122" s="516">
        <v>20180</v>
      </c>
      <c r="G122" s="566">
        <f t="shared" si="1"/>
        <v>0.31999999999970896</v>
      </c>
    </row>
    <row r="123" spans="2:7">
      <c r="B123" s="139" t="s">
        <v>1352</v>
      </c>
      <c r="C123" s="140" t="s">
        <v>1549</v>
      </c>
      <c r="D123" s="140" t="s">
        <v>575</v>
      </c>
      <c r="E123" s="634">
        <v>7212.02</v>
      </c>
      <c r="F123" s="516">
        <v>7213</v>
      </c>
      <c r="G123" s="566">
        <f t="shared" si="1"/>
        <v>-0.97999999999956344</v>
      </c>
    </row>
    <row r="124" spans="2:7">
      <c r="B124" s="139" t="s">
        <v>1353</v>
      </c>
      <c r="C124" s="140" t="s">
        <v>1549</v>
      </c>
      <c r="D124" s="140" t="s">
        <v>1807</v>
      </c>
      <c r="E124" s="634">
        <v>1421.25</v>
      </c>
      <c r="F124" s="516">
        <v>1421</v>
      </c>
      <c r="G124" s="566">
        <f t="shared" si="1"/>
        <v>0.25</v>
      </c>
    </row>
    <row r="125" spans="2:7">
      <c r="B125" s="139" t="s">
        <v>1369</v>
      </c>
      <c r="C125" s="140" t="s">
        <v>1549</v>
      </c>
      <c r="D125" s="140" t="s">
        <v>75</v>
      </c>
      <c r="E125" s="634">
        <v>135026.79999999999</v>
      </c>
      <c r="F125" s="516">
        <v>135027</v>
      </c>
      <c r="G125" s="566">
        <f t="shared" si="1"/>
        <v>-0.20000000001164153</v>
      </c>
    </row>
    <row r="126" spans="2:7">
      <c r="B126" s="139" t="s">
        <v>1370</v>
      </c>
      <c r="C126" s="140" t="s">
        <v>1549</v>
      </c>
      <c r="D126" s="140" t="s">
        <v>77</v>
      </c>
      <c r="E126" s="634">
        <v>13840.2</v>
      </c>
      <c r="F126" s="516">
        <v>13840</v>
      </c>
      <c r="G126" s="566">
        <f t="shared" si="1"/>
        <v>0.2000000000007276</v>
      </c>
    </row>
    <row r="127" spans="2:7">
      <c r="B127" s="139" t="s">
        <v>1371</v>
      </c>
      <c r="C127" s="140" t="s">
        <v>1549</v>
      </c>
      <c r="D127" s="140" t="s">
        <v>60</v>
      </c>
      <c r="E127" s="634">
        <v>11889.65</v>
      </c>
      <c r="F127" s="516">
        <v>11890</v>
      </c>
      <c r="G127" s="566">
        <f t="shared" si="1"/>
        <v>-0.3500000000003638</v>
      </c>
    </row>
    <row r="128" spans="2:7">
      <c r="B128" s="139" t="s">
        <v>1372</v>
      </c>
      <c r="C128" s="140" t="s">
        <v>1549</v>
      </c>
      <c r="D128" s="140" t="s">
        <v>575</v>
      </c>
      <c r="E128" s="634">
        <v>0</v>
      </c>
      <c r="F128" s="516">
        <v>0</v>
      </c>
      <c r="G128" s="566">
        <f t="shared" si="1"/>
        <v>0</v>
      </c>
    </row>
    <row r="129" spans="2:7">
      <c r="B129" s="139" t="s">
        <v>1373</v>
      </c>
      <c r="C129" s="140" t="s">
        <v>1549</v>
      </c>
      <c r="D129" s="140" t="s">
        <v>590</v>
      </c>
      <c r="E129" s="634">
        <v>28312.21</v>
      </c>
      <c r="F129" s="516">
        <v>28313</v>
      </c>
      <c r="G129" s="566">
        <f t="shared" si="1"/>
        <v>-0.79000000000087311</v>
      </c>
    </row>
    <row r="130" spans="2:7">
      <c r="B130" s="139" t="s">
        <v>1374</v>
      </c>
      <c r="C130" s="140" t="s">
        <v>1549</v>
      </c>
      <c r="D130" s="140" t="s">
        <v>590</v>
      </c>
      <c r="E130" s="634">
        <v>1681.24</v>
      </c>
      <c r="F130" s="516">
        <v>1682</v>
      </c>
      <c r="G130" s="566">
        <f t="shared" si="1"/>
        <v>-0.75999999999999091</v>
      </c>
    </row>
    <row r="131" spans="2:7">
      <c r="B131" s="139" t="s">
        <v>1375</v>
      </c>
      <c r="C131" s="140" t="s">
        <v>1549</v>
      </c>
      <c r="D131" s="140" t="s">
        <v>590</v>
      </c>
      <c r="E131" s="634">
        <v>0</v>
      </c>
      <c r="F131" s="516">
        <v>0</v>
      </c>
      <c r="G131" s="566">
        <f t="shared" si="1"/>
        <v>0</v>
      </c>
    </row>
    <row r="132" spans="2:7">
      <c r="B132" s="139" t="s">
        <v>1376</v>
      </c>
      <c r="C132" s="140" t="s">
        <v>1549</v>
      </c>
      <c r="D132" s="140" t="s">
        <v>1807</v>
      </c>
      <c r="E132" s="634">
        <v>135</v>
      </c>
      <c r="F132" s="516">
        <v>135</v>
      </c>
      <c r="G132" s="566">
        <f t="shared" ref="G132:G195" si="2">E132-F132</f>
        <v>0</v>
      </c>
    </row>
    <row r="133" spans="2:7">
      <c r="B133" s="139" t="s">
        <v>1391</v>
      </c>
      <c r="C133" s="140" t="s">
        <v>1549</v>
      </c>
      <c r="D133" s="140" t="s">
        <v>75</v>
      </c>
      <c r="E133" s="634">
        <v>1644066.12</v>
      </c>
      <c r="F133" s="516">
        <v>1644067</v>
      </c>
      <c r="G133" s="566">
        <f t="shared" si="2"/>
        <v>-0.87999999988824129</v>
      </c>
    </row>
    <row r="134" spans="2:7">
      <c r="B134" s="139" t="s">
        <v>1392</v>
      </c>
      <c r="C134" s="140" t="s">
        <v>1549</v>
      </c>
      <c r="D134" s="140" t="s">
        <v>77</v>
      </c>
      <c r="E134" s="634">
        <v>518160.92</v>
      </c>
      <c r="F134" s="516">
        <v>518160</v>
      </c>
      <c r="G134" s="566">
        <f t="shared" si="2"/>
        <v>0.91999999998370185</v>
      </c>
    </row>
    <row r="135" spans="2:7">
      <c r="B135" s="139" t="s">
        <v>1393</v>
      </c>
      <c r="C135" s="140" t="s">
        <v>1549</v>
      </c>
      <c r="D135" s="140" t="s">
        <v>60</v>
      </c>
      <c r="E135" s="634">
        <v>143052.15</v>
      </c>
      <c r="F135" s="516">
        <v>143053</v>
      </c>
      <c r="G135" s="566">
        <f t="shared" si="2"/>
        <v>-0.85000000000582077</v>
      </c>
    </row>
    <row r="136" spans="2:7">
      <c r="B136" s="139" t="s">
        <v>1394</v>
      </c>
      <c r="C136" s="140" t="s">
        <v>1549</v>
      </c>
      <c r="D136" s="140" t="s">
        <v>1395</v>
      </c>
      <c r="E136" s="634">
        <v>0</v>
      </c>
      <c r="F136" s="516">
        <v>0</v>
      </c>
      <c r="G136" s="566">
        <f t="shared" si="2"/>
        <v>0</v>
      </c>
    </row>
    <row r="137" spans="2:7">
      <c r="B137" s="139" t="s">
        <v>1396</v>
      </c>
      <c r="C137" s="140" t="s">
        <v>1549</v>
      </c>
      <c r="D137" s="140" t="s">
        <v>515</v>
      </c>
      <c r="E137" s="634">
        <v>0</v>
      </c>
      <c r="F137" s="516">
        <v>0</v>
      </c>
      <c r="G137" s="566">
        <f t="shared" si="2"/>
        <v>0</v>
      </c>
    </row>
    <row r="138" spans="2:7">
      <c r="B138" s="139" t="s">
        <v>1397</v>
      </c>
      <c r="C138" s="140" t="s">
        <v>1549</v>
      </c>
      <c r="D138" s="140" t="s">
        <v>660</v>
      </c>
      <c r="E138" s="634">
        <v>0</v>
      </c>
      <c r="F138" s="516">
        <v>0</v>
      </c>
      <c r="G138" s="566">
        <f t="shared" si="2"/>
        <v>0</v>
      </c>
    </row>
    <row r="139" spans="2:7">
      <c r="B139" s="139" t="s">
        <v>1398</v>
      </c>
      <c r="C139" s="140" t="s">
        <v>1549</v>
      </c>
      <c r="D139" s="140" t="s">
        <v>767</v>
      </c>
      <c r="E139" s="634">
        <v>0</v>
      </c>
      <c r="F139" s="516">
        <v>0</v>
      </c>
      <c r="G139" s="566">
        <f t="shared" si="2"/>
        <v>0</v>
      </c>
    </row>
    <row r="140" spans="2:7">
      <c r="B140" s="139" t="s">
        <v>1399</v>
      </c>
      <c r="C140" s="140" t="s">
        <v>1549</v>
      </c>
      <c r="D140" s="140" t="s">
        <v>590</v>
      </c>
      <c r="E140" s="634">
        <v>3755.4</v>
      </c>
      <c r="F140" s="516">
        <v>3756</v>
      </c>
      <c r="G140" s="566">
        <f t="shared" si="2"/>
        <v>-0.59999999999990905</v>
      </c>
    </row>
    <row r="141" spans="2:7">
      <c r="B141" s="139" t="s">
        <v>1400</v>
      </c>
      <c r="C141" s="140" t="s">
        <v>1549</v>
      </c>
      <c r="D141" s="140" t="s">
        <v>590</v>
      </c>
      <c r="E141" s="634">
        <v>361517.35</v>
      </c>
      <c r="F141" s="516">
        <v>361518</v>
      </c>
      <c r="G141" s="566">
        <f t="shared" si="2"/>
        <v>-0.65000000002328306</v>
      </c>
    </row>
    <row r="142" spans="2:7">
      <c r="B142" s="139" t="s">
        <v>1401</v>
      </c>
      <c r="C142" s="140" t="s">
        <v>1549</v>
      </c>
      <c r="D142" s="140" t="s">
        <v>590</v>
      </c>
      <c r="E142" s="634">
        <v>23729.65</v>
      </c>
      <c r="F142" s="516">
        <v>23729</v>
      </c>
      <c r="G142" s="566">
        <f t="shared" si="2"/>
        <v>0.65000000000145519</v>
      </c>
    </row>
    <row r="143" spans="2:7">
      <c r="B143" s="139" t="s">
        <v>1402</v>
      </c>
      <c r="C143" s="140" t="s">
        <v>1549</v>
      </c>
      <c r="D143" s="140" t="s">
        <v>590</v>
      </c>
      <c r="E143" s="634">
        <v>7718.37</v>
      </c>
      <c r="F143" s="516">
        <v>7719</v>
      </c>
      <c r="G143" s="566">
        <f t="shared" si="2"/>
        <v>-0.63000000000010914</v>
      </c>
    </row>
    <row r="144" spans="2:7">
      <c r="B144" s="139" t="s">
        <v>1403</v>
      </c>
      <c r="C144" s="140" t="s">
        <v>1549</v>
      </c>
      <c r="D144" s="140" t="s">
        <v>1807</v>
      </c>
      <c r="E144" s="634">
        <v>1567.5</v>
      </c>
      <c r="F144" s="516">
        <v>1568</v>
      </c>
      <c r="G144" s="566">
        <f t="shared" si="2"/>
        <v>-0.5</v>
      </c>
    </row>
    <row r="145" spans="2:7">
      <c r="B145" s="139" t="s">
        <v>1182</v>
      </c>
      <c r="C145" s="140" t="s">
        <v>1549</v>
      </c>
      <c r="D145" s="140" t="s">
        <v>75</v>
      </c>
      <c r="E145" s="634">
        <v>547393.18999999994</v>
      </c>
      <c r="F145" s="516">
        <v>547394</v>
      </c>
      <c r="G145" s="566">
        <f t="shared" si="2"/>
        <v>-0.81000000005587935</v>
      </c>
    </row>
    <row r="146" spans="2:7">
      <c r="B146" s="139" t="s">
        <v>1183</v>
      </c>
      <c r="C146" s="140" t="s">
        <v>1549</v>
      </c>
      <c r="D146" s="140" t="s">
        <v>77</v>
      </c>
      <c r="E146" s="634">
        <v>2754.34</v>
      </c>
      <c r="F146" s="516">
        <v>2755</v>
      </c>
      <c r="G146" s="566">
        <f t="shared" si="2"/>
        <v>-0.65999999999985448</v>
      </c>
    </row>
    <row r="147" spans="2:7">
      <c r="B147" s="139" t="s">
        <v>1184</v>
      </c>
      <c r="C147" s="140" t="s">
        <v>1549</v>
      </c>
      <c r="D147" s="140" t="s">
        <v>60</v>
      </c>
      <c r="E147" s="634">
        <v>51951.23</v>
      </c>
      <c r="F147" s="516">
        <v>51951</v>
      </c>
      <c r="G147" s="566">
        <f t="shared" si="2"/>
        <v>0.23000000000320142</v>
      </c>
    </row>
    <row r="148" spans="2:7">
      <c r="B148" s="139" t="s">
        <v>1185</v>
      </c>
      <c r="C148" s="140" t="s">
        <v>1549</v>
      </c>
      <c r="D148" s="140" t="s">
        <v>515</v>
      </c>
      <c r="E148" s="634">
        <v>31715.599999999999</v>
      </c>
      <c r="F148" s="516">
        <v>31716</v>
      </c>
      <c r="G148" s="566">
        <f t="shared" si="2"/>
        <v>-0.40000000000145519</v>
      </c>
    </row>
    <row r="149" spans="2:7">
      <c r="B149" s="139" t="s">
        <v>1186</v>
      </c>
      <c r="C149" s="140" t="s">
        <v>1549</v>
      </c>
      <c r="D149" s="140" t="s">
        <v>660</v>
      </c>
      <c r="E149" s="634">
        <v>0</v>
      </c>
      <c r="F149" s="516">
        <v>0</v>
      </c>
      <c r="G149" s="566">
        <f t="shared" si="2"/>
        <v>0</v>
      </c>
    </row>
    <row r="150" spans="2:7">
      <c r="B150" s="139" t="s">
        <v>1187</v>
      </c>
      <c r="C150" s="140" t="s">
        <v>1549</v>
      </c>
      <c r="D150" s="140" t="s">
        <v>767</v>
      </c>
      <c r="E150" s="634">
        <v>6867</v>
      </c>
      <c r="F150" s="516">
        <v>6867</v>
      </c>
      <c r="G150" s="566">
        <f t="shared" si="2"/>
        <v>0</v>
      </c>
    </row>
    <row r="151" spans="2:7">
      <c r="B151" s="139" t="s">
        <v>1188</v>
      </c>
      <c r="C151" s="140" t="s">
        <v>1549</v>
      </c>
      <c r="D151" s="140" t="s">
        <v>84</v>
      </c>
      <c r="E151" s="634">
        <v>181259.48</v>
      </c>
      <c r="F151" s="516">
        <v>181260</v>
      </c>
      <c r="G151" s="566">
        <f t="shared" si="2"/>
        <v>-0.51999999998952262</v>
      </c>
    </row>
    <row r="152" spans="2:7">
      <c r="B152" s="139" t="s">
        <v>3473</v>
      </c>
      <c r="C152" s="140"/>
      <c r="D152" s="140"/>
      <c r="E152" s="634">
        <v>1306.25</v>
      </c>
      <c r="F152" s="516">
        <v>1306</v>
      </c>
      <c r="G152" s="566">
        <f t="shared" si="2"/>
        <v>0.25</v>
      </c>
    </row>
    <row r="153" spans="2:7">
      <c r="B153" s="139" t="s">
        <v>2542</v>
      </c>
      <c r="C153" s="140" t="s">
        <v>1549</v>
      </c>
      <c r="D153" s="140" t="s">
        <v>590</v>
      </c>
      <c r="E153" s="634">
        <v>59591.35</v>
      </c>
      <c r="F153" s="516">
        <v>59592</v>
      </c>
      <c r="G153" s="566">
        <f t="shared" si="2"/>
        <v>-0.65000000000145519</v>
      </c>
    </row>
    <row r="154" spans="2:7">
      <c r="B154" s="139" t="s">
        <v>2543</v>
      </c>
      <c r="C154" s="140" t="s">
        <v>1549</v>
      </c>
      <c r="D154" s="140" t="s">
        <v>590</v>
      </c>
      <c r="E154" s="634">
        <v>73418.05</v>
      </c>
      <c r="F154" s="516">
        <v>73419</v>
      </c>
      <c r="G154" s="566">
        <f t="shared" si="2"/>
        <v>-0.94999999999708962</v>
      </c>
    </row>
    <row r="155" spans="2:7">
      <c r="B155" s="139" t="s">
        <v>2544</v>
      </c>
      <c r="C155" s="140" t="s">
        <v>1549</v>
      </c>
      <c r="D155" s="140" t="s">
        <v>590</v>
      </c>
      <c r="E155" s="634">
        <v>715.32</v>
      </c>
      <c r="F155" s="516">
        <v>716</v>
      </c>
      <c r="G155" s="566">
        <f t="shared" si="2"/>
        <v>-0.67999999999994998</v>
      </c>
    </row>
    <row r="156" spans="2:7">
      <c r="B156" s="139" t="s">
        <v>2545</v>
      </c>
      <c r="C156" s="140" t="s">
        <v>1549</v>
      </c>
      <c r="D156" s="140" t="s">
        <v>590</v>
      </c>
      <c r="E156" s="634">
        <v>1165.75</v>
      </c>
      <c r="F156" s="516">
        <v>1166</v>
      </c>
      <c r="G156" s="566">
        <f t="shared" si="2"/>
        <v>-0.25</v>
      </c>
    </row>
    <row r="157" spans="2:7">
      <c r="B157" s="139" t="s">
        <v>2546</v>
      </c>
      <c r="C157" s="140" t="s">
        <v>1549</v>
      </c>
      <c r="D157" s="140" t="s">
        <v>1807</v>
      </c>
      <c r="E157" s="634">
        <v>142.74</v>
      </c>
      <c r="F157" s="516">
        <v>143</v>
      </c>
      <c r="G157" s="566">
        <f t="shared" si="2"/>
        <v>-0.25999999999999091</v>
      </c>
    </row>
    <row r="158" spans="2:7">
      <c r="B158" s="139" t="s">
        <v>2571</v>
      </c>
      <c r="C158" s="140" t="s">
        <v>1549</v>
      </c>
      <c r="D158" s="140" t="s">
        <v>75</v>
      </c>
      <c r="E158" s="634">
        <v>1843107.79</v>
      </c>
      <c r="F158" s="516">
        <v>1843108</v>
      </c>
      <c r="G158" s="566">
        <f t="shared" si="2"/>
        <v>-0.2099999999627471</v>
      </c>
    </row>
    <row r="159" spans="2:7">
      <c r="B159" s="139" t="s">
        <v>2572</v>
      </c>
      <c r="C159" s="140" t="s">
        <v>1549</v>
      </c>
      <c r="D159" s="140" t="s">
        <v>77</v>
      </c>
      <c r="E159" s="634">
        <v>580744.66</v>
      </c>
      <c r="F159" s="516">
        <v>580744</v>
      </c>
      <c r="G159" s="566">
        <f t="shared" si="2"/>
        <v>0.66000000003259629</v>
      </c>
    </row>
    <row r="160" spans="2:7">
      <c r="B160" s="139" t="s">
        <v>2573</v>
      </c>
      <c r="C160" s="140" t="s">
        <v>1549</v>
      </c>
      <c r="D160" s="140" t="s">
        <v>60</v>
      </c>
      <c r="E160" s="634">
        <v>159218.63</v>
      </c>
      <c r="F160" s="516">
        <v>159219</v>
      </c>
      <c r="G160" s="566">
        <f t="shared" si="2"/>
        <v>-0.36999999999534339</v>
      </c>
    </row>
    <row r="161" spans="2:7">
      <c r="B161" s="139" t="s">
        <v>2574</v>
      </c>
      <c r="C161" s="140" t="s">
        <v>1549</v>
      </c>
      <c r="D161" s="140" t="s">
        <v>1395</v>
      </c>
      <c r="E161" s="634">
        <v>54792.19</v>
      </c>
      <c r="F161" s="516">
        <v>54792</v>
      </c>
      <c r="G161" s="566">
        <f t="shared" si="2"/>
        <v>0.19000000000232831</v>
      </c>
    </row>
    <row r="162" spans="2:7">
      <c r="B162" s="139" t="s">
        <v>2575</v>
      </c>
      <c r="C162" s="140" t="s">
        <v>1549</v>
      </c>
      <c r="D162" s="140" t="s">
        <v>515</v>
      </c>
      <c r="E162" s="634">
        <v>28656.36</v>
      </c>
      <c r="F162" s="516">
        <v>28656</v>
      </c>
      <c r="G162" s="566">
        <f t="shared" si="2"/>
        <v>0.36000000000058208</v>
      </c>
    </row>
    <row r="163" spans="2:7">
      <c r="B163" s="139" t="s">
        <v>2576</v>
      </c>
      <c r="C163" s="140" t="s">
        <v>1549</v>
      </c>
      <c r="D163" s="140" t="s">
        <v>660</v>
      </c>
      <c r="E163" s="634">
        <v>0</v>
      </c>
      <c r="F163" s="516">
        <v>0</v>
      </c>
      <c r="G163" s="566">
        <f t="shared" si="2"/>
        <v>0</v>
      </c>
    </row>
    <row r="164" spans="2:7">
      <c r="B164" s="139" t="s">
        <v>2577</v>
      </c>
      <c r="C164" s="140" t="s">
        <v>1549</v>
      </c>
      <c r="D164" s="140" t="s">
        <v>767</v>
      </c>
      <c r="E164" s="634">
        <v>6867</v>
      </c>
      <c r="F164" s="516">
        <v>6867</v>
      </c>
      <c r="G164" s="566">
        <f t="shared" si="2"/>
        <v>0</v>
      </c>
    </row>
    <row r="165" spans="2:7">
      <c r="B165" s="139" t="s">
        <v>2578</v>
      </c>
      <c r="C165" s="140" t="s">
        <v>1549</v>
      </c>
      <c r="D165" s="140" t="s">
        <v>84</v>
      </c>
      <c r="E165" s="634">
        <v>60595.23</v>
      </c>
      <c r="F165" s="516">
        <v>60595</v>
      </c>
      <c r="G165" s="566">
        <f t="shared" si="2"/>
        <v>0.23000000000320142</v>
      </c>
    </row>
    <row r="166" spans="2:7">
      <c r="B166" s="139" t="s">
        <v>2579</v>
      </c>
      <c r="C166" s="140" t="s">
        <v>1549</v>
      </c>
      <c r="D166" s="140" t="s">
        <v>590</v>
      </c>
      <c r="E166" s="634">
        <v>22734</v>
      </c>
      <c r="F166" s="516">
        <v>22734</v>
      </c>
      <c r="G166" s="566">
        <f t="shared" si="2"/>
        <v>0</v>
      </c>
    </row>
    <row r="167" spans="2:7">
      <c r="B167" s="139" t="s">
        <v>2580</v>
      </c>
      <c r="C167" s="140" t="s">
        <v>1549</v>
      </c>
      <c r="D167" s="140" t="s">
        <v>590</v>
      </c>
      <c r="E167" s="634">
        <v>391637.48</v>
      </c>
      <c r="F167" s="516">
        <v>391638</v>
      </c>
      <c r="G167" s="566">
        <f t="shared" si="2"/>
        <v>-0.52000000001862645</v>
      </c>
    </row>
    <row r="168" spans="2:7">
      <c r="B168" s="139" t="s">
        <v>2581</v>
      </c>
      <c r="C168" s="140" t="s">
        <v>1549</v>
      </c>
      <c r="D168" s="140" t="s">
        <v>590</v>
      </c>
      <c r="E168" s="634">
        <v>25562.52</v>
      </c>
      <c r="F168" s="516">
        <v>25562</v>
      </c>
      <c r="G168" s="566">
        <f t="shared" si="2"/>
        <v>0.52000000000043656</v>
      </c>
    </row>
    <row r="169" spans="2:7">
      <c r="B169" s="139" t="s">
        <v>2582</v>
      </c>
      <c r="C169" s="140" t="s">
        <v>1549</v>
      </c>
      <c r="D169" s="140" t="s">
        <v>590</v>
      </c>
      <c r="E169" s="634">
        <v>6696.48</v>
      </c>
      <c r="F169" s="516">
        <v>6697</v>
      </c>
      <c r="G169" s="566">
        <f t="shared" si="2"/>
        <v>-0.52000000000043656</v>
      </c>
    </row>
    <row r="170" spans="2:7">
      <c r="B170" s="139" t="s">
        <v>2583</v>
      </c>
      <c r="C170" s="140" t="s">
        <v>1549</v>
      </c>
      <c r="D170" s="140" t="s">
        <v>1807</v>
      </c>
      <c r="E170" s="634">
        <v>1631.25</v>
      </c>
      <c r="F170" s="516">
        <v>1632</v>
      </c>
      <c r="G170" s="566">
        <f t="shared" si="2"/>
        <v>-0.75</v>
      </c>
    </row>
    <row r="171" spans="2:7">
      <c r="B171" s="139" t="s">
        <v>323</v>
      </c>
      <c r="C171" s="140" t="s">
        <v>1549</v>
      </c>
      <c r="D171" s="140" t="s">
        <v>75</v>
      </c>
      <c r="E171" s="634">
        <v>1540309.83</v>
      </c>
      <c r="F171" s="516">
        <v>1540309</v>
      </c>
      <c r="G171" s="566">
        <f t="shared" si="2"/>
        <v>0.83000000007450581</v>
      </c>
    </row>
    <row r="172" spans="2:7">
      <c r="B172" s="139" t="s">
        <v>324</v>
      </c>
      <c r="C172" s="140" t="s">
        <v>1549</v>
      </c>
      <c r="D172" s="140" t="s">
        <v>77</v>
      </c>
      <c r="E172" s="634">
        <v>920140.68</v>
      </c>
      <c r="F172" s="516">
        <v>920140</v>
      </c>
      <c r="G172" s="566">
        <f t="shared" si="2"/>
        <v>0.68000000005122274</v>
      </c>
    </row>
    <row r="173" spans="2:7">
      <c r="B173" s="139" t="s">
        <v>325</v>
      </c>
      <c r="C173" s="140" t="s">
        <v>1549</v>
      </c>
      <c r="D173" s="140" t="s">
        <v>60</v>
      </c>
      <c r="E173" s="634">
        <v>129195.8</v>
      </c>
      <c r="F173" s="516">
        <v>129196</v>
      </c>
      <c r="G173" s="566">
        <f t="shared" si="2"/>
        <v>-0.19999999999708962</v>
      </c>
    </row>
    <row r="174" spans="2:7">
      <c r="B174" s="139" t="s">
        <v>326</v>
      </c>
      <c r="C174" s="140" t="s">
        <v>1549</v>
      </c>
      <c r="D174" s="140" t="s">
        <v>1395</v>
      </c>
      <c r="E174" s="634">
        <v>99251.39</v>
      </c>
      <c r="F174" s="516">
        <v>99252</v>
      </c>
      <c r="G174" s="566">
        <f t="shared" si="2"/>
        <v>-0.61000000000058208</v>
      </c>
    </row>
    <row r="175" spans="2:7">
      <c r="B175" s="139" t="s">
        <v>327</v>
      </c>
      <c r="C175" s="140" t="s">
        <v>1549</v>
      </c>
      <c r="D175" s="140" t="s">
        <v>515</v>
      </c>
      <c r="E175" s="634">
        <v>0</v>
      </c>
      <c r="F175" s="516">
        <v>0</v>
      </c>
      <c r="G175" s="566">
        <f t="shared" si="2"/>
        <v>0</v>
      </c>
    </row>
    <row r="176" spans="2:7">
      <c r="B176" s="139" t="s">
        <v>328</v>
      </c>
      <c r="C176" s="140" t="s">
        <v>1549</v>
      </c>
      <c r="D176" s="140" t="s">
        <v>660</v>
      </c>
      <c r="E176" s="634">
        <v>0</v>
      </c>
      <c r="F176" s="516">
        <v>0</v>
      </c>
      <c r="G176" s="566">
        <f t="shared" si="2"/>
        <v>0</v>
      </c>
    </row>
    <row r="177" spans="2:7">
      <c r="B177" s="139" t="s">
        <v>329</v>
      </c>
      <c r="C177" s="140" t="s">
        <v>1549</v>
      </c>
      <c r="D177" s="140" t="s">
        <v>767</v>
      </c>
      <c r="E177" s="634">
        <v>2595</v>
      </c>
      <c r="F177" s="516">
        <v>2595</v>
      </c>
      <c r="G177" s="566">
        <f t="shared" si="2"/>
        <v>0</v>
      </c>
    </row>
    <row r="178" spans="2:7">
      <c r="B178" s="139" t="s">
        <v>2716</v>
      </c>
      <c r="C178" s="140"/>
      <c r="D178" s="140"/>
      <c r="E178" s="634">
        <v>73261.13</v>
      </c>
      <c r="F178" s="516">
        <v>73261</v>
      </c>
      <c r="G178" s="566">
        <f t="shared" si="2"/>
        <v>0.13000000000465661</v>
      </c>
    </row>
    <row r="179" spans="2:7">
      <c r="B179" s="139" t="s">
        <v>2717</v>
      </c>
      <c r="C179" s="140"/>
      <c r="D179" s="140"/>
      <c r="E179" s="634">
        <v>0</v>
      </c>
      <c r="F179" s="516">
        <v>0</v>
      </c>
      <c r="G179" s="566">
        <f t="shared" si="2"/>
        <v>0</v>
      </c>
    </row>
    <row r="180" spans="2:7">
      <c r="B180" s="139" t="s">
        <v>330</v>
      </c>
      <c r="C180" s="140" t="s">
        <v>1549</v>
      </c>
      <c r="D180" s="140" t="s">
        <v>590</v>
      </c>
      <c r="E180" s="634">
        <v>13113.74</v>
      </c>
      <c r="F180" s="516">
        <v>13114</v>
      </c>
      <c r="G180" s="566">
        <f t="shared" si="2"/>
        <v>-0.26000000000021828</v>
      </c>
    </row>
    <row r="181" spans="2:7">
      <c r="B181" s="139" t="s">
        <v>331</v>
      </c>
      <c r="C181" s="140" t="s">
        <v>1549</v>
      </c>
      <c r="D181" s="140" t="s">
        <v>590</v>
      </c>
      <c r="E181" s="634">
        <v>323969.2</v>
      </c>
      <c r="F181" s="516">
        <v>323970</v>
      </c>
      <c r="G181" s="566">
        <f t="shared" si="2"/>
        <v>-0.79999999998835847</v>
      </c>
    </row>
    <row r="182" spans="2:7">
      <c r="B182" s="139" t="s">
        <v>332</v>
      </c>
      <c r="C182" s="140" t="s">
        <v>1549</v>
      </c>
      <c r="D182" s="140" t="s">
        <v>590</v>
      </c>
      <c r="E182" s="634">
        <v>18448.810000000001</v>
      </c>
      <c r="F182" s="516">
        <v>18449</v>
      </c>
      <c r="G182" s="566">
        <f t="shared" si="2"/>
        <v>-0.18999999999869033</v>
      </c>
    </row>
    <row r="183" spans="2:7">
      <c r="B183" s="139" t="s">
        <v>333</v>
      </c>
      <c r="C183" s="140" t="s">
        <v>1549</v>
      </c>
      <c r="D183" s="140" t="s">
        <v>590</v>
      </c>
      <c r="E183" s="634">
        <v>13373.48</v>
      </c>
      <c r="F183" s="516">
        <v>13374</v>
      </c>
      <c r="G183" s="566">
        <f t="shared" si="2"/>
        <v>-0.52000000000043656</v>
      </c>
    </row>
    <row r="184" spans="2:7">
      <c r="B184" s="139" t="s">
        <v>334</v>
      </c>
      <c r="C184" s="140" t="s">
        <v>1549</v>
      </c>
      <c r="D184" s="140" t="s">
        <v>1807</v>
      </c>
      <c r="E184" s="634">
        <v>1053.54</v>
      </c>
      <c r="F184" s="516">
        <v>1054</v>
      </c>
      <c r="G184" s="566">
        <f t="shared" si="2"/>
        <v>-0.46000000000003638</v>
      </c>
    </row>
    <row r="185" spans="2:7">
      <c r="B185" s="139" t="s">
        <v>374</v>
      </c>
      <c r="C185" s="140" t="s">
        <v>1549</v>
      </c>
      <c r="D185" s="140" t="s">
        <v>75</v>
      </c>
      <c r="E185" s="634">
        <v>155507.85</v>
      </c>
      <c r="F185" s="516">
        <v>155507</v>
      </c>
      <c r="G185" s="566">
        <f t="shared" si="2"/>
        <v>0.85000000000582077</v>
      </c>
    </row>
    <row r="186" spans="2:7">
      <c r="B186" s="139" t="s">
        <v>375</v>
      </c>
      <c r="C186" s="140" t="s">
        <v>1549</v>
      </c>
      <c r="D186" s="140" t="s">
        <v>60</v>
      </c>
      <c r="E186" s="634">
        <v>12408.69</v>
      </c>
      <c r="F186" s="516">
        <v>12408</v>
      </c>
      <c r="G186" s="566">
        <f t="shared" si="2"/>
        <v>0.69000000000050932</v>
      </c>
    </row>
    <row r="187" spans="2:7">
      <c r="B187" s="139" t="s">
        <v>2718</v>
      </c>
      <c r="C187" s="140"/>
      <c r="D187" s="140"/>
      <c r="E187" s="634">
        <v>3831.18</v>
      </c>
      <c r="F187" s="516">
        <v>3832</v>
      </c>
      <c r="G187" s="566">
        <f t="shared" si="2"/>
        <v>-0.82000000000016371</v>
      </c>
    </row>
    <row r="188" spans="2:7">
      <c r="B188" s="139" t="s">
        <v>2719</v>
      </c>
      <c r="C188" s="140"/>
      <c r="D188" s="140"/>
      <c r="E188" s="634">
        <v>38376.720000000001</v>
      </c>
      <c r="F188" s="516">
        <v>38376</v>
      </c>
      <c r="G188" s="566">
        <f t="shared" si="2"/>
        <v>0.72000000000116415</v>
      </c>
    </row>
    <row r="189" spans="2:7">
      <c r="B189" s="139" t="s">
        <v>376</v>
      </c>
      <c r="C189" s="140" t="s">
        <v>1549</v>
      </c>
      <c r="D189" s="140" t="s">
        <v>575</v>
      </c>
      <c r="E189" s="634">
        <v>19504.8</v>
      </c>
      <c r="F189" s="516">
        <v>19505</v>
      </c>
      <c r="G189" s="566">
        <f t="shared" si="2"/>
        <v>-0.2000000000007276</v>
      </c>
    </row>
    <row r="190" spans="2:7">
      <c r="B190" s="139" t="s">
        <v>377</v>
      </c>
      <c r="C190" s="140" t="s">
        <v>1549</v>
      </c>
      <c r="D190" s="140" t="s">
        <v>575</v>
      </c>
      <c r="E190" s="634">
        <v>33732.629999999997</v>
      </c>
      <c r="F190" s="516">
        <v>33732</v>
      </c>
      <c r="G190" s="566">
        <f t="shared" si="2"/>
        <v>0.62999999999738066</v>
      </c>
    </row>
    <row r="191" spans="2:7">
      <c r="B191" s="139" t="s">
        <v>378</v>
      </c>
      <c r="C191" s="140" t="s">
        <v>1549</v>
      </c>
      <c r="D191" s="140" t="s">
        <v>575</v>
      </c>
      <c r="E191" s="634">
        <v>1497.36</v>
      </c>
      <c r="F191" s="516">
        <v>1497</v>
      </c>
      <c r="G191" s="566">
        <f t="shared" si="2"/>
        <v>0.35999999999989996</v>
      </c>
    </row>
    <row r="192" spans="2:7">
      <c r="B192" s="139" t="s">
        <v>379</v>
      </c>
      <c r="C192" s="140" t="s">
        <v>1549</v>
      </c>
      <c r="D192" s="140" t="s">
        <v>575</v>
      </c>
      <c r="E192" s="634">
        <v>2312.67</v>
      </c>
      <c r="F192" s="516">
        <v>2312</v>
      </c>
      <c r="G192" s="566">
        <f t="shared" si="2"/>
        <v>0.67000000000007276</v>
      </c>
    </row>
    <row r="193" spans="2:7">
      <c r="B193" s="139" t="s">
        <v>380</v>
      </c>
      <c r="C193" s="140" t="s">
        <v>1549</v>
      </c>
      <c r="D193" s="140" t="s">
        <v>1807</v>
      </c>
      <c r="E193" s="634">
        <v>45</v>
      </c>
      <c r="F193" s="516">
        <v>45</v>
      </c>
      <c r="G193" s="566">
        <f t="shared" si="2"/>
        <v>0</v>
      </c>
    </row>
    <row r="194" spans="2:7">
      <c r="B194" s="139" t="s">
        <v>1438</v>
      </c>
      <c r="C194" s="140" t="s">
        <v>1549</v>
      </c>
      <c r="D194" s="140" t="s">
        <v>75</v>
      </c>
      <c r="E194" s="634">
        <v>1867931.09</v>
      </c>
      <c r="F194" s="516">
        <v>1867932</v>
      </c>
      <c r="G194" s="566">
        <f t="shared" si="2"/>
        <v>-0.90999999991618097</v>
      </c>
    </row>
    <row r="195" spans="2:7">
      <c r="B195" s="139" t="s">
        <v>1439</v>
      </c>
      <c r="C195" s="140" t="s">
        <v>1549</v>
      </c>
      <c r="D195" s="140" t="s">
        <v>77</v>
      </c>
      <c r="E195" s="634">
        <v>175363.77</v>
      </c>
      <c r="F195" s="516">
        <v>175364</v>
      </c>
      <c r="G195" s="566">
        <f t="shared" si="2"/>
        <v>-0.23000000001047738</v>
      </c>
    </row>
    <row r="196" spans="2:7">
      <c r="B196" s="139" t="s">
        <v>1440</v>
      </c>
      <c r="C196" s="140" t="s">
        <v>1549</v>
      </c>
      <c r="D196" s="140" t="s">
        <v>60</v>
      </c>
      <c r="E196" s="634">
        <v>160134.35999999999</v>
      </c>
      <c r="F196" s="516">
        <v>160135</v>
      </c>
      <c r="G196" s="566">
        <f t="shared" ref="G196:G207" si="3">E196-F196</f>
        <v>-0.64000000001396984</v>
      </c>
    </row>
    <row r="197" spans="2:7">
      <c r="B197" s="139" t="s">
        <v>1441</v>
      </c>
      <c r="C197" s="140" t="s">
        <v>1549</v>
      </c>
      <c r="D197" s="140" t="s">
        <v>1395</v>
      </c>
      <c r="E197" s="634">
        <v>43820.45</v>
      </c>
      <c r="F197" s="516">
        <v>43821</v>
      </c>
      <c r="G197" s="566">
        <f t="shared" si="3"/>
        <v>-0.55000000000291038</v>
      </c>
    </row>
    <row r="198" spans="2:7">
      <c r="B198" s="139" t="s">
        <v>1442</v>
      </c>
      <c r="C198" s="140" t="s">
        <v>1549</v>
      </c>
      <c r="D198" s="140" t="s">
        <v>515</v>
      </c>
      <c r="E198" s="634">
        <v>88819.19</v>
      </c>
      <c r="F198" s="516">
        <v>88819</v>
      </c>
      <c r="G198" s="566">
        <f t="shared" si="3"/>
        <v>0.19000000000232831</v>
      </c>
    </row>
    <row r="199" spans="2:7">
      <c r="B199" s="139" t="s">
        <v>1443</v>
      </c>
      <c r="C199" s="140" t="s">
        <v>1549</v>
      </c>
      <c r="D199" s="140" t="s">
        <v>660</v>
      </c>
      <c r="E199" s="634">
        <v>0</v>
      </c>
      <c r="F199" s="516">
        <v>0</v>
      </c>
      <c r="G199" s="566">
        <f t="shared" si="3"/>
        <v>0</v>
      </c>
    </row>
    <row r="200" spans="2:7">
      <c r="B200" s="139" t="s">
        <v>1444</v>
      </c>
      <c r="C200" s="140" t="s">
        <v>1549</v>
      </c>
      <c r="D200" s="140" t="s">
        <v>767</v>
      </c>
      <c r="E200" s="634">
        <v>17367</v>
      </c>
      <c r="F200" s="516">
        <v>17367</v>
      </c>
      <c r="G200" s="566">
        <f t="shared" si="3"/>
        <v>0</v>
      </c>
    </row>
    <row r="201" spans="2:7">
      <c r="B201" s="139" t="s">
        <v>1445</v>
      </c>
      <c r="C201" s="140" t="s">
        <v>1549</v>
      </c>
      <c r="D201" s="140" t="s">
        <v>84</v>
      </c>
      <c r="E201" s="634">
        <v>203665.76</v>
      </c>
      <c r="F201" s="516">
        <v>203665</v>
      </c>
      <c r="G201" s="566">
        <f t="shared" si="3"/>
        <v>0.76000000000931323</v>
      </c>
    </row>
    <row r="202" spans="2:7">
      <c r="B202" s="139" t="s">
        <v>1446</v>
      </c>
      <c r="C202" s="140" t="s">
        <v>1549</v>
      </c>
      <c r="D202" s="140" t="s">
        <v>572</v>
      </c>
      <c r="E202" s="634">
        <v>0</v>
      </c>
      <c r="F202" s="516">
        <v>0</v>
      </c>
      <c r="G202" s="566">
        <f t="shared" si="3"/>
        <v>0</v>
      </c>
    </row>
    <row r="203" spans="2:7">
      <c r="B203" s="139" t="s">
        <v>1447</v>
      </c>
      <c r="C203" s="140" t="s">
        <v>1549</v>
      </c>
      <c r="D203" s="140" t="s">
        <v>590</v>
      </c>
      <c r="E203" s="634">
        <v>153788.4</v>
      </c>
      <c r="F203" s="516">
        <v>153789</v>
      </c>
      <c r="G203" s="566">
        <f t="shared" si="3"/>
        <v>-0.60000000000582077</v>
      </c>
    </row>
    <row r="204" spans="2:7">
      <c r="B204" s="139" t="s">
        <v>1448</v>
      </c>
      <c r="C204" s="140" t="s">
        <v>1549</v>
      </c>
      <c r="D204" s="140" t="s">
        <v>590</v>
      </c>
      <c r="E204" s="634">
        <v>316852.62</v>
      </c>
      <c r="F204" s="516">
        <v>316853</v>
      </c>
      <c r="G204" s="566">
        <f t="shared" si="3"/>
        <v>-0.38000000000465661</v>
      </c>
    </row>
    <row r="205" spans="2:7">
      <c r="B205" s="139" t="s">
        <v>1449</v>
      </c>
      <c r="C205" s="140" t="s">
        <v>1549</v>
      </c>
      <c r="D205" s="140" t="s">
        <v>590</v>
      </c>
      <c r="E205" s="634">
        <v>16444.099999999999</v>
      </c>
      <c r="F205" s="516">
        <v>16445</v>
      </c>
      <c r="G205" s="566">
        <f t="shared" si="3"/>
        <v>-0.90000000000145519</v>
      </c>
    </row>
    <row r="206" spans="2:7">
      <c r="B206" s="139" t="s">
        <v>1450</v>
      </c>
      <c r="C206" s="140" t="s">
        <v>1549</v>
      </c>
      <c r="D206" s="140" t="s">
        <v>590</v>
      </c>
      <c r="E206" s="634">
        <v>14042.13</v>
      </c>
      <c r="F206" s="516">
        <v>14043</v>
      </c>
      <c r="G206" s="566">
        <f t="shared" si="3"/>
        <v>-0.87000000000080036</v>
      </c>
    </row>
    <row r="207" spans="2:7">
      <c r="B207" s="139" t="s">
        <v>1451</v>
      </c>
      <c r="C207" s="140" t="s">
        <v>1549</v>
      </c>
      <c r="D207" s="140" t="s">
        <v>1807</v>
      </c>
      <c r="E207" s="634">
        <v>765</v>
      </c>
      <c r="F207" s="516">
        <v>765</v>
      </c>
      <c r="G207" s="566">
        <f t="shared" si="3"/>
        <v>0</v>
      </c>
    </row>
    <row r="208" spans="2:7">
      <c r="E208" s="565">
        <f>SUM(E3:E207)</f>
        <v>25481359.830000006</v>
      </c>
      <c r="F208" s="565">
        <f>SUM(F3:F207)</f>
        <v>25481386</v>
      </c>
    </row>
    <row r="209" spans="2:7">
      <c r="B209" s="139" t="s">
        <v>3494</v>
      </c>
    </row>
    <row r="210" spans="2:7">
      <c r="B210" s="139" t="s">
        <v>574</v>
      </c>
      <c r="C210" s="140" t="s">
        <v>1550</v>
      </c>
      <c r="D210" s="140" t="s">
        <v>575</v>
      </c>
      <c r="E210" s="634">
        <v>3180.92</v>
      </c>
      <c r="F210" s="516">
        <v>3180</v>
      </c>
      <c r="G210" s="566">
        <f>E210-F210</f>
        <v>0.92000000000007276</v>
      </c>
    </row>
    <row r="211" spans="2:7">
      <c r="B211" s="139" t="s">
        <v>582</v>
      </c>
      <c r="C211" s="140" t="s">
        <v>1550</v>
      </c>
      <c r="D211" s="140" t="s">
        <v>583</v>
      </c>
      <c r="E211" s="634">
        <v>572108.04</v>
      </c>
      <c r="F211" s="516">
        <v>572108</v>
      </c>
      <c r="G211" s="566">
        <f t="shared" ref="G211:G217" si="4">E211-F211</f>
        <v>4.0000000037252903E-2</v>
      </c>
    </row>
    <row r="212" spans="2:7">
      <c r="B212" s="139" t="s">
        <v>2681</v>
      </c>
      <c r="C212" s="140"/>
      <c r="D212" s="140"/>
      <c r="E212" s="634">
        <v>433355.02</v>
      </c>
      <c r="F212" s="516">
        <v>433355</v>
      </c>
      <c r="G212" s="566">
        <f t="shared" si="4"/>
        <v>2.0000000018626451E-2</v>
      </c>
    </row>
    <row r="213" spans="2:7">
      <c r="B213" s="139" t="s">
        <v>585</v>
      </c>
      <c r="C213" s="140" t="s">
        <v>1550</v>
      </c>
      <c r="D213" s="140" t="s">
        <v>583</v>
      </c>
      <c r="E213" s="634">
        <v>1123880.32</v>
      </c>
      <c r="F213" s="516">
        <v>1123880</v>
      </c>
      <c r="G213" s="566">
        <f t="shared" si="4"/>
        <v>0.32000000006519258</v>
      </c>
    </row>
    <row r="214" spans="2:7">
      <c r="B214" s="139" t="s">
        <v>586</v>
      </c>
      <c r="C214" s="140" t="s">
        <v>1550</v>
      </c>
      <c r="D214" s="140" t="s">
        <v>545</v>
      </c>
      <c r="E214" s="634">
        <v>374625</v>
      </c>
      <c r="F214" s="516">
        <v>374626</v>
      </c>
      <c r="G214" s="566">
        <f t="shared" si="4"/>
        <v>-1</v>
      </c>
    </row>
    <row r="215" spans="2:7">
      <c r="B215" s="139" t="s">
        <v>587</v>
      </c>
      <c r="C215" s="140" t="s">
        <v>1550</v>
      </c>
      <c r="D215" s="140" t="s">
        <v>545</v>
      </c>
      <c r="E215" s="634">
        <v>0</v>
      </c>
      <c r="F215" s="516">
        <v>0</v>
      </c>
      <c r="G215" s="566">
        <f t="shared" si="4"/>
        <v>0</v>
      </c>
    </row>
    <row r="216" spans="2:7">
      <c r="B216" s="139" t="s">
        <v>588</v>
      </c>
      <c r="C216" s="140" t="s">
        <v>1550</v>
      </c>
      <c r="D216" s="140" t="s">
        <v>545</v>
      </c>
      <c r="E216" s="634">
        <v>96012</v>
      </c>
      <c r="F216" s="516">
        <v>96013</v>
      </c>
      <c r="G216" s="566">
        <f t="shared" si="4"/>
        <v>-1</v>
      </c>
    </row>
    <row r="217" spans="2:7">
      <c r="B217" s="139" t="s">
        <v>589</v>
      </c>
      <c r="C217" s="140" t="s">
        <v>1550</v>
      </c>
      <c r="D217" s="140" t="s">
        <v>590</v>
      </c>
      <c r="E217" s="634">
        <v>335464.15000000002</v>
      </c>
      <c r="F217" s="516">
        <v>335465</v>
      </c>
      <c r="G217" s="566">
        <f t="shared" si="4"/>
        <v>-0.84999999997671694</v>
      </c>
    </row>
    <row r="218" spans="2:7">
      <c r="E218" s="565">
        <f>SUM(E210:E217)</f>
        <v>2938625.45</v>
      </c>
      <c r="F218" s="565">
        <f>SUM(F210:F217)</f>
        <v>2938627</v>
      </c>
    </row>
    <row r="219" spans="2:7">
      <c r="B219" s="139" t="s">
        <v>3495</v>
      </c>
    </row>
    <row r="220" spans="2:7">
      <c r="B220" s="517" t="s">
        <v>3469</v>
      </c>
      <c r="C220" s="166" t="s">
        <v>1554</v>
      </c>
      <c r="D220" s="166" t="s">
        <v>592</v>
      </c>
      <c r="E220" s="634">
        <v>58520.71</v>
      </c>
      <c r="F220" s="518">
        <v>58521</v>
      </c>
      <c r="G220" s="566">
        <f>E220-F220</f>
        <v>-0.29000000000087311</v>
      </c>
    </row>
    <row r="222" spans="2:7">
      <c r="B222" s="209" t="s">
        <v>20</v>
      </c>
    </row>
    <row r="223" spans="2:7">
      <c r="B223" s="139" t="s">
        <v>248</v>
      </c>
      <c r="C223" s="140" t="s">
        <v>20</v>
      </c>
      <c r="D223" s="140" t="s">
        <v>1668</v>
      </c>
      <c r="E223" s="634">
        <f>'TRAIL BALANCE'!S305</f>
        <v>31338.05</v>
      </c>
      <c r="F223" s="516">
        <v>52604</v>
      </c>
      <c r="G223" s="635">
        <f>E223-F223</f>
        <v>-21265.95</v>
      </c>
    </row>
    <row r="226" spans="2:7">
      <c r="B226" s="139" t="s">
        <v>591</v>
      </c>
      <c r="C226" s="140" t="s">
        <v>1551</v>
      </c>
      <c r="D226" s="140" t="s">
        <v>592</v>
      </c>
      <c r="E226" s="634">
        <f>'TRAIL BALANCE'!S43</f>
        <v>1396797.48</v>
      </c>
      <c r="F226" s="516">
        <v>637397</v>
      </c>
      <c r="G226" s="635">
        <f t="shared" ref="G226:G242" si="5">E226-F226</f>
        <v>759400.48</v>
      </c>
    </row>
    <row r="227" spans="2:7">
      <c r="B227" s="139" t="s">
        <v>92</v>
      </c>
      <c r="C227" s="140" t="s">
        <v>1551</v>
      </c>
      <c r="D227" s="140" t="s">
        <v>592</v>
      </c>
      <c r="E227" s="634">
        <f>'TRAIL BALANCE'!S106</f>
        <v>3054.24</v>
      </c>
      <c r="F227" s="516">
        <v>3703</v>
      </c>
      <c r="G227" s="635">
        <f t="shared" si="5"/>
        <v>-648.76000000000022</v>
      </c>
    </row>
    <row r="228" spans="2:7">
      <c r="B228" s="139" t="s">
        <v>147</v>
      </c>
      <c r="C228" s="140" t="s">
        <v>1551</v>
      </c>
      <c r="D228" s="140" t="s">
        <v>592</v>
      </c>
      <c r="E228" s="634">
        <f>'TRAIL BALANCE'!S186</f>
        <v>1135.1300000000001</v>
      </c>
      <c r="F228" s="516">
        <v>0</v>
      </c>
      <c r="G228" s="635">
        <f t="shared" si="5"/>
        <v>1135.1300000000001</v>
      </c>
    </row>
    <row r="229" spans="2:7">
      <c r="B229" s="139" t="s">
        <v>182</v>
      </c>
      <c r="C229" s="140" t="s">
        <v>1551</v>
      </c>
      <c r="D229" s="140" t="s">
        <v>592</v>
      </c>
      <c r="E229" s="634">
        <f>'TRAIL BALANCE'!S230</f>
        <v>5.33</v>
      </c>
      <c r="F229" s="516">
        <v>6649</v>
      </c>
      <c r="G229" s="635">
        <f t="shared" si="5"/>
        <v>-6643.67</v>
      </c>
    </row>
    <row r="230" spans="2:7">
      <c r="B230" s="139" t="s">
        <v>209</v>
      </c>
      <c r="C230" s="140" t="s">
        <v>1551</v>
      </c>
      <c r="D230" s="140" t="s">
        <v>592</v>
      </c>
      <c r="E230" s="634">
        <f>'TRAIL BALANCE'!S259</f>
        <v>114.8</v>
      </c>
      <c r="F230" s="516">
        <v>2863</v>
      </c>
      <c r="G230" s="566">
        <f t="shared" si="5"/>
        <v>-2748.2</v>
      </c>
    </row>
    <row r="231" spans="2:7">
      <c r="B231" s="139" t="s">
        <v>239</v>
      </c>
      <c r="C231" s="140" t="s">
        <v>1551</v>
      </c>
      <c r="D231" s="140" t="s">
        <v>592</v>
      </c>
      <c r="E231" s="634">
        <f>'TRAIL BALANCE'!S295</f>
        <v>243139.08</v>
      </c>
      <c r="F231" s="516">
        <v>132089</v>
      </c>
      <c r="G231" s="635">
        <f t="shared" si="5"/>
        <v>111050.07999999999</v>
      </c>
    </row>
    <row r="232" spans="2:7">
      <c r="B232" s="139" t="s">
        <v>282</v>
      </c>
      <c r="C232" s="140" t="s">
        <v>1551</v>
      </c>
      <c r="D232" s="140" t="s">
        <v>592</v>
      </c>
      <c r="E232" s="139">
        <f>'TRAIL BALANCE'!S340</f>
        <v>0</v>
      </c>
      <c r="F232" s="516">
        <v>0</v>
      </c>
      <c r="G232" s="566">
        <f t="shared" si="5"/>
        <v>0</v>
      </c>
    </row>
    <row r="233" spans="2:7">
      <c r="B233" s="139" t="s">
        <v>1140</v>
      </c>
      <c r="C233" s="140" t="s">
        <v>1551</v>
      </c>
      <c r="D233" s="140" t="s">
        <v>592</v>
      </c>
      <c r="E233" s="634">
        <f>'TRAIL BALANCE'!S358</f>
        <v>1273518.8999999999</v>
      </c>
      <c r="F233" s="516">
        <v>515312</v>
      </c>
      <c r="G233" s="635">
        <f t="shared" si="5"/>
        <v>758206.89999999991</v>
      </c>
    </row>
    <row r="234" spans="2:7">
      <c r="B234" s="139" t="s">
        <v>1308</v>
      </c>
      <c r="C234" s="140" t="s">
        <v>1551</v>
      </c>
      <c r="D234" s="140" t="s">
        <v>592</v>
      </c>
      <c r="E234" s="634">
        <f>'TRAIL BALANCE'!S385</f>
        <v>16239.04</v>
      </c>
      <c r="F234" s="516">
        <v>11612</v>
      </c>
      <c r="G234" s="635">
        <f t="shared" si="5"/>
        <v>4627.0400000000009</v>
      </c>
    </row>
    <row r="235" spans="2:7">
      <c r="B235" s="139" t="s">
        <v>1354</v>
      </c>
      <c r="C235" s="140" t="s">
        <v>1551</v>
      </c>
      <c r="D235" s="140" t="s">
        <v>592</v>
      </c>
      <c r="E235" s="634">
        <f>'TRAIL BALANCE'!S426</f>
        <v>66726.42</v>
      </c>
      <c r="F235" s="516">
        <v>51763</v>
      </c>
      <c r="G235" s="635">
        <f t="shared" si="5"/>
        <v>14963.419999999998</v>
      </c>
    </row>
    <row r="236" spans="2:7">
      <c r="B236" s="139" t="s">
        <v>1377</v>
      </c>
      <c r="C236" s="140" t="s">
        <v>1551</v>
      </c>
      <c r="D236" s="140" t="s">
        <v>592</v>
      </c>
      <c r="E236" s="139">
        <f>'TRAIL BALANCE'!S454</f>
        <v>0</v>
      </c>
      <c r="F236" s="516">
        <v>10857</v>
      </c>
      <c r="G236" s="635">
        <f t="shared" si="5"/>
        <v>-10857</v>
      </c>
    </row>
    <row r="237" spans="2:7">
      <c r="B237" s="139" t="s">
        <v>1404</v>
      </c>
      <c r="C237" s="140" t="s">
        <v>1551</v>
      </c>
      <c r="D237" s="140" t="s">
        <v>592</v>
      </c>
      <c r="E237" s="634">
        <f>'TRAIL BALANCE'!S482</f>
        <v>-21596.03</v>
      </c>
      <c r="F237" s="516">
        <v>162748</v>
      </c>
      <c r="G237" s="635">
        <f t="shared" si="5"/>
        <v>-184344.03</v>
      </c>
    </row>
    <row r="238" spans="2:7">
      <c r="B238" s="139" t="s">
        <v>2547</v>
      </c>
      <c r="C238" s="140" t="s">
        <v>1551</v>
      </c>
      <c r="D238" s="140" t="s">
        <v>592</v>
      </c>
      <c r="E238" s="634">
        <f>'TRAIL BALANCE'!S519</f>
        <v>95866.97</v>
      </c>
      <c r="F238" s="516">
        <v>33928</v>
      </c>
      <c r="G238" s="635">
        <f t="shared" si="5"/>
        <v>61938.97</v>
      </c>
    </row>
    <row r="239" spans="2:7">
      <c r="B239" s="139" t="s">
        <v>2584</v>
      </c>
      <c r="C239" s="140" t="s">
        <v>1551</v>
      </c>
      <c r="D239" s="140" t="s">
        <v>592</v>
      </c>
      <c r="E239" s="634">
        <f>'TRAIL BALANCE'!S564</f>
        <v>692986.67</v>
      </c>
      <c r="F239" s="516">
        <v>665208</v>
      </c>
      <c r="G239" s="635">
        <f t="shared" si="5"/>
        <v>27778.670000000042</v>
      </c>
    </row>
    <row r="240" spans="2:7">
      <c r="B240" s="139" t="s">
        <v>335</v>
      </c>
      <c r="C240" s="140" t="s">
        <v>1551</v>
      </c>
      <c r="D240" s="140" t="s">
        <v>592</v>
      </c>
      <c r="E240" s="634">
        <f>'TRAIL BALANCE'!S648</f>
        <v>1069864.3799999999</v>
      </c>
      <c r="F240" s="516">
        <v>446346</v>
      </c>
      <c r="G240" s="635">
        <f t="shared" si="5"/>
        <v>623518.37999999989</v>
      </c>
    </row>
    <row r="241" spans="2:7">
      <c r="B241" s="139" t="s">
        <v>368</v>
      </c>
      <c r="C241" s="140" t="s">
        <v>1551</v>
      </c>
      <c r="D241" s="140" t="s">
        <v>592</v>
      </c>
      <c r="E241" s="139">
        <f>'TRAIL BALANCE'!S683</f>
        <v>0</v>
      </c>
      <c r="F241" s="516">
        <v>14147</v>
      </c>
      <c r="G241" s="635">
        <f t="shared" si="5"/>
        <v>-14147</v>
      </c>
    </row>
    <row r="242" spans="2:7">
      <c r="B242" s="139" t="s">
        <v>1452</v>
      </c>
      <c r="C242" s="140" t="s">
        <v>1551</v>
      </c>
      <c r="D242" s="140" t="s">
        <v>592</v>
      </c>
      <c r="E242" s="634">
        <f>'TRAIL BALANCE'!S784</f>
        <v>110529.98</v>
      </c>
      <c r="F242" s="516">
        <v>41772</v>
      </c>
      <c r="G242" s="635">
        <f t="shared" si="5"/>
        <v>68757.98</v>
      </c>
    </row>
    <row r="243" spans="2:7">
      <c r="E243" s="654">
        <f>SUM(E226:E242)</f>
        <v>4948382.3900000006</v>
      </c>
      <c r="F243" s="567">
        <f>SUM(F226:F242)</f>
        <v>2736394</v>
      </c>
    </row>
    <row r="246" spans="2:7">
      <c r="B246" s="139" t="s">
        <v>593</v>
      </c>
      <c r="C246" s="140" t="s">
        <v>1552</v>
      </c>
      <c r="D246" s="140" t="s">
        <v>2406</v>
      </c>
      <c r="E246" s="634">
        <v>47316.92</v>
      </c>
      <c r="F246" s="516">
        <v>47623</v>
      </c>
      <c r="G246" s="566">
        <f t="shared" ref="G246:G296" si="6">E246-F246</f>
        <v>-306.08000000000175</v>
      </c>
    </row>
    <row r="247" spans="2:7">
      <c r="B247" s="139" t="s">
        <v>594</v>
      </c>
      <c r="C247" s="140" t="s">
        <v>1552</v>
      </c>
      <c r="D247" s="140" t="s">
        <v>595</v>
      </c>
      <c r="E247" s="634">
        <v>4844.84</v>
      </c>
      <c r="F247" s="516">
        <v>4845</v>
      </c>
      <c r="G247" s="566">
        <f t="shared" si="6"/>
        <v>-0.15999999999985448</v>
      </c>
    </row>
    <row r="248" spans="2:7">
      <c r="B248" s="139" t="s">
        <v>2682</v>
      </c>
      <c r="C248" s="140" t="s">
        <v>1552</v>
      </c>
      <c r="D248" s="140" t="s">
        <v>68</v>
      </c>
      <c r="E248" s="634">
        <v>406129.45</v>
      </c>
      <c r="F248" s="516">
        <v>406130</v>
      </c>
      <c r="G248" s="566">
        <f t="shared" si="6"/>
        <v>-0.54999999998835847</v>
      </c>
    </row>
    <row r="249" spans="2:7">
      <c r="B249" s="139" t="s">
        <v>93</v>
      </c>
      <c r="C249" s="140" t="s">
        <v>1552</v>
      </c>
      <c r="D249" s="140" t="s">
        <v>595</v>
      </c>
      <c r="E249" s="139">
        <v>0</v>
      </c>
      <c r="F249" s="516">
        <v>0</v>
      </c>
      <c r="G249" s="566">
        <f t="shared" si="6"/>
        <v>0</v>
      </c>
    </row>
    <row r="250" spans="2:7">
      <c r="B250" s="139" t="s">
        <v>94</v>
      </c>
      <c r="C250" s="140" t="s">
        <v>1552</v>
      </c>
      <c r="D250" s="140" t="s">
        <v>95</v>
      </c>
      <c r="E250" s="139">
        <v>0</v>
      </c>
      <c r="F250" s="516">
        <v>0</v>
      </c>
      <c r="G250" s="566">
        <f t="shared" si="6"/>
        <v>0</v>
      </c>
    </row>
    <row r="251" spans="2:7">
      <c r="B251" s="139" t="s">
        <v>148</v>
      </c>
      <c r="C251" s="140" t="s">
        <v>1552</v>
      </c>
      <c r="D251" s="140" t="s">
        <v>595</v>
      </c>
      <c r="E251" s="139">
        <v>0</v>
      </c>
      <c r="F251" s="516">
        <v>0</v>
      </c>
      <c r="G251" s="566">
        <f t="shared" si="6"/>
        <v>0</v>
      </c>
    </row>
    <row r="252" spans="2:7">
      <c r="B252" s="139" t="s">
        <v>183</v>
      </c>
      <c r="C252" s="140" t="s">
        <v>1552</v>
      </c>
      <c r="D252" s="140" t="s">
        <v>595</v>
      </c>
      <c r="E252" s="634">
        <v>249.99</v>
      </c>
      <c r="F252" s="516">
        <v>250</v>
      </c>
      <c r="G252" s="566">
        <f t="shared" si="6"/>
        <v>-9.9999999999909051E-3</v>
      </c>
    </row>
    <row r="253" spans="2:7">
      <c r="B253" s="139" t="s">
        <v>210</v>
      </c>
      <c r="C253" s="140" t="s">
        <v>1552</v>
      </c>
      <c r="D253" s="140" t="s">
        <v>2326</v>
      </c>
      <c r="E253" s="139">
        <v>0</v>
      </c>
      <c r="F253" s="516">
        <v>0</v>
      </c>
      <c r="G253" s="566">
        <f t="shared" si="6"/>
        <v>0</v>
      </c>
    </row>
    <row r="254" spans="2:7">
      <c r="B254" s="139" t="s">
        <v>211</v>
      </c>
      <c r="C254" s="140" t="s">
        <v>1552</v>
      </c>
      <c r="D254" s="140" t="s">
        <v>545</v>
      </c>
      <c r="E254" s="139">
        <v>0</v>
      </c>
      <c r="F254" s="516">
        <v>0</v>
      </c>
      <c r="G254" s="566">
        <f t="shared" si="6"/>
        <v>0</v>
      </c>
    </row>
    <row r="255" spans="2:7">
      <c r="B255" s="139" t="s">
        <v>2699</v>
      </c>
      <c r="C255" s="140"/>
      <c r="D255" s="140"/>
      <c r="E255" s="160">
        <v>0</v>
      </c>
      <c r="F255" s="516">
        <v>0</v>
      </c>
      <c r="G255" s="566">
        <f t="shared" si="6"/>
        <v>0</v>
      </c>
    </row>
    <row r="256" spans="2:7">
      <c r="B256" s="139" t="s">
        <v>240</v>
      </c>
      <c r="C256" s="140" t="s">
        <v>1552</v>
      </c>
      <c r="D256" s="140" t="s">
        <v>2326</v>
      </c>
      <c r="E256" s="634">
        <v>3411.66</v>
      </c>
      <c r="F256" s="516">
        <v>3412</v>
      </c>
      <c r="G256" s="566">
        <f t="shared" si="6"/>
        <v>-0.34000000000014552</v>
      </c>
    </row>
    <row r="257" spans="2:7">
      <c r="B257" s="139" t="s">
        <v>1141</v>
      </c>
      <c r="C257" s="140" t="s">
        <v>1552</v>
      </c>
      <c r="D257" s="140" t="s">
        <v>1142</v>
      </c>
      <c r="E257" s="634">
        <v>14385.51</v>
      </c>
      <c r="F257" s="516">
        <v>16283</v>
      </c>
      <c r="G257" s="566">
        <f t="shared" si="6"/>
        <v>-1897.4899999999998</v>
      </c>
    </row>
    <row r="258" spans="2:7">
      <c r="B258" s="139" t="s">
        <v>1309</v>
      </c>
      <c r="C258" s="140" t="s">
        <v>1552</v>
      </c>
      <c r="D258" s="140" t="s">
        <v>595</v>
      </c>
      <c r="E258" s="139">
        <v>0</v>
      </c>
      <c r="F258" s="516">
        <v>0</v>
      </c>
      <c r="G258" s="566">
        <f t="shared" si="6"/>
        <v>0</v>
      </c>
    </row>
    <row r="259" spans="2:7">
      <c r="B259" s="139" t="s">
        <v>1310</v>
      </c>
      <c r="C259" s="140" t="s">
        <v>1552</v>
      </c>
      <c r="D259" s="140" t="s">
        <v>545</v>
      </c>
      <c r="E259" s="139">
        <v>0</v>
      </c>
      <c r="F259" s="516">
        <v>0</v>
      </c>
      <c r="G259" s="566">
        <f t="shared" si="6"/>
        <v>0</v>
      </c>
    </row>
    <row r="260" spans="2:7">
      <c r="B260" s="139" t="s">
        <v>1355</v>
      </c>
      <c r="C260" s="140" t="s">
        <v>1552</v>
      </c>
      <c r="D260" s="140" t="s">
        <v>595</v>
      </c>
      <c r="E260" s="634">
        <v>13992.77</v>
      </c>
      <c r="F260" s="516">
        <v>13992</v>
      </c>
      <c r="G260" s="566">
        <f t="shared" si="6"/>
        <v>0.77000000000043656</v>
      </c>
    </row>
    <row r="261" spans="2:7">
      <c r="B261" s="139" t="s">
        <v>1356</v>
      </c>
      <c r="C261" s="140" t="s">
        <v>1552</v>
      </c>
      <c r="D261" s="140" t="s">
        <v>545</v>
      </c>
      <c r="E261" s="139">
        <v>0</v>
      </c>
      <c r="F261" s="516">
        <v>0</v>
      </c>
      <c r="G261" s="566">
        <f t="shared" si="6"/>
        <v>0</v>
      </c>
    </row>
    <row r="262" spans="2:7">
      <c r="B262" s="139" t="s">
        <v>1357</v>
      </c>
      <c r="C262" s="140" t="s">
        <v>1552</v>
      </c>
      <c r="D262" s="140" t="s">
        <v>545</v>
      </c>
      <c r="E262" s="634">
        <v>320</v>
      </c>
      <c r="F262" s="516">
        <v>320</v>
      </c>
      <c r="G262" s="566">
        <f t="shared" si="6"/>
        <v>0</v>
      </c>
    </row>
    <row r="263" spans="2:7">
      <c r="B263" s="139" t="s">
        <v>1378</v>
      </c>
      <c r="C263" s="140" t="s">
        <v>1552</v>
      </c>
      <c r="D263" s="140" t="s">
        <v>545</v>
      </c>
      <c r="E263" s="139">
        <v>0</v>
      </c>
      <c r="F263" s="516">
        <v>0</v>
      </c>
      <c r="G263" s="566">
        <f t="shared" si="6"/>
        <v>0</v>
      </c>
    </row>
    <row r="264" spans="2:7">
      <c r="B264" s="139" t="s">
        <v>2022</v>
      </c>
      <c r="C264" s="140" t="s">
        <v>1552</v>
      </c>
      <c r="D264" s="140" t="s">
        <v>595</v>
      </c>
      <c r="E264" s="634">
        <v>13902.54</v>
      </c>
      <c r="F264" s="516">
        <v>13902</v>
      </c>
      <c r="G264" s="566">
        <f t="shared" si="6"/>
        <v>0.54000000000087311</v>
      </c>
    </row>
    <row r="265" spans="2:7">
      <c r="B265" s="139" t="s">
        <v>1163</v>
      </c>
      <c r="C265" s="140" t="s">
        <v>1552</v>
      </c>
      <c r="D265" s="140" t="s">
        <v>1164</v>
      </c>
      <c r="E265" s="634">
        <v>0</v>
      </c>
      <c r="F265" s="516">
        <v>0</v>
      </c>
      <c r="G265" s="566">
        <f t="shared" si="6"/>
        <v>0</v>
      </c>
    </row>
    <row r="266" spans="2:7">
      <c r="B266" s="139" t="s">
        <v>1165</v>
      </c>
      <c r="C266" s="140" t="s">
        <v>1552</v>
      </c>
      <c r="D266" s="140" t="s">
        <v>1164</v>
      </c>
      <c r="E266" s="634">
        <v>51345.760000000002</v>
      </c>
      <c r="F266" s="516">
        <v>53521</v>
      </c>
      <c r="G266" s="566">
        <f t="shared" si="6"/>
        <v>-2175.239999999998</v>
      </c>
    </row>
    <row r="267" spans="2:7">
      <c r="B267" s="139" t="s">
        <v>3472</v>
      </c>
      <c r="C267" s="140" t="s">
        <v>1552</v>
      </c>
      <c r="D267" s="140" t="s">
        <v>99</v>
      </c>
      <c r="E267" s="634">
        <v>2472733.4900000002</v>
      </c>
      <c r="F267" s="516">
        <v>2472733</v>
      </c>
      <c r="G267" s="566">
        <f t="shared" si="6"/>
        <v>0.49000000022351742</v>
      </c>
    </row>
    <row r="268" spans="2:7">
      <c r="B268" s="139" t="s">
        <v>2548</v>
      </c>
      <c r="C268" s="140" t="s">
        <v>1552</v>
      </c>
      <c r="D268" s="140" t="s">
        <v>2326</v>
      </c>
      <c r="E268" s="139">
        <v>0</v>
      </c>
      <c r="F268" s="516">
        <v>0</v>
      </c>
      <c r="G268" s="566">
        <f t="shared" si="6"/>
        <v>0</v>
      </c>
    </row>
    <row r="269" spans="2:7">
      <c r="B269" s="139" t="s">
        <v>2549</v>
      </c>
      <c r="C269" s="140" t="s">
        <v>1552</v>
      </c>
      <c r="D269" s="140" t="s">
        <v>595</v>
      </c>
      <c r="E269" s="634">
        <v>132.53</v>
      </c>
      <c r="F269" s="516">
        <v>133</v>
      </c>
      <c r="G269" s="566">
        <f t="shared" si="6"/>
        <v>-0.46999999999999886</v>
      </c>
    </row>
    <row r="270" spans="2:7">
      <c r="B270" s="139" t="s">
        <v>2550</v>
      </c>
      <c r="C270" s="140" t="s">
        <v>1552</v>
      </c>
      <c r="D270" s="140" t="s">
        <v>545</v>
      </c>
      <c r="E270" s="634">
        <v>251.73</v>
      </c>
      <c r="F270" s="516">
        <v>252</v>
      </c>
      <c r="G270" s="566">
        <f t="shared" si="6"/>
        <v>-0.27000000000001023</v>
      </c>
    </row>
    <row r="271" spans="2:7">
      <c r="B271" s="139" t="s">
        <v>2585</v>
      </c>
      <c r="C271" s="140" t="s">
        <v>1552</v>
      </c>
      <c r="D271" s="140" t="s">
        <v>595</v>
      </c>
      <c r="E271" s="634">
        <v>60510.53</v>
      </c>
      <c r="F271" s="516">
        <v>60510</v>
      </c>
      <c r="G271" s="566">
        <f t="shared" si="6"/>
        <v>0.52999999999883585</v>
      </c>
    </row>
    <row r="272" spans="2:7">
      <c r="B272" s="139" t="s">
        <v>2586</v>
      </c>
      <c r="C272" s="140" t="s">
        <v>1552</v>
      </c>
      <c r="D272" s="140" t="s">
        <v>2587</v>
      </c>
      <c r="E272" s="634">
        <v>124208.41</v>
      </c>
      <c r="F272" s="516">
        <v>128136</v>
      </c>
      <c r="G272" s="566">
        <f t="shared" si="6"/>
        <v>-3927.5899999999965</v>
      </c>
    </row>
    <row r="273" spans="2:7">
      <c r="B273" s="139" t="s">
        <v>2588</v>
      </c>
      <c r="C273" s="140" t="s">
        <v>1552</v>
      </c>
      <c r="D273" s="140" t="s">
        <v>2589</v>
      </c>
      <c r="E273" s="634">
        <v>6641.89</v>
      </c>
      <c r="F273" s="516">
        <v>6642</v>
      </c>
      <c r="G273" s="566">
        <f t="shared" si="6"/>
        <v>-0.10999999999967258</v>
      </c>
    </row>
    <row r="274" spans="2:7">
      <c r="B274" s="139" t="s">
        <v>2590</v>
      </c>
      <c r="C274" s="140" t="s">
        <v>1552</v>
      </c>
      <c r="D274" s="140" t="s">
        <v>545</v>
      </c>
      <c r="E274" s="634">
        <v>0</v>
      </c>
      <c r="F274" s="516">
        <v>0</v>
      </c>
      <c r="G274" s="566">
        <f t="shared" si="6"/>
        <v>0</v>
      </c>
    </row>
    <row r="275" spans="2:7">
      <c r="B275" s="139" t="s">
        <v>2591</v>
      </c>
      <c r="C275" s="140" t="s">
        <v>1552</v>
      </c>
      <c r="D275" s="140" t="s">
        <v>545</v>
      </c>
      <c r="E275" s="634">
        <v>8119.73</v>
      </c>
      <c r="F275" s="516">
        <v>8120</v>
      </c>
      <c r="G275" s="566">
        <f t="shared" si="6"/>
        <v>-0.27000000000043656</v>
      </c>
    </row>
    <row r="276" spans="2:7">
      <c r="B276" s="139" t="s">
        <v>2592</v>
      </c>
      <c r="C276" s="140" t="s">
        <v>1552</v>
      </c>
      <c r="D276" s="140" t="s">
        <v>95</v>
      </c>
      <c r="E276" s="139">
        <v>0</v>
      </c>
      <c r="F276" s="516">
        <v>0</v>
      </c>
      <c r="G276" s="566">
        <f t="shared" si="6"/>
        <v>0</v>
      </c>
    </row>
    <row r="277" spans="2:7">
      <c r="B277" s="139" t="s">
        <v>2056</v>
      </c>
      <c r="C277" s="140" t="s">
        <v>1552</v>
      </c>
      <c r="D277" s="140" t="s">
        <v>595</v>
      </c>
      <c r="E277" s="634">
        <v>318.64999999999998</v>
      </c>
      <c r="F277" s="516">
        <v>318</v>
      </c>
      <c r="G277" s="566">
        <f t="shared" si="6"/>
        <v>0.64999999999997726</v>
      </c>
    </row>
    <row r="278" spans="2:7">
      <c r="B278" s="139" t="s">
        <v>2057</v>
      </c>
      <c r="C278" s="140" t="s">
        <v>1552</v>
      </c>
      <c r="D278" s="140" t="s">
        <v>545</v>
      </c>
      <c r="E278" s="634">
        <v>178513.09</v>
      </c>
      <c r="F278" s="516">
        <v>190120</v>
      </c>
      <c r="G278" s="566">
        <f t="shared" si="6"/>
        <v>-11606.910000000003</v>
      </c>
    </row>
    <row r="279" spans="2:7">
      <c r="B279" s="139" t="s">
        <v>336</v>
      </c>
      <c r="C279" s="140" t="s">
        <v>1552</v>
      </c>
      <c r="D279" s="140" t="s">
        <v>595</v>
      </c>
      <c r="E279" s="634">
        <v>1587.62</v>
      </c>
      <c r="F279" s="516">
        <v>1740</v>
      </c>
      <c r="G279" s="566">
        <f t="shared" si="6"/>
        <v>-152.38000000000011</v>
      </c>
    </row>
    <row r="280" spans="2:7">
      <c r="B280" s="139" t="s">
        <v>337</v>
      </c>
      <c r="C280" s="140" t="s">
        <v>1552</v>
      </c>
      <c r="D280" s="140" t="s">
        <v>338</v>
      </c>
      <c r="E280" s="634">
        <v>1174481.3700000001</v>
      </c>
      <c r="F280" s="516">
        <v>1174558</v>
      </c>
      <c r="G280" s="635">
        <f t="shared" si="6"/>
        <v>-76.629999999888241</v>
      </c>
    </row>
    <row r="281" spans="2:7">
      <c r="B281" s="139" t="s">
        <v>339</v>
      </c>
      <c r="C281" s="140" t="s">
        <v>1552</v>
      </c>
      <c r="D281" s="140" t="s">
        <v>545</v>
      </c>
      <c r="E281" s="139">
        <v>0</v>
      </c>
      <c r="F281" s="516">
        <v>0</v>
      </c>
      <c r="G281" s="566">
        <f t="shared" si="6"/>
        <v>0</v>
      </c>
    </row>
    <row r="282" spans="2:7">
      <c r="B282" s="139" t="s">
        <v>340</v>
      </c>
      <c r="C282" s="140" t="s">
        <v>1552</v>
      </c>
      <c r="D282" s="140" t="s">
        <v>545</v>
      </c>
      <c r="E282" s="634">
        <v>39475.21</v>
      </c>
      <c r="F282" s="516">
        <v>39769</v>
      </c>
      <c r="G282" s="566">
        <f t="shared" si="6"/>
        <v>-293.79000000000087</v>
      </c>
    </row>
    <row r="283" spans="2:7">
      <c r="B283" s="139" t="s">
        <v>361</v>
      </c>
      <c r="C283" s="140" t="s">
        <v>1552</v>
      </c>
      <c r="D283" s="140" t="s">
        <v>595</v>
      </c>
      <c r="E283" s="139">
        <v>0</v>
      </c>
      <c r="F283" s="516">
        <v>0</v>
      </c>
      <c r="G283" s="566">
        <f t="shared" si="6"/>
        <v>0</v>
      </c>
    </row>
    <row r="284" spans="2:7">
      <c r="B284" s="139" t="s">
        <v>362</v>
      </c>
      <c r="C284" s="140" t="s">
        <v>1552</v>
      </c>
      <c r="D284" s="140" t="s">
        <v>2331</v>
      </c>
      <c r="E284" s="139">
        <v>0</v>
      </c>
      <c r="F284" s="516">
        <v>0</v>
      </c>
      <c r="G284" s="566">
        <f t="shared" si="6"/>
        <v>0</v>
      </c>
    </row>
    <row r="285" spans="2:7">
      <c r="B285" s="139" t="s">
        <v>369</v>
      </c>
      <c r="C285" s="140" t="s">
        <v>1552</v>
      </c>
      <c r="D285" s="140" t="s">
        <v>545</v>
      </c>
      <c r="E285" s="139">
        <v>0</v>
      </c>
      <c r="F285" s="516">
        <v>0</v>
      </c>
      <c r="G285" s="566">
        <f t="shared" si="6"/>
        <v>0</v>
      </c>
    </row>
    <row r="286" spans="2:7">
      <c r="B286" s="139" t="s">
        <v>1453</v>
      </c>
      <c r="C286" s="140" t="s">
        <v>1552</v>
      </c>
      <c r="D286" s="140" t="s">
        <v>595</v>
      </c>
      <c r="E286" s="634">
        <v>12628.51</v>
      </c>
      <c r="F286" s="516">
        <v>12629</v>
      </c>
      <c r="G286" s="566">
        <f t="shared" si="6"/>
        <v>-0.48999999999978172</v>
      </c>
    </row>
    <row r="287" spans="2:7">
      <c r="B287" s="139" t="s">
        <v>1454</v>
      </c>
      <c r="C287" s="140" t="s">
        <v>1552</v>
      </c>
      <c r="D287" s="140" t="s">
        <v>1235</v>
      </c>
      <c r="E287" s="634">
        <v>154176.53</v>
      </c>
      <c r="F287" s="516">
        <v>154176</v>
      </c>
      <c r="G287" s="566">
        <f t="shared" si="6"/>
        <v>0.52999999999883585</v>
      </c>
    </row>
    <row r="288" spans="2:7">
      <c r="B288" s="139" t="s">
        <v>1456</v>
      </c>
      <c r="C288" s="140" t="s">
        <v>1552</v>
      </c>
      <c r="D288" s="140" t="s">
        <v>545</v>
      </c>
      <c r="E288" s="634">
        <v>3821.73</v>
      </c>
      <c r="F288" s="516">
        <v>3822</v>
      </c>
      <c r="G288" s="566">
        <f t="shared" si="6"/>
        <v>-0.26999999999998181</v>
      </c>
    </row>
    <row r="289" spans="2:7">
      <c r="E289" s="636">
        <f>SUM(E246:E288)</f>
        <v>4793500.4600000009</v>
      </c>
      <c r="F289" s="565">
        <f>SUM(F246:F288)</f>
        <v>4813936</v>
      </c>
      <c r="G289" s="566">
        <f t="shared" si="6"/>
        <v>-20435.539999999106</v>
      </c>
    </row>
    <row r="291" spans="2:7">
      <c r="B291" s="139" t="s">
        <v>596</v>
      </c>
      <c r="C291" s="140" t="s">
        <v>2469</v>
      </c>
      <c r="D291" s="140" t="s">
        <v>2315</v>
      </c>
      <c r="E291" s="634">
        <f>'TRAIL BALANCE'!S47</f>
        <v>353708.75</v>
      </c>
      <c r="F291" s="516">
        <v>115971</v>
      </c>
      <c r="G291" s="635">
        <f t="shared" si="6"/>
        <v>237737.75</v>
      </c>
    </row>
    <row r="292" spans="2:7">
      <c r="B292" s="139" t="s">
        <v>1167</v>
      </c>
      <c r="C292" s="140" t="s">
        <v>2469</v>
      </c>
      <c r="D292" s="140" t="s">
        <v>2315</v>
      </c>
      <c r="E292" s="634">
        <v>43612.21</v>
      </c>
      <c r="F292" s="516">
        <v>43613</v>
      </c>
      <c r="G292" s="566">
        <f t="shared" si="6"/>
        <v>-0.79000000000087311</v>
      </c>
    </row>
    <row r="293" spans="2:7">
      <c r="B293" s="139" t="s">
        <v>2593</v>
      </c>
      <c r="C293" s="140" t="s">
        <v>2469</v>
      </c>
      <c r="D293" s="140" t="s">
        <v>2315</v>
      </c>
      <c r="E293" s="634">
        <v>37309.78</v>
      </c>
      <c r="F293" s="516">
        <v>37310</v>
      </c>
      <c r="G293" s="566">
        <f t="shared" si="6"/>
        <v>-0.22000000000116415</v>
      </c>
    </row>
    <row r="294" spans="2:7">
      <c r="B294" s="139" t="s">
        <v>2058</v>
      </c>
      <c r="C294" s="140" t="s">
        <v>2469</v>
      </c>
      <c r="D294" s="140" t="s">
        <v>2315</v>
      </c>
      <c r="E294" s="634">
        <v>1593158.2</v>
      </c>
      <c r="F294" s="516">
        <v>1593158</v>
      </c>
      <c r="G294" s="566">
        <f t="shared" si="6"/>
        <v>0.19999999995343387</v>
      </c>
    </row>
    <row r="295" spans="2:7">
      <c r="B295" s="139" t="s">
        <v>341</v>
      </c>
      <c r="C295" s="140" t="s">
        <v>2469</v>
      </c>
      <c r="D295" s="140" t="s">
        <v>2315</v>
      </c>
      <c r="E295" s="634">
        <v>251129.12</v>
      </c>
      <c r="F295" s="516">
        <v>251130</v>
      </c>
      <c r="G295" s="566">
        <f t="shared" si="6"/>
        <v>-0.88000000000465661</v>
      </c>
    </row>
    <row r="296" spans="2:7">
      <c r="B296" s="139" t="s">
        <v>1457</v>
      </c>
      <c r="C296" s="140" t="s">
        <v>2469</v>
      </c>
      <c r="D296" s="140" t="s">
        <v>2315</v>
      </c>
      <c r="E296" s="634">
        <v>33699.43</v>
      </c>
      <c r="F296" s="516">
        <v>33700</v>
      </c>
      <c r="G296" s="566">
        <f t="shared" si="6"/>
        <v>-0.56999999999970896</v>
      </c>
    </row>
    <row r="297" spans="2:7">
      <c r="E297" s="565">
        <f>SUM(E291:E296)</f>
        <v>2312617.4900000002</v>
      </c>
      <c r="F297" s="567">
        <f>SUM(F291:F296)</f>
        <v>2074882</v>
      </c>
    </row>
    <row r="301" spans="2:7">
      <c r="B301" s="139" t="s">
        <v>343</v>
      </c>
      <c r="C301" s="140" t="s">
        <v>18</v>
      </c>
      <c r="D301" s="140" t="s">
        <v>344</v>
      </c>
      <c r="E301" s="634">
        <f>'TRAIL BALANCE'!S655</f>
        <v>28933065.280000001</v>
      </c>
      <c r="F301" s="516">
        <v>21873229</v>
      </c>
      <c r="G301" s="566">
        <f>E301-F301</f>
        <v>7059836.2800000012</v>
      </c>
    </row>
    <row r="302" spans="2:7">
      <c r="E302" s="565">
        <f>SUM(E301)</f>
        <v>28933065.280000001</v>
      </c>
      <c r="F302" s="567">
        <f>'TRAIL BALANCE'!T655</f>
        <v>25764528</v>
      </c>
    </row>
    <row r="305" spans="2:7">
      <c r="B305" s="139" t="s">
        <v>599</v>
      </c>
      <c r="C305" s="140" t="s">
        <v>19</v>
      </c>
      <c r="D305" s="140" t="s">
        <v>600</v>
      </c>
      <c r="E305" s="634">
        <f>'TRAIL BALANCE'!S49</f>
        <v>2711937.93</v>
      </c>
      <c r="F305" s="516">
        <v>2711937</v>
      </c>
      <c r="G305" s="566">
        <f>E305-F305</f>
        <v>0.93000000016763806</v>
      </c>
    </row>
    <row r="306" spans="2:7">
      <c r="E306" s="636">
        <f>SUM(E305)</f>
        <v>2711937.93</v>
      </c>
      <c r="F306" s="565">
        <f>SUM(F305)</f>
        <v>2711937</v>
      </c>
    </row>
    <row r="310" spans="2:7">
      <c r="B310" s="139" t="s">
        <v>2962</v>
      </c>
      <c r="C310" s="140"/>
      <c r="D310" s="140"/>
      <c r="E310" s="634">
        <v>2750000</v>
      </c>
      <c r="F310" s="516">
        <v>2750000</v>
      </c>
      <c r="G310" s="566">
        <f>E310-F310</f>
        <v>0</v>
      </c>
    </row>
    <row r="311" spans="2:7">
      <c r="B311" s="139" t="s">
        <v>2705</v>
      </c>
      <c r="C311" s="140"/>
      <c r="D311" s="140"/>
      <c r="E311" s="634">
        <v>735000</v>
      </c>
      <c r="F311" s="516">
        <v>735000</v>
      </c>
      <c r="G311" s="566">
        <f>E311-F311</f>
        <v>0</v>
      </c>
    </row>
    <row r="312" spans="2:7">
      <c r="E312" s="636">
        <f>SUM(E310:E311)</f>
        <v>3485000</v>
      </c>
      <c r="F312" s="565">
        <f>SUM(F310:F311)</f>
        <v>3485000</v>
      </c>
    </row>
    <row r="314" spans="2:7">
      <c r="B314" s="209" t="s">
        <v>3496</v>
      </c>
    </row>
    <row r="315" spans="2:7">
      <c r="B315" s="160" t="s">
        <v>3954</v>
      </c>
      <c r="C315" s="166"/>
      <c r="D315" s="166"/>
      <c r="E315" s="634">
        <v>3884563.47</v>
      </c>
      <c r="F315" s="516"/>
      <c r="G315" s="566">
        <f>E315-F315</f>
        <v>3884563.47</v>
      </c>
    </row>
    <row r="317" spans="2:7">
      <c r="B317" s="209" t="s">
        <v>3497</v>
      </c>
    </row>
    <row r="318" spans="2:7">
      <c r="B318" s="139" t="s">
        <v>3392</v>
      </c>
      <c r="C318" s="140"/>
      <c r="D318" s="140"/>
      <c r="E318" s="634">
        <f>'TRAIL BALANCE'!S324</f>
        <v>412318.9</v>
      </c>
      <c r="F318" s="516"/>
      <c r="G318" s="635">
        <f>E318-F318</f>
        <v>412318.9</v>
      </c>
    </row>
    <row r="321" spans="2:7">
      <c r="B321" s="168" t="s">
        <v>267</v>
      </c>
      <c r="C321" s="455" t="s">
        <v>1553</v>
      </c>
      <c r="D321" s="455" t="s">
        <v>592</v>
      </c>
      <c r="E321" s="634">
        <f>'TRAIL BALANCE'!S322</f>
        <v>1634831.65</v>
      </c>
      <c r="F321" s="523">
        <v>155227</v>
      </c>
      <c r="G321" s="635">
        <f t="shared" ref="G321:G328" si="7">E321-F321</f>
        <v>1479604.65</v>
      </c>
    </row>
    <row r="322" spans="2:7">
      <c r="B322" s="168" t="s">
        <v>268</v>
      </c>
      <c r="C322" s="455" t="s">
        <v>1553</v>
      </c>
      <c r="D322" s="455" t="s">
        <v>592</v>
      </c>
      <c r="E322" s="634">
        <f>'TRAIL BALANCE'!S323</f>
        <v>258065.09</v>
      </c>
      <c r="F322" s="523">
        <v>258065</v>
      </c>
      <c r="G322" s="566">
        <f t="shared" si="7"/>
        <v>8.999999999650754E-2</v>
      </c>
    </row>
    <row r="323" spans="2:7">
      <c r="B323" s="168" t="s">
        <v>3392</v>
      </c>
      <c r="C323" s="455"/>
      <c r="D323" s="455"/>
      <c r="E323" s="168">
        <f>'TRAIL BALANCE'!S324</f>
        <v>412318.9</v>
      </c>
      <c r="F323" s="523"/>
      <c r="G323" s="566">
        <f t="shared" si="7"/>
        <v>412318.9</v>
      </c>
    </row>
    <row r="324" spans="2:7">
      <c r="B324" s="168" t="s">
        <v>270</v>
      </c>
      <c r="C324" s="455" t="s">
        <v>1555</v>
      </c>
      <c r="D324" s="455" t="s">
        <v>592</v>
      </c>
      <c r="E324" s="168">
        <v>0</v>
      </c>
      <c r="F324" s="523">
        <v>552227</v>
      </c>
      <c r="G324" s="566">
        <f t="shared" si="7"/>
        <v>-552227</v>
      </c>
    </row>
    <row r="325" spans="2:7">
      <c r="E325" s="565">
        <f>SUM(E321:E324)</f>
        <v>2305215.64</v>
      </c>
      <c r="F325" s="565">
        <f>SUM(F321:F324)</f>
        <v>965519</v>
      </c>
      <c r="G325" s="566">
        <f t="shared" si="7"/>
        <v>1339696.6400000001</v>
      </c>
    </row>
    <row r="326" spans="2:7">
      <c r="G326" s="566">
        <f t="shared" si="7"/>
        <v>0</v>
      </c>
    </row>
    <row r="327" spans="2:7">
      <c r="G327" s="566">
        <f t="shared" si="7"/>
        <v>0</v>
      </c>
    </row>
    <row r="328" spans="2:7">
      <c r="B328" s="144" t="s">
        <v>269</v>
      </c>
      <c r="C328" s="145" t="s">
        <v>1553</v>
      </c>
      <c r="D328" s="145" t="s">
        <v>575</v>
      </c>
      <c r="E328" s="634">
        <f>'TRAIL BALANCE'!S325</f>
        <v>0</v>
      </c>
      <c r="F328" s="516">
        <v>552227</v>
      </c>
      <c r="G328" s="635">
        <f t="shared" si="7"/>
        <v>-552227</v>
      </c>
    </row>
    <row r="331" spans="2:7">
      <c r="B331" s="139" t="s">
        <v>609</v>
      </c>
      <c r="C331" s="140" t="s">
        <v>1553</v>
      </c>
      <c r="D331" s="140" t="s">
        <v>610</v>
      </c>
      <c r="E331" s="634">
        <f>94022.3-1481.68</f>
        <v>92540.62000000001</v>
      </c>
      <c r="F331" s="516">
        <v>94206</v>
      </c>
      <c r="G331" s="566">
        <f t="shared" ref="G331:G362" si="8">E331-F331</f>
        <v>-1665.3799999999901</v>
      </c>
    </row>
    <row r="332" spans="2:7">
      <c r="B332" s="139" t="s">
        <v>3460</v>
      </c>
      <c r="C332" s="140"/>
      <c r="D332" s="140" t="s">
        <v>610</v>
      </c>
      <c r="E332" s="634">
        <v>96800</v>
      </c>
      <c r="F332" s="516">
        <v>96800</v>
      </c>
      <c r="G332" s="566">
        <f t="shared" si="8"/>
        <v>0</v>
      </c>
    </row>
    <row r="333" spans="2:7">
      <c r="B333" s="139" t="s">
        <v>1663</v>
      </c>
      <c r="C333" s="140" t="s">
        <v>1553</v>
      </c>
      <c r="D333" s="140" t="s">
        <v>610</v>
      </c>
      <c r="E333" s="634">
        <v>7519</v>
      </c>
      <c r="F333" s="516">
        <v>7519</v>
      </c>
      <c r="G333" s="566">
        <f t="shared" si="8"/>
        <v>0</v>
      </c>
    </row>
    <row r="334" spans="2:7">
      <c r="B334" s="139" t="s">
        <v>3462</v>
      </c>
      <c r="C334" s="140"/>
      <c r="D334" s="140" t="s">
        <v>610</v>
      </c>
      <c r="E334" s="634">
        <v>2934.3</v>
      </c>
      <c r="F334" s="516">
        <v>3109</v>
      </c>
      <c r="G334" s="566">
        <f t="shared" si="8"/>
        <v>-174.69999999999982</v>
      </c>
    </row>
    <row r="335" spans="2:7">
      <c r="B335" s="139" t="s">
        <v>241</v>
      </c>
      <c r="C335" s="140" t="s">
        <v>1553</v>
      </c>
      <c r="D335" s="140" t="s">
        <v>242</v>
      </c>
      <c r="E335" s="634">
        <v>1436790.58</v>
      </c>
      <c r="F335" s="516">
        <v>1436790</v>
      </c>
      <c r="G335" s="566">
        <f t="shared" si="8"/>
        <v>0.58000000007450581</v>
      </c>
    </row>
    <row r="336" spans="2:7">
      <c r="B336" s="139" t="s">
        <v>243</v>
      </c>
      <c r="C336" s="140" t="s">
        <v>1553</v>
      </c>
      <c r="D336" s="140" t="s">
        <v>242</v>
      </c>
      <c r="E336" s="634">
        <v>728360.41</v>
      </c>
      <c r="F336" s="516">
        <v>728360</v>
      </c>
      <c r="G336" s="566">
        <f t="shared" si="8"/>
        <v>0.41000000003259629</v>
      </c>
    </row>
    <row r="337" spans="2:7">
      <c r="B337" s="139" t="s">
        <v>244</v>
      </c>
      <c r="C337" s="140" t="s">
        <v>1553</v>
      </c>
      <c r="D337" s="140" t="s">
        <v>2450</v>
      </c>
      <c r="E337" s="634">
        <v>355338.47</v>
      </c>
      <c r="F337" s="516">
        <v>355338</v>
      </c>
      <c r="G337" s="566">
        <f t="shared" si="8"/>
        <v>0.46999999997206032</v>
      </c>
    </row>
    <row r="338" spans="2:7">
      <c r="B338" s="139" t="s">
        <v>1340</v>
      </c>
      <c r="C338" s="140" t="s">
        <v>1553</v>
      </c>
      <c r="D338" s="140" t="s">
        <v>62</v>
      </c>
      <c r="E338" s="634">
        <v>3325</v>
      </c>
      <c r="F338" s="516">
        <v>3325</v>
      </c>
      <c r="G338" s="566">
        <f t="shared" si="8"/>
        <v>0</v>
      </c>
    </row>
    <row r="339" spans="2:7">
      <c r="B339" s="139" t="s">
        <v>2683</v>
      </c>
      <c r="C339" s="140" t="s">
        <v>1553</v>
      </c>
      <c r="D339" s="140" t="s">
        <v>2691</v>
      </c>
      <c r="E339" s="634">
        <v>304405.32</v>
      </c>
      <c r="F339" s="516">
        <v>304406</v>
      </c>
      <c r="G339" s="566">
        <f t="shared" si="8"/>
        <v>-0.67999999999301508</v>
      </c>
    </row>
    <row r="340" spans="2:7">
      <c r="B340" s="139" t="s">
        <v>2704</v>
      </c>
      <c r="C340" s="140"/>
      <c r="D340" s="140" t="s">
        <v>3770</v>
      </c>
      <c r="E340" s="634">
        <v>20386.37</v>
      </c>
      <c r="F340" s="516">
        <v>20386</v>
      </c>
      <c r="G340" s="566">
        <f t="shared" si="8"/>
        <v>0.36999999999898137</v>
      </c>
    </row>
    <row r="341" spans="2:7">
      <c r="B341" s="139" t="s">
        <v>611</v>
      </c>
      <c r="C341" s="140" t="s">
        <v>1553</v>
      </c>
      <c r="D341" s="140" t="s">
        <v>612</v>
      </c>
      <c r="E341" s="634">
        <v>61115.45</v>
      </c>
      <c r="F341" s="516">
        <v>61116</v>
      </c>
      <c r="G341" s="566">
        <f t="shared" si="8"/>
        <v>-0.55000000000291038</v>
      </c>
    </row>
    <row r="342" spans="2:7">
      <c r="B342" s="139" t="s">
        <v>97</v>
      </c>
      <c r="C342" s="140" t="s">
        <v>1553</v>
      </c>
      <c r="D342" s="140" t="s">
        <v>612</v>
      </c>
      <c r="E342" s="634">
        <v>51616</v>
      </c>
      <c r="F342" s="516">
        <v>51617</v>
      </c>
      <c r="G342" s="566">
        <f t="shared" si="8"/>
        <v>-1</v>
      </c>
    </row>
    <row r="343" spans="2:7">
      <c r="B343" s="139" t="s">
        <v>150</v>
      </c>
      <c r="C343" s="140" t="s">
        <v>1553</v>
      </c>
      <c r="D343" s="140" t="s">
        <v>612</v>
      </c>
      <c r="E343" s="634">
        <v>3484.63</v>
      </c>
      <c r="F343" s="516">
        <v>3485</v>
      </c>
      <c r="G343" s="566">
        <f t="shared" si="8"/>
        <v>-0.36999999999989086</v>
      </c>
    </row>
    <row r="344" spans="2:7">
      <c r="B344" s="139" t="s">
        <v>163</v>
      </c>
      <c r="C344" s="140" t="s">
        <v>1553</v>
      </c>
      <c r="D344" s="140" t="s">
        <v>612</v>
      </c>
      <c r="E344" s="634">
        <v>228.57</v>
      </c>
      <c r="F344" s="516">
        <v>229</v>
      </c>
      <c r="G344" s="566">
        <f t="shared" si="8"/>
        <v>-0.43000000000000682</v>
      </c>
    </row>
    <row r="345" spans="2:7">
      <c r="B345" s="139" t="s">
        <v>245</v>
      </c>
      <c r="C345" s="140" t="s">
        <v>1553</v>
      </c>
      <c r="D345" s="140" t="s">
        <v>612</v>
      </c>
      <c r="E345" s="634">
        <v>24569.34</v>
      </c>
      <c r="F345" s="516">
        <v>24570</v>
      </c>
      <c r="G345" s="566">
        <f t="shared" si="8"/>
        <v>-0.65999999999985448</v>
      </c>
    </row>
    <row r="346" spans="2:7">
      <c r="B346" s="139" t="s">
        <v>1143</v>
      </c>
      <c r="C346" s="140" t="s">
        <v>1553</v>
      </c>
      <c r="D346" s="140" t="s">
        <v>612</v>
      </c>
      <c r="E346" s="634">
        <v>166</v>
      </c>
      <c r="F346" s="516">
        <v>167</v>
      </c>
      <c r="G346" s="566">
        <f t="shared" si="8"/>
        <v>-1</v>
      </c>
    </row>
    <row r="347" spans="2:7">
      <c r="B347" s="139" t="s">
        <v>1419</v>
      </c>
      <c r="C347" s="140" t="s">
        <v>1553</v>
      </c>
      <c r="D347" s="140" t="s">
        <v>612</v>
      </c>
      <c r="E347" s="634">
        <v>3085</v>
      </c>
      <c r="F347" s="516">
        <v>3085</v>
      </c>
      <c r="G347" s="566">
        <f t="shared" si="8"/>
        <v>0</v>
      </c>
    </row>
    <row r="348" spans="2:7">
      <c r="B348" s="139" t="s">
        <v>1427</v>
      </c>
      <c r="C348" s="140" t="s">
        <v>1553</v>
      </c>
      <c r="D348" s="140" t="s">
        <v>612</v>
      </c>
      <c r="E348" s="634">
        <v>981</v>
      </c>
      <c r="F348" s="516">
        <v>981</v>
      </c>
      <c r="G348" s="566">
        <f t="shared" si="8"/>
        <v>0</v>
      </c>
    </row>
    <row r="349" spans="2:7">
      <c r="B349" s="139" t="s">
        <v>1459</v>
      </c>
      <c r="C349" s="140" t="s">
        <v>1553</v>
      </c>
      <c r="D349" s="140" t="s">
        <v>612</v>
      </c>
      <c r="E349" s="634">
        <v>17160.96</v>
      </c>
      <c r="F349" s="516">
        <v>17161</v>
      </c>
      <c r="G349" s="566">
        <f t="shared" si="8"/>
        <v>-4.0000000000873115E-2</v>
      </c>
    </row>
    <row r="350" spans="2:7">
      <c r="B350" s="139" t="s">
        <v>98</v>
      </c>
      <c r="C350" s="140" t="s">
        <v>1553</v>
      </c>
      <c r="D350" s="140" t="s">
        <v>99</v>
      </c>
      <c r="E350" s="634">
        <f>2250464.34-294395.63</f>
        <v>1956068.71</v>
      </c>
      <c r="F350" s="516">
        <v>2224963</v>
      </c>
      <c r="G350" s="635">
        <f t="shared" si="8"/>
        <v>-268894.29000000004</v>
      </c>
    </row>
    <row r="351" spans="2:7">
      <c r="B351" s="139" t="s">
        <v>1665</v>
      </c>
      <c r="C351" s="140" t="s">
        <v>1553</v>
      </c>
      <c r="D351" s="140" t="s">
        <v>99</v>
      </c>
      <c r="E351" s="634">
        <v>280704.07</v>
      </c>
      <c r="F351" s="516">
        <v>280704</v>
      </c>
      <c r="G351" s="566">
        <f t="shared" si="8"/>
        <v>7.0000000006984919E-2</v>
      </c>
    </row>
    <row r="352" spans="2:7">
      <c r="B352" s="139" t="s">
        <v>164</v>
      </c>
      <c r="C352" s="140" t="s">
        <v>1553</v>
      </c>
      <c r="D352" s="140" t="s">
        <v>99</v>
      </c>
      <c r="E352" s="634">
        <v>180533.55</v>
      </c>
      <c r="F352" s="516">
        <v>180533</v>
      </c>
      <c r="G352" s="566">
        <f t="shared" si="8"/>
        <v>0.54999999998835847</v>
      </c>
    </row>
    <row r="353" spans="2:7">
      <c r="B353" s="139" t="s">
        <v>246</v>
      </c>
      <c r="C353" s="140" t="s">
        <v>1553</v>
      </c>
      <c r="D353" s="140" t="s">
        <v>99</v>
      </c>
      <c r="E353" s="634">
        <v>104024.89</v>
      </c>
      <c r="F353" s="516">
        <v>104025</v>
      </c>
      <c r="G353" s="566">
        <f t="shared" si="8"/>
        <v>-0.11000000000058208</v>
      </c>
    </row>
    <row r="354" spans="2:7">
      <c r="B354" s="139" t="s">
        <v>1144</v>
      </c>
      <c r="C354" s="140" t="s">
        <v>1553</v>
      </c>
      <c r="D354" s="140" t="s">
        <v>99</v>
      </c>
      <c r="E354" s="634">
        <v>443424.65</v>
      </c>
      <c r="F354" s="516">
        <v>443424</v>
      </c>
      <c r="G354" s="566">
        <f t="shared" si="8"/>
        <v>0.65000000002328306</v>
      </c>
    </row>
    <row r="355" spans="2:7">
      <c r="B355" s="139" t="s">
        <v>615</v>
      </c>
      <c r="C355" s="140" t="s">
        <v>1553</v>
      </c>
      <c r="D355" s="140" t="s">
        <v>616</v>
      </c>
      <c r="E355" s="634">
        <v>34133.5</v>
      </c>
      <c r="F355" s="516">
        <v>34133</v>
      </c>
      <c r="G355" s="566">
        <f t="shared" si="8"/>
        <v>0.5</v>
      </c>
    </row>
    <row r="356" spans="2:7">
      <c r="B356" s="139" t="s">
        <v>100</v>
      </c>
      <c r="C356" s="140" t="s">
        <v>1553</v>
      </c>
      <c r="D356" s="140" t="s">
        <v>616</v>
      </c>
      <c r="E356" s="634">
        <v>593.46</v>
      </c>
      <c r="F356" s="516">
        <v>594</v>
      </c>
      <c r="G356" s="566">
        <f t="shared" si="8"/>
        <v>-0.53999999999996362</v>
      </c>
    </row>
    <row r="357" spans="2:7">
      <c r="B357" s="139" t="s">
        <v>152</v>
      </c>
      <c r="C357" s="140" t="s">
        <v>1553</v>
      </c>
      <c r="D357" s="140" t="s">
        <v>616</v>
      </c>
      <c r="E357" s="634">
        <v>1607.36</v>
      </c>
      <c r="F357" s="516">
        <v>1608</v>
      </c>
      <c r="G357" s="566">
        <f t="shared" si="8"/>
        <v>-0.64000000000010004</v>
      </c>
    </row>
    <row r="358" spans="2:7">
      <c r="B358" s="139" t="s">
        <v>185</v>
      </c>
      <c r="C358" s="140" t="s">
        <v>1553</v>
      </c>
      <c r="D358" s="140" t="s">
        <v>616</v>
      </c>
      <c r="E358" s="634">
        <v>1709.51</v>
      </c>
      <c r="F358" s="516">
        <v>1709</v>
      </c>
      <c r="G358" s="566">
        <f t="shared" si="8"/>
        <v>0.50999999999999091</v>
      </c>
    </row>
    <row r="359" spans="2:7">
      <c r="B359" s="139" t="s">
        <v>213</v>
      </c>
      <c r="C359" s="140" t="s">
        <v>1553</v>
      </c>
      <c r="D359" s="140" t="s">
        <v>616</v>
      </c>
      <c r="E359" s="634">
        <v>12</v>
      </c>
      <c r="F359" s="516">
        <v>13</v>
      </c>
      <c r="G359" s="566">
        <f t="shared" si="8"/>
        <v>-1</v>
      </c>
    </row>
    <row r="360" spans="2:7">
      <c r="B360" s="139" t="s">
        <v>1358</v>
      </c>
      <c r="C360" s="140" t="s">
        <v>1553</v>
      </c>
      <c r="D360" s="140" t="s">
        <v>616</v>
      </c>
      <c r="E360" s="634">
        <v>1161.56</v>
      </c>
      <c r="F360" s="516">
        <v>1162</v>
      </c>
      <c r="G360" s="566">
        <f t="shared" si="8"/>
        <v>-0.44000000000005457</v>
      </c>
    </row>
    <row r="361" spans="2:7">
      <c r="B361" s="139" t="s">
        <v>1379</v>
      </c>
      <c r="C361" s="140" t="s">
        <v>1553</v>
      </c>
      <c r="D361" s="140" t="s">
        <v>616</v>
      </c>
      <c r="E361" s="634">
        <v>2704.05</v>
      </c>
      <c r="F361" s="516">
        <v>2705</v>
      </c>
      <c r="G361" s="566">
        <f t="shared" si="8"/>
        <v>-0.9499999999998181</v>
      </c>
    </row>
    <row r="362" spans="2:7">
      <c r="B362" s="139" t="s">
        <v>1170</v>
      </c>
      <c r="C362" s="140" t="s">
        <v>1553</v>
      </c>
      <c r="D362" s="140" t="s">
        <v>616</v>
      </c>
      <c r="E362" s="634">
        <v>134610.22</v>
      </c>
      <c r="F362" s="516">
        <v>134610</v>
      </c>
      <c r="G362" s="566">
        <f t="shared" si="8"/>
        <v>0.22000000000116415</v>
      </c>
    </row>
    <row r="363" spans="2:7">
      <c r="B363" s="139" t="s">
        <v>2552</v>
      </c>
      <c r="C363" s="140" t="s">
        <v>1553</v>
      </c>
      <c r="D363" s="140" t="s">
        <v>616</v>
      </c>
      <c r="E363" s="634">
        <v>420.29</v>
      </c>
      <c r="F363" s="516">
        <v>421</v>
      </c>
      <c r="G363" s="566">
        <f t="shared" ref="G363:G394" si="9">E363-F363</f>
        <v>-0.70999999999997954</v>
      </c>
    </row>
    <row r="364" spans="2:7">
      <c r="B364" s="139" t="s">
        <v>2595</v>
      </c>
      <c r="C364" s="140" t="s">
        <v>1553</v>
      </c>
      <c r="D364" s="140" t="s">
        <v>616</v>
      </c>
      <c r="E364" s="634">
        <v>-5272.5</v>
      </c>
      <c r="F364" s="516">
        <v>4699</v>
      </c>
      <c r="G364" s="566">
        <f t="shared" si="9"/>
        <v>-9971.5</v>
      </c>
    </row>
    <row r="365" spans="2:7">
      <c r="B365" s="139" t="s">
        <v>297</v>
      </c>
      <c r="C365" s="140" t="s">
        <v>1553</v>
      </c>
      <c r="D365" s="140" t="s">
        <v>616</v>
      </c>
      <c r="E365" s="634">
        <v>70525.34</v>
      </c>
      <c r="F365" s="516">
        <v>70525</v>
      </c>
      <c r="G365" s="566">
        <f t="shared" si="9"/>
        <v>0.33999999999650754</v>
      </c>
    </row>
    <row r="366" spans="2:7">
      <c r="B366" s="139" t="s">
        <v>346</v>
      </c>
      <c r="C366" s="140" t="s">
        <v>1553</v>
      </c>
      <c r="D366" s="140" t="s">
        <v>616</v>
      </c>
      <c r="E366" s="634">
        <v>6652.45</v>
      </c>
      <c r="F366" s="516">
        <v>6653</v>
      </c>
      <c r="G366" s="566">
        <f t="shared" si="9"/>
        <v>-0.5500000000001819</v>
      </c>
    </row>
    <row r="367" spans="2:7">
      <c r="B367" s="139" t="s">
        <v>370</v>
      </c>
      <c r="C367" s="140" t="s">
        <v>1553</v>
      </c>
      <c r="D367" s="140" t="s">
        <v>616</v>
      </c>
      <c r="E367" s="634">
        <v>2446.89</v>
      </c>
      <c r="F367" s="516">
        <v>2446</v>
      </c>
      <c r="G367" s="566">
        <f t="shared" si="9"/>
        <v>0.88999999999987267</v>
      </c>
    </row>
    <row r="368" spans="2:7">
      <c r="B368" s="139" t="s">
        <v>1460</v>
      </c>
      <c r="C368" s="140" t="s">
        <v>1553</v>
      </c>
      <c r="D368" s="140" t="s">
        <v>616</v>
      </c>
      <c r="E368" s="634">
        <v>2698.13</v>
      </c>
      <c r="F368" s="516">
        <v>2698</v>
      </c>
      <c r="G368" s="566">
        <f t="shared" si="9"/>
        <v>0.13000000000010914</v>
      </c>
    </row>
    <row r="369" spans="2:7">
      <c r="B369" s="139" t="s">
        <v>54</v>
      </c>
      <c r="C369" s="140" t="s">
        <v>1553</v>
      </c>
      <c r="D369" s="140" t="s">
        <v>55</v>
      </c>
      <c r="E369" s="634">
        <v>37668.94</v>
      </c>
      <c r="F369" s="516">
        <v>37669</v>
      </c>
      <c r="G369" s="566">
        <f t="shared" si="9"/>
        <v>-5.9999999997671694E-2</v>
      </c>
    </row>
    <row r="370" spans="2:7">
      <c r="B370" s="139" t="s">
        <v>617</v>
      </c>
      <c r="C370" s="140" t="s">
        <v>1553</v>
      </c>
      <c r="D370" s="140" t="s">
        <v>618</v>
      </c>
      <c r="E370" s="634">
        <v>214416.86</v>
      </c>
      <c r="F370" s="516">
        <v>214416</v>
      </c>
      <c r="G370" s="566">
        <f t="shared" si="9"/>
        <v>0.85999999998603016</v>
      </c>
    </row>
    <row r="371" spans="2:7">
      <c r="B371" s="139" t="s">
        <v>619</v>
      </c>
      <c r="C371" s="140" t="s">
        <v>1553</v>
      </c>
      <c r="D371" s="140" t="s">
        <v>620</v>
      </c>
      <c r="E371" s="634">
        <v>242179.95</v>
      </c>
      <c r="F371" s="516">
        <v>242179</v>
      </c>
      <c r="G371" s="566">
        <f t="shared" si="9"/>
        <v>0.95000000001164153</v>
      </c>
    </row>
    <row r="372" spans="2:7">
      <c r="B372" s="139" t="s">
        <v>101</v>
      </c>
      <c r="C372" s="140" t="s">
        <v>1553</v>
      </c>
      <c r="D372" s="140" t="s">
        <v>620</v>
      </c>
      <c r="E372" s="634">
        <v>27739</v>
      </c>
      <c r="F372" s="516">
        <v>27740</v>
      </c>
      <c r="G372" s="566">
        <f t="shared" si="9"/>
        <v>-1</v>
      </c>
    </row>
    <row r="373" spans="2:7">
      <c r="B373" s="139" t="s">
        <v>621</v>
      </c>
      <c r="C373" s="140" t="s">
        <v>1553</v>
      </c>
      <c r="D373" s="140" t="s">
        <v>622</v>
      </c>
      <c r="E373" s="634">
        <v>69385.95</v>
      </c>
      <c r="F373" s="516">
        <v>69386</v>
      </c>
      <c r="G373" s="566">
        <f t="shared" si="9"/>
        <v>-5.0000000002910383E-2</v>
      </c>
    </row>
    <row r="374" spans="2:7">
      <c r="B374" s="139" t="s">
        <v>1359</v>
      </c>
      <c r="C374" s="140" t="s">
        <v>1553</v>
      </c>
      <c r="D374" s="140" t="s">
        <v>622</v>
      </c>
      <c r="E374" s="634">
        <v>4594.92</v>
      </c>
      <c r="F374" s="516">
        <v>4595</v>
      </c>
      <c r="G374" s="566">
        <f t="shared" si="9"/>
        <v>-7.999999999992724E-2</v>
      </c>
    </row>
    <row r="375" spans="2:7">
      <c r="B375" s="139" t="s">
        <v>1171</v>
      </c>
      <c r="C375" s="140" t="s">
        <v>1553</v>
      </c>
      <c r="D375" s="140" t="s">
        <v>622</v>
      </c>
      <c r="E375" s="634">
        <v>116532.57</v>
      </c>
      <c r="F375" s="516">
        <v>116532</v>
      </c>
      <c r="G375" s="566">
        <f t="shared" si="9"/>
        <v>0.57000000000698492</v>
      </c>
    </row>
    <row r="376" spans="2:7">
      <c r="B376" s="139" t="s">
        <v>2596</v>
      </c>
      <c r="C376" s="140" t="s">
        <v>1553</v>
      </c>
      <c r="D376" s="140" t="s">
        <v>622</v>
      </c>
      <c r="E376" s="634">
        <v>128435.57</v>
      </c>
      <c r="F376" s="516">
        <v>128435</v>
      </c>
      <c r="G376" s="566">
        <f t="shared" si="9"/>
        <v>0.57000000000698492</v>
      </c>
    </row>
    <row r="377" spans="2:7">
      <c r="B377" s="139" t="s">
        <v>347</v>
      </c>
      <c r="C377" s="140" t="s">
        <v>1553</v>
      </c>
      <c r="D377" s="140" t="s">
        <v>622</v>
      </c>
      <c r="E377" s="634">
        <v>137254.54999999999</v>
      </c>
      <c r="F377" s="516">
        <v>137254</v>
      </c>
      <c r="G377" s="566">
        <f t="shared" si="9"/>
        <v>0.54999999998835847</v>
      </c>
    </row>
    <row r="378" spans="2:7">
      <c r="B378" s="139" t="s">
        <v>1461</v>
      </c>
      <c r="C378" s="140" t="s">
        <v>1553</v>
      </c>
      <c r="D378" s="140" t="s">
        <v>622</v>
      </c>
      <c r="E378" s="634">
        <v>84842.67</v>
      </c>
      <c r="F378" s="516">
        <v>84842</v>
      </c>
      <c r="G378" s="566">
        <f t="shared" si="9"/>
        <v>0.66999999999825377</v>
      </c>
    </row>
    <row r="379" spans="2:7">
      <c r="B379" s="139" t="s">
        <v>2685</v>
      </c>
      <c r="C379" s="140" t="s">
        <v>1553</v>
      </c>
      <c r="D379" s="140" t="s">
        <v>2732</v>
      </c>
      <c r="E379" s="634">
        <v>28317.360000000001</v>
      </c>
      <c r="F379" s="516">
        <v>28317</v>
      </c>
      <c r="G379" s="566">
        <f t="shared" si="9"/>
        <v>0.36000000000058208</v>
      </c>
    </row>
    <row r="380" spans="2:7">
      <c r="B380" s="139" t="s">
        <v>604</v>
      </c>
      <c r="C380" s="140" t="s">
        <v>1553</v>
      </c>
      <c r="D380" s="140" t="s">
        <v>608</v>
      </c>
      <c r="E380" s="634">
        <v>412242.65</v>
      </c>
      <c r="F380" s="516">
        <v>410264</v>
      </c>
      <c r="G380" s="635">
        <f t="shared" si="9"/>
        <v>1978.6500000000233</v>
      </c>
    </row>
    <row r="381" spans="2:7">
      <c r="B381" s="139" t="s">
        <v>1148</v>
      </c>
      <c r="C381" s="140" t="s">
        <v>1553</v>
      </c>
      <c r="D381" s="140" t="s">
        <v>1149</v>
      </c>
      <c r="E381" s="634">
        <f>-532134.27+237738.64+294395.63</f>
        <v>0</v>
      </c>
      <c r="F381" s="516">
        <v>783341</v>
      </c>
      <c r="G381" s="635">
        <f t="shared" si="9"/>
        <v>-783341</v>
      </c>
    </row>
    <row r="382" spans="2:7">
      <c r="B382" s="139" t="s">
        <v>1336</v>
      </c>
      <c r="C382" s="140" t="s">
        <v>1553</v>
      </c>
      <c r="D382" s="140" t="s">
        <v>1337</v>
      </c>
      <c r="E382" s="634">
        <v>750</v>
      </c>
      <c r="F382" s="516">
        <v>750</v>
      </c>
      <c r="G382" s="566">
        <f t="shared" si="9"/>
        <v>0</v>
      </c>
    </row>
    <row r="383" spans="2:7">
      <c r="B383" s="139" t="s">
        <v>1410</v>
      </c>
      <c r="C383" s="140" t="s">
        <v>1553</v>
      </c>
      <c r="D383" s="140" t="s">
        <v>461</v>
      </c>
      <c r="E383" s="634">
        <v>27544.85</v>
      </c>
      <c r="F383" s="516">
        <v>27545</v>
      </c>
      <c r="G383" s="566">
        <f t="shared" si="9"/>
        <v>-0.15000000000145519</v>
      </c>
    </row>
    <row r="384" spans="2:7">
      <c r="B384" s="139" t="s">
        <v>2700</v>
      </c>
      <c r="C384" s="140"/>
      <c r="D384" s="140" t="s">
        <v>261</v>
      </c>
      <c r="E384" s="634">
        <v>1432846.15</v>
      </c>
      <c r="F384" s="516">
        <v>1432846</v>
      </c>
      <c r="G384" s="566">
        <f t="shared" si="9"/>
        <v>0.14999999990686774</v>
      </c>
    </row>
    <row r="385" spans="2:7">
      <c r="B385" s="139" t="s">
        <v>2701</v>
      </c>
      <c r="C385" s="140"/>
      <c r="D385" s="140" t="s">
        <v>261</v>
      </c>
      <c r="E385" s="634">
        <v>166191.37</v>
      </c>
      <c r="F385" s="516">
        <v>166192</v>
      </c>
      <c r="G385" s="566">
        <f t="shared" si="9"/>
        <v>-0.63000000000465661</v>
      </c>
    </row>
    <row r="386" spans="2:7">
      <c r="B386" s="139" t="s">
        <v>102</v>
      </c>
      <c r="C386" s="140" t="s">
        <v>1553</v>
      </c>
      <c r="D386" s="140" t="s">
        <v>2322</v>
      </c>
      <c r="E386" s="634">
        <v>353.91</v>
      </c>
      <c r="F386" s="516">
        <v>354</v>
      </c>
      <c r="G386" s="566">
        <f t="shared" si="9"/>
        <v>-8.9999999999974989E-2</v>
      </c>
    </row>
    <row r="387" spans="2:7">
      <c r="B387" s="139" t="s">
        <v>153</v>
      </c>
      <c r="C387" s="140" t="s">
        <v>1553</v>
      </c>
      <c r="D387" s="140" t="s">
        <v>2322</v>
      </c>
      <c r="E387" s="634">
        <v>4503.2700000000004</v>
      </c>
      <c r="F387" s="516">
        <v>4504</v>
      </c>
      <c r="G387" s="566">
        <f t="shared" si="9"/>
        <v>-0.72999999999956344</v>
      </c>
    </row>
    <row r="388" spans="2:7">
      <c r="B388" s="139" t="s">
        <v>247</v>
      </c>
      <c r="C388" s="140" t="s">
        <v>1553</v>
      </c>
      <c r="D388" s="140" t="s">
        <v>2322</v>
      </c>
      <c r="E388" s="634">
        <v>266024.94</v>
      </c>
      <c r="F388" s="516">
        <v>266025</v>
      </c>
      <c r="G388" s="566">
        <f t="shared" si="9"/>
        <v>-5.9999999997671694E-2</v>
      </c>
    </row>
    <row r="389" spans="2:7">
      <c r="B389" s="139" t="s">
        <v>2553</v>
      </c>
      <c r="C389" s="140" t="s">
        <v>1553</v>
      </c>
      <c r="D389" s="140" t="s">
        <v>2322</v>
      </c>
      <c r="E389" s="634">
        <v>2296.4899999999998</v>
      </c>
      <c r="F389" s="516">
        <v>2297</v>
      </c>
      <c r="G389" s="566">
        <f t="shared" si="9"/>
        <v>-0.51000000000021828</v>
      </c>
    </row>
    <row r="390" spans="2:7">
      <c r="B390" s="139" t="s">
        <v>690</v>
      </c>
      <c r="C390" s="140" t="s">
        <v>1553</v>
      </c>
      <c r="D390" s="140" t="s">
        <v>2322</v>
      </c>
      <c r="E390" s="634">
        <v>4746.82</v>
      </c>
      <c r="F390" s="516">
        <v>4747</v>
      </c>
      <c r="G390" s="566">
        <f t="shared" si="9"/>
        <v>-0.18000000000029104</v>
      </c>
    </row>
    <row r="391" spans="2:7">
      <c r="B391" s="139" t="s">
        <v>348</v>
      </c>
      <c r="C391" s="140" t="s">
        <v>1553</v>
      </c>
      <c r="D391" s="140" t="s">
        <v>2322</v>
      </c>
      <c r="E391" s="634">
        <v>924.88</v>
      </c>
      <c r="F391" s="516">
        <v>925</v>
      </c>
      <c r="G391" s="566">
        <f t="shared" si="9"/>
        <v>-0.12000000000000455</v>
      </c>
    </row>
    <row r="392" spans="2:7">
      <c r="B392" s="139" t="s">
        <v>1462</v>
      </c>
      <c r="C392" s="140" t="s">
        <v>1553</v>
      </c>
      <c r="D392" s="140" t="s">
        <v>2322</v>
      </c>
      <c r="E392" s="634">
        <v>3023.67</v>
      </c>
      <c r="F392" s="516">
        <v>3024</v>
      </c>
      <c r="G392" s="566">
        <f t="shared" si="9"/>
        <v>-0.32999999999992724</v>
      </c>
    </row>
    <row r="393" spans="2:7">
      <c r="B393" s="139" t="s">
        <v>601</v>
      </c>
      <c r="C393" s="140" t="s">
        <v>1553</v>
      </c>
      <c r="D393" s="140" t="s">
        <v>3778</v>
      </c>
      <c r="E393" s="634">
        <v>38090.57</v>
      </c>
      <c r="F393" s="516">
        <v>38091</v>
      </c>
      <c r="G393" s="566">
        <f t="shared" si="9"/>
        <v>-0.43000000000029104</v>
      </c>
    </row>
    <row r="394" spans="2:7">
      <c r="B394" s="139" t="s">
        <v>170</v>
      </c>
      <c r="C394" s="140" t="s">
        <v>1553</v>
      </c>
      <c r="D394" s="140" t="s">
        <v>171</v>
      </c>
      <c r="E394" s="634">
        <v>2161.92</v>
      </c>
      <c r="F394" s="516">
        <v>2162</v>
      </c>
      <c r="G394" s="566">
        <f t="shared" si="9"/>
        <v>-7.999999999992724E-2</v>
      </c>
    </row>
    <row r="395" spans="2:7">
      <c r="B395" s="139" t="s">
        <v>1666</v>
      </c>
      <c r="C395" s="140" t="s">
        <v>1553</v>
      </c>
      <c r="D395" s="140" t="s">
        <v>1660</v>
      </c>
      <c r="E395" s="634">
        <f>'TRAIL BALANCE'!S163</f>
        <v>140540.84</v>
      </c>
      <c r="F395" s="516">
        <f>'TRAIL BALANCE'!T163</f>
        <v>140541</v>
      </c>
      <c r="G395" s="566">
        <f t="shared" ref="G395:G426" si="10">E395-F395</f>
        <v>-0.16000000000349246</v>
      </c>
    </row>
    <row r="396" spans="2:7">
      <c r="B396" s="139" t="s">
        <v>623</v>
      </c>
      <c r="C396" s="140" t="s">
        <v>1553</v>
      </c>
      <c r="D396" s="140" t="s">
        <v>624</v>
      </c>
      <c r="E396" s="634">
        <v>1144.5999999999999</v>
      </c>
      <c r="F396" s="516">
        <v>1145</v>
      </c>
      <c r="G396" s="566">
        <f t="shared" si="10"/>
        <v>-0.40000000000009095</v>
      </c>
    </row>
    <row r="397" spans="2:7">
      <c r="B397" s="139" t="s">
        <v>1173</v>
      </c>
      <c r="C397" s="140" t="s">
        <v>1553</v>
      </c>
      <c r="D397" s="140" t="s">
        <v>624</v>
      </c>
      <c r="E397" s="634">
        <v>282</v>
      </c>
      <c r="F397" s="516">
        <v>1134</v>
      </c>
      <c r="G397" s="635">
        <f t="shared" si="10"/>
        <v>-852</v>
      </c>
    </row>
    <row r="398" spans="2:7">
      <c r="B398" s="139" t="s">
        <v>691</v>
      </c>
      <c r="C398" s="140" t="s">
        <v>1553</v>
      </c>
      <c r="D398" s="140" t="s">
        <v>624</v>
      </c>
      <c r="E398" s="634">
        <v>23265.7</v>
      </c>
      <c r="F398" s="516">
        <v>23265</v>
      </c>
      <c r="G398" s="566">
        <f t="shared" si="10"/>
        <v>0.7000000000007276</v>
      </c>
    </row>
    <row r="399" spans="2:7">
      <c r="B399" s="139" t="s">
        <v>349</v>
      </c>
      <c r="C399" s="140" t="s">
        <v>1553</v>
      </c>
      <c r="D399" s="140" t="s">
        <v>624</v>
      </c>
      <c r="E399" s="634">
        <v>9193.2000000000007</v>
      </c>
      <c r="F399" s="516">
        <v>14653</v>
      </c>
      <c r="G399" s="635">
        <f t="shared" si="10"/>
        <v>-5459.7999999999993</v>
      </c>
    </row>
    <row r="400" spans="2:7">
      <c r="B400" s="139" t="s">
        <v>1463</v>
      </c>
      <c r="C400" s="140" t="s">
        <v>1553</v>
      </c>
      <c r="D400" s="140" t="s">
        <v>624</v>
      </c>
      <c r="E400" s="634">
        <v>1555</v>
      </c>
      <c r="F400" s="516">
        <v>1555</v>
      </c>
      <c r="G400" s="566">
        <f t="shared" si="10"/>
        <v>0</v>
      </c>
    </row>
    <row r="401" spans="2:7">
      <c r="B401" s="139" t="s">
        <v>1145</v>
      </c>
      <c r="C401" s="140" t="s">
        <v>1553</v>
      </c>
      <c r="D401" s="140" t="s">
        <v>190</v>
      </c>
      <c r="E401" s="634">
        <v>94581.62</v>
      </c>
      <c r="F401" s="516">
        <v>95438</v>
      </c>
      <c r="G401" s="566">
        <f t="shared" si="10"/>
        <v>-856.38000000000466</v>
      </c>
    </row>
    <row r="402" spans="2:7">
      <c r="B402" s="139" t="s">
        <v>66</v>
      </c>
      <c r="C402" s="140" t="s">
        <v>1553</v>
      </c>
      <c r="D402" s="140" t="s">
        <v>578</v>
      </c>
      <c r="E402" s="634">
        <v>43762.52</v>
      </c>
      <c r="F402" s="516">
        <v>43762</v>
      </c>
      <c r="G402" s="566">
        <f t="shared" si="10"/>
        <v>0.51999999999679858</v>
      </c>
    </row>
    <row r="403" spans="2:7">
      <c r="B403" s="139" t="s">
        <v>625</v>
      </c>
      <c r="C403" s="140" t="s">
        <v>1553</v>
      </c>
      <c r="D403" s="140" t="s">
        <v>626</v>
      </c>
      <c r="E403" s="634">
        <v>16706.169999999998</v>
      </c>
      <c r="F403" s="516">
        <v>16706</v>
      </c>
      <c r="G403" s="566">
        <f t="shared" si="10"/>
        <v>0.16999999999825377</v>
      </c>
    </row>
    <row r="404" spans="2:7">
      <c r="B404" s="139" t="s">
        <v>627</v>
      </c>
      <c r="C404" s="140" t="s">
        <v>1553</v>
      </c>
      <c r="D404" s="140" t="s">
        <v>628</v>
      </c>
      <c r="E404" s="634">
        <v>262197.42</v>
      </c>
      <c r="F404" s="516">
        <v>262197</v>
      </c>
      <c r="G404" s="566">
        <f t="shared" si="10"/>
        <v>0.41999999998370185</v>
      </c>
    </row>
    <row r="405" spans="2:7">
      <c r="B405" s="139" t="s">
        <v>58</v>
      </c>
      <c r="C405" s="140" t="s">
        <v>1553</v>
      </c>
      <c r="D405" s="140" t="s">
        <v>59</v>
      </c>
      <c r="E405" s="634">
        <v>597133.14</v>
      </c>
      <c r="F405" s="516">
        <v>575410</v>
      </c>
      <c r="G405" s="635">
        <f t="shared" si="10"/>
        <v>21723.140000000014</v>
      </c>
    </row>
    <row r="406" spans="2:7">
      <c r="B406" s="139" t="s">
        <v>1313</v>
      </c>
      <c r="C406" s="140" t="s">
        <v>1553</v>
      </c>
      <c r="D406" s="140" t="s">
        <v>1314</v>
      </c>
      <c r="E406" s="634">
        <v>4640.01</v>
      </c>
      <c r="F406" s="516">
        <v>4641</v>
      </c>
      <c r="G406" s="566">
        <f t="shared" si="10"/>
        <v>-0.98999999999978172</v>
      </c>
    </row>
    <row r="407" spans="2:7">
      <c r="B407" s="139" t="s">
        <v>630</v>
      </c>
      <c r="C407" s="140" t="s">
        <v>1553</v>
      </c>
      <c r="D407" s="140" t="s">
        <v>631</v>
      </c>
      <c r="E407" s="634">
        <v>3658.46</v>
      </c>
      <c r="F407" s="516">
        <v>3658</v>
      </c>
      <c r="G407" s="566">
        <f t="shared" si="10"/>
        <v>0.46000000000003638</v>
      </c>
    </row>
    <row r="408" spans="2:7">
      <c r="B408" s="139" t="s">
        <v>103</v>
      </c>
      <c r="C408" s="140" t="s">
        <v>1553</v>
      </c>
      <c r="D408" s="140" t="s">
        <v>631</v>
      </c>
      <c r="E408" s="634">
        <v>4624.3999999999996</v>
      </c>
      <c r="F408" s="516">
        <v>4624</v>
      </c>
      <c r="G408" s="566">
        <f t="shared" si="10"/>
        <v>0.3999999999996362</v>
      </c>
    </row>
    <row r="409" spans="2:7">
      <c r="B409" s="139" t="s">
        <v>154</v>
      </c>
      <c r="C409" s="140" t="s">
        <v>1553</v>
      </c>
      <c r="D409" s="140" t="s">
        <v>631</v>
      </c>
      <c r="E409" s="634">
        <v>165.87</v>
      </c>
      <c r="F409" s="516">
        <v>166</v>
      </c>
      <c r="G409" s="566">
        <f t="shared" si="10"/>
        <v>-0.12999999999999545</v>
      </c>
    </row>
    <row r="410" spans="2:7" ht="14.25" customHeight="1">
      <c r="B410" s="139" t="s">
        <v>250</v>
      </c>
      <c r="C410" s="140" t="s">
        <v>1553</v>
      </c>
      <c r="D410" s="140" t="s">
        <v>631</v>
      </c>
      <c r="E410" s="634">
        <v>92644.67</v>
      </c>
      <c r="F410" s="516">
        <v>92644</v>
      </c>
      <c r="G410" s="566">
        <f t="shared" si="10"/>
        <v>0.66999999999825377</v>
      </c>
    </row>
    <row r="411" spans="2:7">
      <c r="B411" s="139" t="s">
        <v>2555</v>
      </c>
      <c r="C411" s="140" t="s">
        <v>1553</v>
      </c>
      <c r="D411" s="140" t="s">
        <v>631</v>
      </c>
      <c r="E411" s="634">
        <v>1998.14</v>
      </c>
      <c r="F411" s="516">
        <v>1998</v>
      </c>
      <c r="G411" s="566">
        <f t="shared" si="10"/>
        <v>0.14000000000010004</v>
      </c>
    </row>
    <row r="412" spans="2:7">
      <c r="B412" s="139" t="s">
        <v>1464</v>
      </c>
      <c r="C412" s="140" t="s">
        <v>1553</v>
      </c>
      <c r="D412" s="140" t="s">
        <v>631</v>
      </c>
      <c r="E412" s="634">
        <v>3401.51</v>
      </c>
      <c r="F412" s="516">
        <v>3401</v>
      </c>
      <c r="G412" s="566">
        <f t="shared" si="10"/>
        <v>0.51000000000021828</v>
      </c>
    </row>
    <row r="413" spans="2:7">
      <c r="B413" s="139" t="s">
        <v>67</v>
      </c>
      <c r="C413" s="140" t="s">
        <v>1553</v>
      </c>
      <c r="D413" s="140" t="s">
        <v>68</v>
      </c>
      <c r="E413" s="139">
        <v>0</v>
      </c>
      <c r="F413" s="516">
        <v>0</v>
      </c>
      <c r="G413" s="566">
        <f t="shared" si="10"/>
        <v>0</v>
      </c>
    </row>
    <row r="414" spans="2:7">
      <c r="B414" s="139" t="s">
        <v>632</v>
      </c>
      <c r="C414" s="140" t="s">
        <v>1553</v>
      </c>
      <c r="D414" s="140" t="s">
        <v>633</v>
      </c>
      <c r="E414" s="634">
        <v>168279.6</v>
      </c>
      <c r="F414" s="516">
        <v>169441</v>
      </c>
      <c r="G414" s="566">
        <f t="shared" si="10"/>
        <v>-1161.3999999999942</v>
      </c>
    </row>
    <row r="415" spans="2:7">
      <c r="B415" s="139" t="s">
        <v>104</v>
      </c>
      <c r="C415" s="140" t="s">
        <v>1553</v>
      </c>
      <c r="D415" s="140" t="s">
        <v>633</v>
      </c>
      <c r="E415" s="634">
        <v>16241.02</v>
      </c>
      <c r="F415" s="516">
        <v>16261</v>
      </c>
      <c r="G415" s="635">
        <f t="shared" si="10"/>
        <v>-19.979999999999563</v>
      </c>
    </row>
    <row r="416" spans="2:7">
      <c r="B416" s="139" t="s">
        <v>1670</v>
      </c>
      <c r="C416" s="140" t="s">
        <v>1553</v>
      </c>
      <c r="D416" s="140" t="s">
        <v>633</v>
      </c>
      <c r="E416" s="634">
        <v>6953.04</v>
      </c>
      <c r="F416" s="516">
        <v>6824</v>
      </c>
      <c r="G416" s="635">
        <f t="shared" si="10"/>
        <v>129.03999999999996</v>
      </c>
    </row>
    <row r="417" spans="2:7">
      <c r="B417" s="139" t="s">
        <v>155</v>
      </c>
      <c r="C417" s="140" t="s">
        <v>1553</v>
      </c>
      <c r="D417" s="140" t="s">
        <v>633</v>
      </c>
      <c r="E417" s="634">
        <v>135442.04</v>
      </c>
      <c r="F417" s="516">
        <v>136355</v>
      </c>
      <c r="G417" s="635">
        <f t="shared" si="10"/>
        <v>-912.95999999999185</v>
      </c>
    </row>
    <row r="418" spans="2:7">
      <c r="B418" s="139" t="s">
        <v>166</v>
      </c>
      <c r="C418" s="140" t="s">
        <v>1553</v>
      </c>
      <c r="D418" s="140" t="s">
        <v>633</v>
      </c>
      <c r="E418" s="634">
        <v>17029.05</v>
      </c>
      <c r="F418" s="516">
        <v>17029</v>
      </c>
      <c r="G418" s="566">
        <f t="shared" si="10"/>
        <v>4.9999999999272404E-2</v>
      </c>
    </row>
    <row r="419" spans="2:7">
      <c r="B419" s="139" t="s">
        <v>193</v>
      </c>
      <c r="C419" s="140" t="s">
        <v>1553</v>
      </c>
      <c r="D419" s="140" t="s">
        <v>633</v>
      </c>
      <c r="E419" s="634">
        <v>3819.04</v>
      </c>
      <c r="F419" s="516">
        <v>3770</v>
      </c>
      <c r="G419" s="635">
        <f t="shared" si="10"/>
        <v>49.039999999999964</v>
      </c>
    </row>
    <row r="420" spans="2:7">
      <c r="B420" s="139" t="s">
        <v>215</v>
      </c>
      <c r="C420" s="140" t="s">
        <v>1553</v>
      </c>
      <c r="D420" s="140" t="s">
        <v>633</v>
      </c>
      <c r="E420" s="634">
        <v>1193.51</v>
      </c>
      <c r="F420" s="516">
        <v>1136</v>
      </c>
      <c r="G420" s="635">
        <f t="shared" si="10"/>
        <v>57.509999999999991</v>
      </c>
    </row>
    <row r="421" spans="2:7">
      <c r="B421" s="139" t="s">
        <v>251</v>
      </c>
      <c r="C421" s="140" t="s">
        <v>1553</v>
      </c>
      <c r="D421" s="140" t="s">
        <v>633</v>
      </c>
      <c r="E421" s="634">
        <f>'TRAIL BALANCE'!S308</f>
        <v>195454.9</v>
      </c>
      <c r="F421" s="516">
        <v>192470</v>
      </c>
      <c r="G421" s="635">
        <f t="shared" si="10"/>
        <v>2984.8999999999942</v>
      </c>
    </row>
    <row r="422" spans="2:7">
      <c r="B422" s="139" t="s">
        <v>2556</v>
      </c>
      <c r="C422" s="140" t="s">
        <v>1553</v>
      </c>
      <c r="D422" s="140" t="s">
        <v>633</v>
      </c>
      <c r="E422" s="634">
        <v>11245.9</v>
      </c>
      <c r="F422" s="516">
        <v>10848</v>
      </c>
      <c r="G422" s="635">
        <f t="shared" si="10"/>
        <v>397.89999999999964</v>
      </c>
    </row>
    <row r="423" spans="2:7">
      <c r="B423" s="139" t="s">
        <v>692</v>
      </c>
      <c r="C423" s="140" t="s">
        <v>1553</v>
      </c>
      <c r="D423" s="140" t="s">
        <v>633</v>
      </c>
      <c r="E423" s="634">
        <v>728.62</v>
      </c>
      <c r="F423" s="516">
        <v>728</v>
      </c>
      <c r="G423" s="566">
        <f t="shared" si="10"/>
        <v>0.62000000000000455</v>
      </c>
    </row>
    <row r="424" spans="2:7">
      <c r="B424" s="139" t="s">
        <v>1408</v>
      </c>
      <c r="C424" s="140" t="s">
        <v>1553</v>
      </c>
      <c r="D424" s="140" t="s">
        <v>633</v>
      </c>
      <c r="E424" s="634">
        <v>4215.54</v>
      </c>
      <c r="F424" s="516">
        <v>4023</v>
      </c>
      <c r="G424" s="635">
        <f t="shared" si="10"/>
        <v>192.53999999999996</v>
      </c>
    </row>
    <row r="425" spans="2:7">
      <c r="B425" s="139" t="s">
        <v>1414</v>
      </c>
      <c r="C425" s="140" t="s">
        <v>1553</v>
      </c>
      <c r="D425" s="140" t="s">
        <v>633</v>
      </c>
      <c r="E425" s="634">
        <v>246.97</v>
      </c>
      <c r="F425" s="516">
        <v>239</v>
      </c>
      <c r="G425" s="566">
        <f t="shared" si="10"/>
        <v>7.9699999999999989</v>
      </c>
    </row>
    <row r="426" spans="2:7">
      <c r="B426" s="139" t="s">
        <v>1465</v>
      </c>
      <c r="C426" s="140" t="s">
        <v>1553</v>
      </c>
      <c r="D426" s="140" t="s">
        <v>633</v>
      </c>
      <c r="E426" s="634">
        <v>64397.73</v>
      </c>
      <c r="F426" s="516">
        <v>64034</v>
      </c>
      <c r="G426" s="635">
        <f t="shared" si="10"/>
        <v>363.7300000000032</v>
      </c>
    </row>
    <row r="427" spans="2:7">
      <c r="B427" s="139" t="s">
        <v>2722</v>
      </c>
      <c r="C427" s="140" t="s">
        <v>1553</v>
      </c>
      <c r="D427" s="140" t="s">
        <v>3774</v>
      </c>
      <c r="E427" s="634">
        <v>376950.47</v>
      </c>
      <c r="F427" s="516">
        <v>376950</v>
      </c>
      <c r="G427" s="566">
        <f t="shared" ref="G427:G458" si="11">E427-F427</f>
        <v>0.46999999997206032</v>
      </c>
    </row>
    <row r="428" spans="2:7">
      <c r="B428" s="139" t="s">
        <v>252</v>
      </c>
      <c r="C428" s="140" t="s">
        <v>1553</v>
      </c>
      <c r="D428" s="140" t="s">
        <v>253</v>
      </c>
      <c r="E428" s="634">
        <v>2460</v>
      </c>
      <c r="F428" s="516">
        <v>2460</v>
      </c>
      <c r="G428" s="566">
        <f t="shared" si="11"/>
        <v>0</v>
      </c>
    </row>
    <row r="429" spans="2:7">
      <c r="B429" s="139" t="s">
        <v>1175</v>
      </c>
      <c r="C429" s="140" t="s">
        <v>1553</v>
      </c>
      <c r="D429" s="140" t="s">
        <v>253</v>
      </c>
      <c r="E429" s="634">
        <v>71263.67</v>
      </c>
      <c r="F429" s="516">
        <v>71332</v>
      </c>
      <c r="G429" s="566">
        <f t="shared" si="11"/>
        <v>-68.330000000001746</v>
      </c>
    </row>
    <row r="430" spans="2:7">
      <c r="B430" s="139" t="s">
        <v>2557</v>
      </c>
      <c r="C430" s="140" t="s">
        <v>1553</v>
      </c>
      <c r="D430" s="140" t="s">
        <v>253</v>
      </c>
      <c r="E430" s="634">
        <v>51775.97</v>
      </c>
      <c r="F430" s="516">
        <v>51775</v>
      </c>
      <c r="G430" s="566">
        <f t="shared" si="11"/>
        <v>0.97000000000116415</v>
      </c>
    </row>
    <row r="431" spans="2:7">
      <c r="B431" s="139" t="s">
        <v>693</v>
      </c>
      <c r="C431" s="140" t="s">
        <v>1553</v>
      </c>
      <c r="D431" s="140" t="s">
        <v>253</v>
      </c>
      <c r="E431" s="634">
        <v>48599.12</v>
      </c>
      <c r="F431" s="516">
        <v>48599</v>
      </c>
      <c r="G431" s="566">
        <f t="shared" si="11"/>
        <v>0.12000000000261934</v>
      </c>
    </row>
    <row r="432" spans="2:7">
      <c r="B432" s="139" t="s">
        <v>351</v>
      </c>
      <c r="C432" s="140" t="s">
        <v>1553</v>
      </c>
      <c r="D432" s="140" t="s">
        <v>253</v>
      </c>
      <c r="E432" s="634">
        <v>48123.24</v>
      </c>
      <c r="F432" s="516">
        <v>48124</v>
      </c>
      <c r="G432" s="566">
        <f t="shared" si="11"/>
        <v>-0.76000000000203727</v>
      </c>
    </row>
    <row r="433" spans="2:7">
      <c r="B433" s="139" t="s">
        <v>1431</v>
      </c>
      <c r="C433" s="140" t="s">
        <v>1553</v>
      </c>
      <c r="D433" s="140" t="s">
        <v>253</v>
      </c>
      <c r="E433" s="634">
        <v>550</v>
      </c>
      <c r="F433" s="516">
        <v>550</v>
      </c>
      <c r="G433" s="566">
        <f t="shared" si="11"/>
        <v>0</v>
      </c>
    </row>
    <row r="434" spans="2:7">
      <c r="B434" s="139" t="s">
        <v>1466</v>
      </c>
      <c r="C434" s="140" t="s">
        <v>1553</v>
      </c>
      <c r="D434" s="140" t="s">
        <v>253</v>
      </c>
      <c r="E434" s="634">
        <v>21646.55</v>
      </c>
      <c r="F434" s="516">
        <v>21646</v>
      </c>
      <c r="G434" s="566">
        <f t="shared" si="11"/>
        <v>0.5499999999992724</v>
      </c>
    </row>
    <row r="435" spans="2:7">
      <c r="B435" s="139" t="s">
        <v>3461</v>
      </c>
      <c r="C435" s="140"/>
      <c r="D435" s="140" t="s">
        <v>3777</v>
      </c>
      <c r="E435" s="634">
        <v>2126.31</v>
      </c>
      <c r="F435" s="516">
        <v>2126</v>
      </c>
      <c r="G435" s="566">
        <f t="shared" si="11"/>
        <v>0.30999999999994543</v>
      </c>
    </row>
    <row r="436" spans="2:7">
      <c r="B436" s="139" t="s">
        <v>254</v>
      </c>
      <c r="C436" s="140" t="s">
        <v>1553</v>
      </c>
      <c r="D436" s="140" t="s">
        <v>255</v>
      </c>
      <c r="E436" s="160">
        <v>0</v>
      </c>
      <c r="F436" s="516">
        <v>125406</v>
      </c>
      <c r="G436" s="635">
        <f t="shared" si="11"/>
        <v>-125406</v>
      </c>
    </row>
    <row r="437" spans="2:7">
      <c r="B437" s="139" t="s">
        <v>1146</v>
      </c>
      <c r="C437" s="140" t="s">
        <v>1553</v>
      </c>
      <c r="D437" s="140" t="s">
        <v>1147</v>
      </c>
      <c r="E437" s="634">
        <v>268532.88</v>
      </c>
      <c r="F437" s="516">
        <v>511862</v>
      </c>
      <c r="G437" s="566">
        <f t="shared" si="11"/>
        <v>-243329.12</v>
      </c>
    </row>
    <row r="438" spans="2:7">
      <c r="B438" s="139" t="s">
        <v>2684</v>
      </c>
      <c r="C438" s="140" t="s">
        <v>1553</v>
      </c>
      <c r="D438" s="140" t="s">
        <v>3767</v>
      </c>
      <c r="E438" s="634">
        <v>39000</v>
      </c>
      <c r="F438" s="516">
        <v>39000</v>
      </c>
      <c r="G438" s="566">
        <f t="shared" si="11"/>
        <v>0</v>
      </c>
    </row>
    <row r="439" spans="2:7">
      <c r="B439" s="139" t="s">
        <v>256</v>
      </c>
      <c r="C439" s="140" t="s">
        <v>1553</v>
      </c>
      <c r="D439" s="140" t="s">
        <v>2325</v>
      </c>
      <c r="E439" s="634">
        <v>14956.5</v>
      </c>
      <c r="F439" s="516">
        <v>14957</v>
      </c>
      <c r="G439" s="566">
        <f t="shared" si="11"/>
        <v>-0.5</v>
      </c>
    </row>
    <row r="440" spans="2:7">
      <c r="B440" s="139" t="s">
        <v>65</v>
      </c>
      <c r="C440" s="140" t="s">
        <v>1553</v>
      </c>
      <c r="D440" s="140" t="s">
        <v>2317</v>
      </c>
      <c r="E440" s="634">
        <v>261424.98</v>
      </c>
      <c r="F440" s="516">
        <v>261424</v>
      </c>
      <c r="G440" s="566">
        <f t="shared" si="11"/>
        <v>0.98000000001047738</v>
      </c>
    </row>
    <row r="441" spans="2:7">
      <c r="B441" s="139" t="s">
        <v>3465</v>
      </c>
      <c r="C441" s="140"/>
      <c r="D441" s="140" t="s">
        <v>3466</v>
      </c>
      <c r="E441" s="634">
        <v>4996.22</v>
      </c>
      <c r="F441" s="516">
        <v>4997</v>
      </c>
      <c r="G441" s="566">
        <f t="shared" si="11"/>
        <v>-0.77999999999974534</v>
      </c>
    </row>
    <row r="442" spans="2:7">
      <c r="B442" s="139" t="s">
        <v>634</v>
      </c>
      <c r="C442" s="140" t="s">
        <v>1553</v>
      </c>
      <c r="D442" s="140" t="s">
        <v>50</v>
      </c>
      <c r="E442" s="634">
        <v>1315254.26</v>
      </c>
      <c r="F442" s="516">
        <v>1320556</v>
      </c>
      <c r="G442" s="566">
        <f t="shared" si="11"/>
        <v>-5301.7399999999907</v>
      </c>
    </row>
    <row r="443" spans="2:7">
      <c r="B443" s="139" t="s">
        <v>105</v>
      </c>
      <c r="C443" s="140" t="s">
        <v>1553</v>
      </c>
      <c r="D443" s="140" t="s">
        <v>50</v>
      </c>
      <c r="E443" s="634">
        <v>579097.99</v>
      </c>
      <c r="F443" s="516">
        <v>577873</v>
      </c>
      <c r="G443" s="635">
        <f t="shared" si="11"/>
        <v>1224.9899999999907</v>
      </c>
    </row>
    <row r="444" spans="2:7">
      <c r="B444" s="139" t="s">
        <v>1671</v>
      </c>
      <c r="C444" s="140" t="s">
        <v>1553</v>
      </c>
      <c r="D444" s="140" t="s">
        <v>50</v>
      </c>
      <c r="E444" s="634">
        <v>39573.919999999998</v>
      </c>
      <c r="F444" s="516">
        <v>39573</v>
      </c>
      <c r="G444" s="566">
        <f t="shared" si="11"/>
        <v>0.91999999999825377</v>
      </c>
    </row>
    <row r="445" spans="2:7">
      <c r="B445" s="139" t="s">
        <v>156</v>
      </c>
      <c r="C445" s="140" t="s">
        <v>1553</v>
      </c>
      <c r="D445" s="140" t="s">
        <v>50</v>
      </c>
      <c r="E445" s="634">
        <v>69147.899999999994</v>
      </c>
      <c r="F445" s="516">
        <v>69148</v>
      </c>
      <c r="G445" s="566">
        <f t="shared" si="11"/>
        <v>-0.10000000000582077</v>
      </c>
    </row>
    <row r="446" spans="2:7">
      <c r="B446" s="139" t="s">
        <v>167</v>
      </c>
      <c r="C446" s="140" t="s">
        <v>1553</v>
      </c>
      <c r="D446" s="140" t="s">
        <v>50</v>
      </c>
      <c r="E446" s="634">
        <v>65829.59</v>
      </c>
      <c r="F446" s="516">
        <v>65829</v>
      </c>
      <c r="G446" s="566">
        <f t="shared" si="11"/>
        <v>0.58999999999650754</v>
      </c>
    </row>
    <row r="447" spans="2:7">
      <c r="B447" s="139" t="s">
        <v>194</v>
      </c>
      <c r="C447" s="140" t="s">
        <v>1553</v>
      </c>
      <c r="D447" s="140" t="s">
        <v>50</v>
      </c>
      <c r="E447" s="634">
        <v>428.57</v>
      </c>
      <c r="F447" s="516">
        <v>429</v>
      </c>
      <c r="G447" s="566">
        <f t="shared" si="11"/>
        <v>-0.43000000000000682</v>
      </c>
    </row>
    <row r="448" spans="2:7">
      <c r="B448" s="139" t="s">
        <v>217</v>
      </c>
      <c r="C448" s="140" t="s">
        <v>1553</v>
      </c>
      <c r="D448" s="140" t="s">
        <v>50</v>
      </c>
      <c r="E448" s="634">
        <v>1236.1199999999999</v>
      </c>
      <c r="F448" s="516">
        <v>1237</v>
      </c>
      <c r="G448" s="566">
        <f t="shared" si="11"/>
        <v>-0.88000000000010914</v>
      </c>
    </row>
    <row r="449" spans="2:7">
      <c r="B449" s="139" t="s">
        <v>257</v>
      </c>
      <c r="C449" s="140" t="s">
        <v>1553</v>
      </c>
      <c r="D449" s="140" t="s">
        <v>50</v>
      </c>
      <c r="E449" s="634">
        <v>302144.07</v>
      </c>
      <c r="F449" s="516">
        <v>302144</v>
      </c>
      <c r="G449" s="566">
        <f t="shared" si="11"/>
        <v>7.0000000006984919E-2</v>
      </c>
    </row>
    <row r="450" spans="2:7">
      <c r="B450" s="139" t="s">
        <v>1150</v>
      </c>
      <c r="C450" s="140" t="s">
        <v>1553</v>
      </c>
      <c r="D450" s="140" t="s">
        <v>50</v>
      </c>
      <c r="E450" s="634">
        <v>1195.33</v>
      </c>
      <c r="F450" s="516">
        <v>1196</v>
      </c>
      <c r="G450" s="566">
        <f t="shared" si="11"/>
        <v>-0.67000000000007276</v>
      </c>
    </row>
    <row r="451" spans="2:7">
      <c r="B451" s="139" t="s">
        <v>1362</v>
      </c>
      <c r="C451" s="140" t="s">
        <v>1553</v>
      </c>
      <c r="D451" s="140" t="s">
        <v>50</v>
      </c>
      <c r="E451" s="634">
        <v>966.28</v>
      </c>
      <c r="F451" s="516">
        <v>967</v>
      </c>
      <c r="G451" s="566">
        <f t="shared" si="11"/>
        <v>-0.72000000000002728</v>
      </c>
    </row>
    <row r="452" spans="2:7">
      <c r="B452" s="139" t="s">
        <v>2708</v>
      </c>
      <c r="C452" s="140"/>
      <c r="D452" s="140" t="s">
        <v>50</v>
      </c>
      <c r="E452" s="634">
        <v>985.7</v>
      </c>
      <c r="F452" s="516">
        <v>985</v>
      </c>
      <c r="G452" s="566">
        <f t="shared" si="11"/>
        <v>0.70000000000004547</v>
      </c>
    </row>
    <row r="453" spans="2:7">
      <c r="B453" s="139" t="s">
        <v>2558</v>
      </c>
      <c r="C453" s="140" t="s">
        <v>1553</v>
      </c>
      <c r="D453" s="140" t="s">
        <v>50</v>
      </c>
      <c r="E453" s="634">
        <v>25074</v>
      </c>
      <c r="F453" s="516">
        <v>25074</v>
      </c>
      <c r="G453" s="566">
        <f t="shared" si="11"/>
        <v>0</v>
      </c>
    </row>
    <row r="454" spans="2:7">
      <c r="B454" s="139" t="s">
        <v>694</v>
      </c>
      <c r="C454" s="140" t="s">
        <v>1553</v>
      </c>
      <c r="D454" s="140" t="s">
        <v>50</v>
      </c>
      <c r="E454" s="634">
        <v>2408</v>
      </c>
      <c r="F454" s="516">
        <v>2408</v>
      </c>
      <c r="G454" s="566">
        <f t="shared" si="11"/>
        <v>0</v>
      </c>
    </row>
    <row r="455" spans="2:7">
      <c r="B455" s="139" t="s">
        <v>352</v>
      </c>
      <c r="C455" s="140" t="s">
        <v>1553</v>
      </c>
      <c r="D455" s="140" t="s">
        <v>50</v>
      </c>
      <c r="E455" s="634">
        <v>228.57</v>
      </c>
      <c r="F455" s="516">
        <v>229</v>
      </c>
      <c r="G455" s="566">
        <f t="shared" si="11"/>
        <v>-0.43000000000000682</v>
      </c>
    </row>
    <row r="456" spans="2:7">
      <c r="B456" s="139" t="s">
        <v>382</v>
      </c>
      <c r="C456" s="140" t="s">
        <v>1553</v>
      </c>
      <c r="D456" s="140" t="s">
        <v>50</v>
      </c>
      <c r="E456" s="634">
        <v>166189.49</v>
      </c>
      <c r="F456" s="516">
        <v>166189</v>
      </c>
      <c r="G456" s="566">
        <f t="shared" si="11"/>
        <v>0.48999999999068677</v>
      </c>
    </row>
    <row r="457" spans="2:7">
      <c r="B457" s="139" t="s">
        <v>1409</v>
      </c>
      <c r="C457" s="140" t="s">
        <v>1553</v>
      </c>
      <c r="D457" s="140" t="s">
        <v>50</v>
      </c>
      <c r="E457" s="634">
        <v>30438.09</v>
      </c>
      <c r="F457" s="516">
        <v>30439</v>
      </c>
      <c r="G457" s="566">
        <f t="shared" si="11"/>
        <v>-0.90999999999985448</v>
      </c>
    </row>
    <row r="458" spans="2:7">
      <c r="B458" s="139" t="s">
        <v>1416</v>
      </c>
      <c r="C458" s="140" t="s">
        <v>1553</v>
      </c>
      <c r="D458" s="140" t="s">
        <v>50</v>
      </c>
      <c r="E458" s="634">
        <v>457.14</v>
      </c>
      <c r="F458" s="516">
        <v>458</v>
      </c>
      <c r="G458" s="566">
        <f t="shared" si="11"/>
        <v>-0.86000000000001364</v>
      </c>
    </row>
    <row r="459" spans="2:7">
      <c r="B459" s="139" t="s">
        <v>1424</v>
      </c>
      <c r="C459" s="140" t="s">
        <v>1553</v>
      </c>
      <c r="D459" s="140" t="s">
        <v>50</v>
      </c>
      <c r="E459" s="634">
        <v>3030.67</v>
      </c>
      <c r="F459" s="516">
        <v>3031</v>
      </c>
      <c r="G459" s="566">
        <f t="shared" ref="G459:G482" si="12">E459-F459</f>
        <v>-0.32999999999992724</v>
      </c>
    </row>
    <row r="460" spans="2:7">
      <c r="B460" s="139" t="s">
        <v>1432</v>
      </c>
      <c r="C460" s="140" t="s">
        <v>1553</v>
      </c>
      <c r="D460" s="140" t="s">
        <v>50</v>
      </c>
      <c r="E460" s="634">
        <v>3671.58</v>
      </c>
      <c r="F460" s="516">
        <v>3672</v>
      </c>
      <c r="G460" s="566">
        <f t="shared" si="12"/>
        <v>-0.42000000000007276</v>
      </c>
    </row>
    <row r="461" spans="2:7">
      <c r="B461" s="139" t="s">
        <v>1467</v>
      </c>
      <c r="C461" s="140" t="s">
        <v>1553</v>
      </c>
      <c r="D461" s="140" t="s">
        <v>50</v>
      </c>
      <c r="E461" s="634">
        <v>123330.38</v>
      </c>
      <c r="F461" s="516">
        <v>123330</v>
      </c>
      <c r="G461" s="566">
        <f t="shared" si="12"/>
        <v>0.38000000000465661</v>
      </c>
    </row>
    <row r="462" spans="2:7">
      <c r="B462" s="139" t="s">
        <v>51</v>
      </c>
      <c r="C462" s="140" t="s">
        <v>1553</v>
      </c>
      <c r="D462" s="140" t="s">
        <v>52</v>
      </c>
      <c r="E462" s="634">
        <v>567182.42000000004</v>
      </c>
      <c r="F462" s="516">
        <v>617355</v>
      </c>
      <c r="G462" s="635">
        <f t="shared" si="12"/>
        <v>-50172.579999999958</v>
      </c>
    </row>
    <row r="463" spans="2:7">
      <c r="B463" s="139" t="s">
        <v>53</v>
      </c>
      <c r="C463" s="140" t="s">
        <v>1553</v>
      </c>
      <c r="D463" s="140" t="s">
        <v>52</v>
      </c>
      <c r="E463" s="634">
        <v>615256.63</v>
      </c>
      <c r="F463" s="516">
        <v>615257</v>
      </c>
      <c r="G463" s="566">
        <f t="shared" si="12"/>
        <v>-0.36999999999534339</v>
      </c>
    </row>
    <row r="464" spans="2:7">
      <c r="B464" s="139" t="s">
        <v>106</v>
      </c>
      <c r="C464" s="140" t="s">
        <v>1553</v>
      </c>
      <c r="D464" s="140" t="s">
        <v>52</v>
      </c>
      <c r="E464" s="634">
        <v>3587.85</v>
      </c>
      <c r="F464" s="516">
        <v>3588</v>
      </c>
      <c r="G464" s="566">
        <f t="shared" si="12"/>
        <v>-0.15000000000009095</v>
      </c>
    </row>
    <row r="465" spans="2:7">
      <c r="B465" s="139" t="s">
        <v>107</v>
      </c>
      <c r="C465" s="140" t="s">
        <v>1553</v>
      </c>
      <c r="D465" s="140" t="s">
        <v>52</v>
      </c>
      <c r="E465" s="634">
        <v>111929.72</v>
      </c>
      <c r="F465" s="516">
        <v>111929</v>
      </c>
      <c r="G465" s="566">
        <f t="shared" si="12"/>
        <v>0.72000000000116415</v>
      </c>
    </row>
    <row r="466" spans="2:7">
      <c r="B466" s="139" t="s">
        <v>157</v>
      </c>
      <c r="C466" s="140" t="s">
        <v>1553</v>
      </c>
      <c r="D466" s="140" t="s">
        <v>52</v>
      </c>
      <c r="E466" s="634">
        <v>9220.0499999999993</v>
      </c>
      <c r="F466" s="516">
        <v>9220</v>
      </c>
      <c r="G466" s="566">
        <f t="shared" si="12"/>
        <v>4.9999999999272404E-2</v>
      </c>
    </row>
    <row r="467" spans="2:7">
      <c r="B467" s="139" t="s">
        <v>158</v>
      </c>
      <c r="C467" s="140" t="s">
        <v>1553</v>
      </c>
      <c r="D467" s="140" t="s">
        <v>52</v>
      </c>
      <c r="E467" s="634">
        <v>894.35</v>
      </c>
      <c r="F467" s="516">
        <v>895</v>
      </c>
      <c r="G467" s="566">
        <f t="shared" si="12"/>
        <v>-0.64999999999997726</v>
      </c>
    </row>
    <row r="468" spans="2:7">
      <c r="B468" s="139" t="s">
        <v>218</v>
      </c>
      <c r="C468" s="140" t="s">
        <v>1553</v>
      </c>
      <c r="D468" s="140" t="s">
        <v>52</v>
      </c>
      <c r="E468" s="634">
        <v>11141.1</v>
      </c>
      <c r="F468" s="516">
        <v>11141</v>
      </c>
      <c r="G468" s="566">
        <f t="shared" si="12"/>
        <v>0.1000000000003638</v>
      </c>
    </row>
    <row r="469" spans="2:7">
      <c r="B469" s="139" t="s">
        <v>258</v>
      </c>
      <c r="C469" s="140" t="s">
        <v>1553</v>
      </c>
      <c r="D469" s="140" t="s">
        <v>52</v>
      </c>
      <c r="E469" s="634">
        <v>2213.64</v>
      </c>
      <c r="F469" s="516">
        <v>2213</v>
      </c>
      <c r="G469" s="566">
        <f t="shared" si="12"/>
        <v>0.63999999999987267</v>
      </c>
    </row>
    <row r="470" spans="2:7">
      <c r="B470" s="139" t="s">
        <v>259</v>
      </c>
      <c r="C470" s="140" t="s">
        <v>1553</v>
      </c>
      <c r="D470" s="140" t="s">
        <v>52</v>
      </c>
      <c r="E470" s="634">
        <v>19603.02</v>
      </c>
      <c r="F470" s="516">
        <v>19603</v>
      </c>
      <c r="G470" s="566">
        <f t="shared" si="12"/>
        <v>2.0000000000436557E-2</v>
      </c>
    </row>
    <row r="471" spans="2:7">
      <c r="B471" s="139" t="s">
        <v>2559</v>
      </c>
      <c r="C471" s="140" t="s">
        <v>1553</v>
      </c>
      <c r="D471" s="140" t="s">
        <v>52</v>
      </c>
      <c r="E471" s="634">
        <v>168</v>
      </c>
      <c r="F471" s="516">
        <v>168</v>
      </c>
      <c r="G471" s="566">
        <f t="shared" si="12"/>
        <v>0</v>
      </c>
    </row>
    <row r="472" spans="2:7">
      <c r="B472" s="139" t="s">
        <v>2560</v>
      </c>
      <c r="C472" s="140" t="s">
        <v>1553</v>
      </c>
      <c r="D472" s="140" t="s">
        <v>52</v>
      </c>
      <c r="E472" s="634">
        <v>15041.6</v>
      </c>
      <c r="F472" s="516">
        <v>15041</v>
      </c>
      <c r="G472" s="566">
        <f t="shared" si="12"/>
        <v>0.6000000000003638</v>
      </c>
    </row>
    <row r="473" spans="2:7">
      <c r="B473" s="139" t="s">
        <v>696</v>
      </c>
      <c r="C473" s="140" t="s">
        <v>1553</v>
      </c>
      <c r="D473" s="140" t="s">
        <v>52</v>
      </c>
      <c r="E473" s="634">
        <v>164.18</v>
      </c>
      <c r="F473" s="516">
        <v>164</v>
      </c>
      <c r="G473" s="566">
        <f t="shared" si="12"/>
        <v>0.18000000000000682</v>
      </c>
    </row>
    <row r="474" spans="2:7">
      <c r="B474" s="139" t="s">
        <v>354</v>
      </c>
      <c r="C474" s="140" t="s">
        <v>1553</v>
      </c>
      <c r="D474" s="140" t="s">
        <v>52</v>
      </c>
      <c r="E474" s="634">
        <v>58780.58</v>
      </c>
      <c r="F474" s="516">
        <v>58780</v>
      </c>
      <c r="G474" s="566">
        <f t="shared" si="12"/>
        <v>0.58000000000174623</v>
      </c>
    </row>
    <row r="475" spans="2:7">
      <c r="B475" s="139" t="s">
        <v>1468</v>
      </c>
      <c r="C475" s="140" t="s">
        <v>1553</v>
      </c>
      <c r="D475" s="140" t="s">
        <v>52</v>
      </c>
      <c r="E475" s="634">
        <v>20445.560000000001</v>
      </c>
      <c r="F475" s="516">
        <v>20445</v>
      </c>
      <c r="G475" s="566">
        <f t="shared" si="12"/>
        <v>0.56000000000130967</v>
      </c>
    </row>
    <row r="476" spans="2:7">
      <c r="B476" s="139" t="s">
        <v>1469</v>
      </c>
      <c r="C476" s="140" t="s">
        <v>1553</v>
      </c>
      <c r="D476" s="140" t="s">
        <v>52</v>
      </c>
      <c r="E476" s="634">
        <v>76030.210000000006</v>
      </c>
      <c r="F476" s="516">
        <v>76030</v>
      </c>
      <c r="G476" s="566">
        <f t="shared" si="12"/>
        <v>0.21000000000640284</v>
      </c>
    </row>
    <row r="477" spans="2:7">
      <c r="B477" s="139" t="s">
        <v>3477</v>
      </c>
      <c r="C477" s="140"/>
      <c r="D477" s="140" t="s">
        <v>3776</v>
      </c>
      <c r="E477" s="634">
        <v>47274.28</v>
      </c>
      <c r="F477" s="516">
        <v>47274</v>
      </c>
      <c r="G477" s="566">
        <f t="shared" si="12"/>
        <v>0.27999999999883585</v>
      </c>
    </row>
    <row r="478" spans="2:7">
      <c r="B478" s="139" t="s">
        <v>169</v>
      </c>
      <c r="C478" s="140" t="s">
        <v>1553</v>
      </c>
      <c r="D478" s="140" t="s">
        <v>160</v>
      </c>
      <c r="E478" s="634">
        <v>272074.90999999997</v>
      </c>
      <c r="F478" s="516">
        <v>272074</v>
      </c>
      <c r="G478" s="566">
        <f t="shared" si="12"/>
        <v>0.90999999997438863</v>
      </c>
    </row>
    <row r="479" spans="2:7">
      <c r="B479" s="139" t="s">
        <v>2721</v>
      </c>
      <c r="C479" s="140" t="s">
        <v>1553</v>
      </c>
      <c r="D479" s="140" t="s">
        <v>3775</v>
      </c>
      <c r="E479" s="634">
        <v>321096</v>
      </c>
      <c r="F479" s="516">
        <v>321096</v>
      </c>
      <c r="G479" s="566">
        <f t="shared" si="12"/>
        <v>0</v>
      </c>
    </row>
    <row r="480" spans="2:7">
      <c r="B480" s="139" t="s">
        <v>56</v>
      </c>
      <c r="C480" s="140" t="s">
        <v>1553</v>
      </c>
      <c r="D480" s="140" t="s">
        <v>57</v>
      </c>
      <c r="E480" s="634">
        <v>97880.15</v>
      </c>
      <c r="F480" s="516">
        <v>97881</v>
      </c>
      <c r="G480" s="566">
        <f t="shared" si="12"/>
        <v>-0.85000000000582077</v>
      </c>
    </row>
    <row r="481" spans="2:7">
      <c r="B481" s="139" t="s">
        <v>3943</v>
      </c>
      <c r="C481" s="140"/>
      <c r="D481" s="140" t="s">
        <v>3933</v>
      </c>
      <c r="E481" s="634">
        <v>5234591.3099999996</v>
      </c>
      <c r="F481" s="516"/>
      <c r="G481" s="566"/>
    </row>
    <row r="482" spans="2:7">
      <c r="B482" s="139" t="s">
        <v>2688</v>
      </c>
      <c r="C482" s="140"/>
      <c r="D482" s="140" t="s">
        <v>2318</v>
      </c>
      <c r="E482" s="634">
        <v>3031060.58</v>
      </c>
      <c r="F482" s="516">
        <v>0</v>
      </c>
      <c r="G482" s="635">
        <f t="shared" si="12"/>
        <v>3031060.58</v>
      </c>
    </row>
    <row r="483" spans="2:7">
      <c r="E483" s="636">
        <f>SUM(E331:E482)</f>
        <v>26268106.910000004</v>
      </c>
      <c r="F483" s="567">
        <f>SUM(F331:F482)</f>
        <v>19470932</v>
      </c>
    </row>
  </sheetData>
  <sortState ref="B331:G481">
    <sortCondition ref="D331:D481"/>
  </sortState>
  <pageMargins left="0.7" right="0.7" top="0.75" bottom="0.75" header="0.3" footer="0.3"/>
</worksheet>
</file>

<file path=xl/worksheets/sheet39.xml><?xml version="1.0" encoding="utf-8"?>
<worksheet xmlns="http://schemas.openxmlformats.org/spreadsheetml/2006/main" xmlns:r="http://schemas.openxmlformats.org/officeDocument/2006/relationships">
  <dimension ref="A2:AF574"/>
  <sheetViews>
    <sheetView topLeftCell="N424" workbookViewId="0">
      <selection activeCell="B177" sqref="B177"/>
    </sheetView>
  </sheetViews>
  <sheetFormatPr defaultColWidth="19" defaultRowHeight="15"/>
  <cols>
    <col min="1" max="1" width="15.7109375" style="168" hidden="1" customWidth="1"/>
    <col min="2" max="2" width="16.5703125" style="455" hidden="1" customWidth="1"/>
    <col min="3" max="3" width="19" style="168" hidden="1" customWidth="1"/>
    <col min="4" max="4" width="15.85546875" style="456" hidden="1" customWidth="1"/>
    <col min="5" max="5" width="19" style="456" hidden="1" customWidth="1"/>
    <col min="6" max="12" width="0" style="168" hidden="1" customWidth="1"/>
    <col min="13" max="16384" width="19" style="168"/>
  </cols>
  <sheetData>
    <row r="2" spans="1:18">
      <c r="P2" s="168" t="s">
        <v>3753</v>
      </c>
      <c r="Q2" s="168" t="s">
        <v>3754</v>
      </c>
      <c r="R2" s="168" t="s">
        <v>3755</v>
      </c>
    </row>
    <row r="3" spans="1:18">
      <c r="M3" s="168" t="s">
        <v>3463</v>
      </c>
      <c r="N3" s="455"/>
      <c r="O3" s="455" t="s">
        <v>3464</v>
      </c>
      <c r="P3" s="455"/>
      <c r="Q3" s="455"/>
      <c r="R3" s="523">
        <v>11687</v>
      </c>
    </row>
    <row r="4" spans="1:18">
      <c r="M4" s="168" t="s">
        <v>2702</v>
      </c>
      <c r="N4" s="455"/>
      <c r="O4" s="455" t="s">
        <v>3724</v>
      </c>
      <c r="P4" s="455">
        <v>17247</v>
      </c>
      <c r="Q4" s="455">
        <v>17247</v>
      </c>
      <c r="R4" s="523">
        <v>17143</v>
      </c>
    </row>
    <row r="5" spans="1:18">
      <c r="A5" s="455"/>
      <c r="D5" s="150"/>
      <c r="M5" s="168" t="s">
        <v>3468</v>
      </c>
      <c r="N5" s="455"/>
      <c r="O5" s="455" t="s">
        <v>3724</v>
      </c>
      <c r="P5" s="455"/>
      <c r="Q5" s="455"/>
      <c r="R5" s="523">
        <v>1693</v>
      </c>
    </row>
    <row r="6" spans="1:18">
      <c r="A6" s="455" t="s">
        <v>1549</v>
      </c>
      <c r="B6" s="455" t="s">
        <v>572</v>
      </c>
      <c r="C6" s="168" t="s">
        <v>1558</v>
      </c>
      <c r="D6" s="150">
        <v>715.28</v>
      </c>
      <c r="E6" s="456">
        <v>4500</v>
      </c>
      <c r="F6" s="168">
        <v>0</v>
      </c>
      <c r="G6" s="168">
        <v>0</v>
      </c>
      <c r="M6" s="168" t="s">
        <v>276</v>
      </c>
      <c r="N6" s="455" t="s">
        <v>1549</v>
      </c>
      <c r="O6" s="455" t="s">
        <v>60</v>
      </c>
      <c r="P6" s="455">
        <v>7131</v>
      </c>
      <c r="Q6" s="455">
        <v>7131</v>
      </c>
      <c r="R6" s="523">
        <v>5012</v>
      </c>
    </row>
    <row r="7" spans="1:18" ht="15.75" thickBot="1">
      <c r="A7" s="455" t="s">
        <v>1549</v>
      </c>
      <c r="B7" s="455" t="s">
        <v>2321</v>
      </c>
      <c r="C7" s="168" t="s">
        <v>1558</v>
      </c>
      <c r="D7" s="150">
        <v>13852</v>
      </c>
      <c r="E7" s="456">
        <v>13908</v>
      </c>
      <c r="F7" s="168">
        <v>33350</v>
      </c>
      <c r="G7" s="168">
        <v>33350</v>
      </c>
      <c r="M7" s="168" t="s">
        <v>375</v>
      </c>
      <c r="N7" s="455" t="s">
        <v>1549</v>
      </c>
      <c r="O7" s="455" t="s">
        <v>60</v>
      </c>
      <c r="P7" s="455">
        <v>12240</v>
      </c>
      <c r="Q7" s="455">
        <v>12240</v>
      </c>
      <c r="R7" s="523">
        <v>12408</v>
      </c>
    </row>
    <row r="8" spans="1:18" ht="16.5" thickTop="1" thickBot="1">
      <c r="A8" s="555"/>
      <c r="B8" s="555"/>
      <c r="C8" s="556"/>
      <c r="D8" s="560"/>
      <c r="E8" s="558"/>
      <c r="F8" s="562"/>
      <c r="G8" s="562"/>
      <c r="M8" s="168" t="s">
        <v>288</v>
      </c>
      <c r="N8" s="455" t="s">
        <v>1549</v>
      </c>
      <c r="O8" s="455" t="s">
        <v>60</v>
      </c>
      <c r="P8" s="455">
        <v>13859</v>
      </c>
      <c r="Q8" s="455">
        <v>13859</v>
      </c>
      <c r="R8" s="523">
        <v>14049</v>
      </c>
    </row>
    <row r="9" spans="1:18" ht="15.75" thickTop="1">
      <c r="A9" s="455" t="s">
        <v>1549</v>
      </c>
      <c r="B9" s="455" t="s">
        <v>2321</v>
      </c>
      <c r="C9" s="168" t="s">
        <v>1558</v>
      </c>
      <c r="D9" s="150">
        <v>7027.2</v>
      </c>
      <c r="E9" s="456">
        <v>7100</v>
      </c>
      <c r="F9" s="168">
        <v>0</v>
      </c>
      <c r="G9" s="168">
        <v>0</v>
      </c>
      <c r="M9" s="168" t="s">
        <v>174</v>
      </c>
      <c r="N9" s="455" t="s">
        <v>1549</v>
      </c>
      <c r="O9" s="455" t="s">
        <v>60</v>
      </c>
      <c r="P9" s="455">
        <v>19479</v>
      </c>
      <c r="Q9" s="455">
        <v>19479</v>
      </c>
      <c r="R9" s="523">
        <v>14948</v>
      </c>
    </row>
    <row r="10" spans="1:18">
      <c r="A10" s="455" t="s">
        <v>1549</v>
      </c>
      <c r="B10" s="455" t="s">
        <v>75</v>
      </c>
      <c r="C10" s="168" t="s">
        <v>1559</v>
      </c>
      <c r="D10" s="150">
        <v>1204157.06</v>
      </c>
      <c r="E10" s="456">
        <v>1398564</v>
      </c>
      <c r="F10" s="168">
        <v>1260311.5900000001</v>
      </c>
      <c r="G10" s="168">
        <v>1260312</v>
      </c>
      <c r="M10" s="168" t="s">
        <v>1155</v>
      </c>
      <c r="N10" s="455" t="s">
        <v>1549</v>
      </c>
      <c r="O10" s="455" t="s">
        <v>60</v>
      </c>
      <c r="P10" s="455">
        <v>23749</v>
      </c>
      <c r="Q10" s="455"/>
      <c r="R10" s="523">
        <v>0</v>
      </c>
    </row>
    <row r="11" spans="1:18">
      <c r="A11" s="455" t="s">
        <v>1549</v>
      </c>
      <c r="B11" s="455" t="s">
        <v>77</v>
      </c>
      <c r="C11" s="168" t="s">
        <v>1559</v>
      </c>
      <c r="D11" s="150">
        <v>184489.53</v>
      </c>
      <c r="E11" s="456">
        <v>185000</v>
      </c>
      <c r="F11" s="168">
        <v>273364.32</v>
      </c>
      <c r="G11" s="168">
        <v>273364</v>
      </c>
      <c r="M11" s="168" t="s">
        <v>3742</v>
      </c>
      <c r="N11" s="455"/>
      <c r="O11" s="455" t="s">
        <v>60</v>
      </c>
      <c r="P11" s="455">
        <v>27852</v>
      </c>
      <c r="Q11" s="455"/>
      <c r="R11" s="523"/>
    </row>
    <row r="12" spans="1:18">
      <c r="A12" s="455" t="s">
        <v>1549</v>
      </c>
      <c r="B12" s="455" t="s">
        <v>60</v>
      </c>
      <c r="C12" s="168" t="s">
        <v>1559</v>
      </c>
      <c r="D12" s="150">
        <v>111352.29</v>
      </c>
      <c r="E12" s="456">
        <v>147000</v>
      </c>
      <c r="F12" s="168">
        <v>87438.53</v>
      </c>
      <c r="G12" s="168">
        <v>87439</v>
      </c>
      <c r="M12" s="168" t="s">
        <v>201</v>
      </c>
      <c r="N12" s="455" t="s">
        <v>1549</v>
      </c>
      <c r="O12" s="455" t="s">
        <v>60</v>
      </c>
      <c r="P12" s="455">
        <v>28921</v>
      </c>
      <c r="Q12" s="455">
        <v>28921</v>
      </c>
      <c r="R12" s="523">
        <v>16454</v>
      </c>
    </row>
    <row r="13" spans="1:18">
      <c r="A13" s="455"/>
      <c r="D13" s="150"/>
      <c r="M13" s="168" t="s">
        <v>1371</v>
      </c>
      <c r="N13" s="455" t="s">
        <v>1549</v>
      </c>
      <c r="O13" s="455" t="s">
        <v>60</v>
      </c>
      <c r="P13" s="455">
        <v>30315</v>
      </c>
      <c r="Q13" s="455">
        <v>30315</v>
      </c>
      <c r="R13" s="523">
        <v>11890</v>
      </c>
    </row>
    <row r="14" spans="1:18" ht="15.75" thickBot="1">
      <c r="A14" s="455" t="s">
        <v>1549</v>
      </c>
      <c r="B14" s="455" t="s">
        <v>660</v>
      </c>
      <c r="C14" s="168" t="s">
        <v>1559</v>
      </c>
      <c r="D14" s="150">
        <v>0</v>
      </c>
      <c r="E14" s="456">
        <v>0</v>
      </c>
      <c r="F14" s="168">
        <v>0</v>
      </c>
      <c r="G14" s="168">
        <v>0</v>
      </c>
      <c r="M14" s="168" t="s">
        <v>1184</v>
      </c>
      <c r="N14" s="455" t="s">
        <v>1549</v>
      </c>
      <c r="O14" s="455" t="s">
        <v>60</v>
      </c>
      <c r="P14" s="455">
        <v>44733</v>
      </c>
      <c r="Q14" s="455">
        <v>44733</v>
      </c>
      <c r="R14" s="523">
        <v>51951</v>
      </c>
    </row>
    <row r="15" spans="1:18" ht="16.5" thickTop="1" thickBot="1">
      <c r="A15" s="555" t="s">
        <v>1549</v>
      </c>
      <c r="B15" s="555" t="s">
        <v>767</v>
      </c>
      <c r="C15" s="556" t="s">
        <v>1559</v>
      </c>
      <c r="D15" s="560">
        <v>7051.32</v>
      </c>
      <c r="E15" s="558">
        <v>7087</v>
      </c>
      <c r="F15" s="562">
        <v>4712</v>
      </c>
      <c r="G15" s="562">
        <v>4712</v>
      </c>
      <c r="M15" s="168" t="s">
        <v>78</v>
      </c>
      <c r="N15" s="455" t="s">
        <v>1549</v>
      </c>
      <c r="O15" s="455" t="s">
        <v>60</v>
      </c>
      <c r="P15" s="455">
        <v>114226</v>
      </c>
      <c r="Q15" s="455">
        <v>114226</v>
      </c>
      <c r="R15" s="523">
        <v>141424</v>
      </c>
    </row>
    <row r="16" spans="1:18" ht="15.75" thickTop="1">
      <c r="A16" s="455" t="s">
        <v>1549</v>
      </c>
      <c r="B16" s="455" t="s">
        <v>84</v>
      </c>
      <c r="C16" s="168" t="s">
        <v>1559</v>
      </c>
      <c r="D16" s="150">
        <v>202494.53</v>
      </c>
      <c r="E16" s="456">
        <v>202500</v>
      </c>
      <c r="F16" s="168">
        <v>220467.89</v>
      </c>
      <c r="G16" s="168">
        <v>220467</v>
      </c>
      <c r="M16" s="168" t="s">
        <v>1345</v>
      </c>
      <c r="N16" s="455" t="s">
        <v>1549</v>
      </c>
      <c r="O16" s="455" t="s">
        <v>60</v>
      </c>
      <c r="P16" s="455">
        <v>134516</v>
      </c>
      <c r="Q16" s="455">
        <v>134516</v>
      </c>
      <c r="R16" s="523">
        <v>132662</v>
      </c>
    </row>
    <row r="17" spans="1:18">
      <c r="A17" s="455" t="s">
        <v>1549</v>
      </c>
      <c r="B17" s="455" t="s">
        <v>86</v>
      </c>
      <c r="C17" s="168" t="s">
        <v>1559</v>
      </c>
      <c r="D17" s="150">
        <v>0</v>
      </c>
      <c r="E17" s="456">
        <v>0</v>
      </c>
      <c r="F17" s="168">
        <v>594447.66</v>
      </c>
      <c r="G17" s="168">
        <v>594447</v>
      </c>
      <c r="M17" s="168" t="s">
        <v>2573</v>
      </c>
      <c r="N17" s="455" t="s">
        <v>1549</v>
      </c>
      <c r="O17" s="455" t="s">
        <v>60</v>
      </c>
      <c r="P17" s="455">
        <v>176171</v>
      </c>
      <c r="Q17" s="455">
        <v>176171</v>
      </c>
      <c r="R17" s="523">
        <v>159219</v>
      </c>
    </row>
    <row r="18" spans="1:18">
      <c r="A18" s="455" t="s">
        <v>1549</v>
      </c>
      <c r="B18" s="455" t="s">
        <v>590</v>
      </c>
      <c r="C18" s="168" t="s">
        <v>1559</v>
      </c>
      <c r="D18" s="150">
        <v>33708</v>
      </c>
      <c r="E18" s="456">
        <v>33800</v>
      </c>
      <c r="F18" s="168">
        <v>33139.199999999997</v>
      </c>
      <c r="G18" s="168">
        <v>33139</v>
      </c>
      <c r="M18" s="168" t="s">
        <v>325</v>
      </c>
      <c r="N18" s="455" t="s">
        <v>1549</v>
      </c>
      <c r="O18" s="455" t="s">
        <v>60</v>
      </c>
      <c r="P18" s="455">
        <v>184386</v>
      </c>
      <c r="Q18" s="455">
        <v>184386</v>
      </c>
      <c r="R18" s="523">
        <v>129196</v>
      </c>
    </row>
    <row r="19" spans="1:18">
      <c r="A19" s="455" t="s">
        <v>1549</v>
      </c>
      <c r="B19" s="455" t="s">
        <v>590</v>
      </c>
      <c r="C19" s="168" t="s">
        <v>1559</v>
      </c>
      <c r="D19" s="150">
        <v>198197.61</v>
      </c>
      <c r="E19" s="456">
        <v>198200</v>
      </c>
      <c r="F19" s="168">
        <v>208135.36</v>
      </c>
      <c r="G19" s="168">
        <v>208136</v>
      </c>
      <c r="M19" s="168" t="s">
        <v>1393</v>
      </c>
      <c r="N19" s="455" t="s">
        <v>1549</v>
      </c>
      <c r="O19" s="455" t="s">
        <v>60</v>
      </c>
      <c r="P19" s="455">
        <v>187469</v>
      </c>
      <c r="Q19" s="455">
        <v>187469</v>
      </c>
      <c r="R19" s="523">
        <v>143053</v>
      </c>
    </row>
    <row r="20" spans="1:18">
      <c r="A20" s="455" t="s">
        <v>1549</v>
      </c>
      <c r="B20" s="455" t="s">
        <v>590</v>
      </c>
      <c r="C20" s="168" t="s">
        <v>1559</v>
      </c>
      <c r="D20" s="150">
        <v>13270.72</v>
      </c>
      <c r="E20" s="456">
        <v>13300</v>
      </c>
      <c r="F20" s="168">
        <v>10509.92</v>
      </c>
      <c r="G20" s="168">
        <v>10510</v>
      </c>
      <c r="M20" s="168" t="s">
        <v>1440</v>
      </c>
      <c r="N20" s="455" t="s">
        <v>1549</v>
      </c>
      <c r="O20" s="455" t="s">
        <v>60</v>
      </c>
      <c r="P20" s="455">
        <v>192470</v>
      </c>
      <c r="Q20" s="455">
        <v>194270</v>
      </c>
      <c r="R20" s="523">
        <v>160135</v>
      </c>
    </row>
    <row r="21" spans="1:18" ht="15.75" thickBot="1">
      <c r="A21" s="455" t="s">
        <v>1549</v>
      </c>
      <c r="B21" s="455" t="s">
        <v>590</v>
      </c>
      <c r="C21" s="168" t="s">
        <v>1559</v>
      </c>
      <c r="D21" s="150">
        <v>10468.07</v>
      </c>
      <c r="E21" s="456">
        <v>10500</v>
      </c>
      <c r="F21" s="168">
        <v>12173.43</v>
      </c>
      <c r="G21" s="168">
        <v>12174</v>
      </c>
      <c r="M21" s="168" t="s">
        <v>227</v>
      </c>
      <c r="N21" s="455" t="s">
        <v>1549</v>
      </c>
      <c r="O21" s="455" t="s">
        <v>60</v>
      </c>
      <c r="P21" s="455">
        <v>239690</v>
      </c>
      <c r="Q21" s="455">
        <v>239690</v>
      </c>
      <c r="R21" s="523">
        <v>194552</v>
      </c>
    </row>
    <row r="22" spans="1:18" ht="16.5" thickTop="1" thickBot="1">
      <c r="A22" s="555" t="s">
        <v>1549</v>
      </c>
      <c r="B22" s="555" t="s">
        <v>1807</v>
      </c>
      <c r="C22" s="556" t="s">
        <v>1560</v>
      </c>
      <c r="D22" s="560">
        <v>0</v>
      </c>
      <c r="E22" s="558">
        <v>0</v>
      </c>
      <c r="F22" s="562">
        <v>0</v>
      </c>
      <c r="G22" s="562">
        <v>0</v>
      </c>
      <c r="M22" s="168" t="s">
        <v>135</v>
      </c>
      <c r="N22" s="455" t="s">
        <v>1549</v>
      </c>
      <c r="O22" s="455" t="s">
        <v>60</v>
      </c>
      <c r="P22" s="455">
        <v>241899</v>
      </c>
      <c r="Q22" s="455">
        <v>241899</v>
      </c>
      <c r="R22" s="523">
        <v>90750</v>
      </c>
    </row>
    <row r="23" spans="1:18" ht="15.75" thickTop="1">
      <c r="A23" s="455" t="s">
        <v>1549</v>
      </c>
      <c r="B23" s="455" t="s">
        <v>75</v>
      </c>
      <c r="C23" s="168" t="s">
        <v>1563</v>
      </c>
      <c r="D23" s="150">
        <v>1256673.55</v>
      </c>
      <c r="E23" s="456">
        <v>1330000</v>
      </c>
      <c r="F23" s="168">
        <v>1034904.45</v>
      </c>
      <c r="G23" s="168">
        <v>1034905</v>
      </c>
      <c r="M23" s="168" t="s">
        <v>274</v>
      </c>
      <c r="N23" s="455" t="s">
        <v>1549</v>
      </c>
      <c r="O23" s="455" t="s">
        <v>75</v>
      </c>
      <c r="P23" s="455">
        <v>85571</v>
      </c>
      <c r="Q23" s="455">
        <v>85571</v>
      </c>
      <c r="R23" s="523">
        <v>61564</v>
      </c>
    </row>
    <row r="24" spans="1:18" ht="15.75" thickBot="1">
      <c r="A24" s="455" t="s">
        <v>1549</v>
      </c>
      <c r="B24" s="455" t="s">
        <v>77</v>
      </c>
      <c r="C24" s="168" t="s">
        <v>1563</v>
      </c>
      <c r="D24" s="150">
        <v>22145.040000000001</v>
      </c>
      <c r="E24" s="456">
        <v>23000</v>
      </c>
      <c r="F24" s="168">
        <v>22442.99</v>
      </c>
      <c r="G24" s="168">
        <v>22443</v>
      </c>
      <c r="M24" s="168" t="s">
        <v>1154</v>
      </c>
      <c r="N24" s="455" t="s">
        <v>1549</v>
      </c>
      <c r="O24" s="455" t="s">
        <v>75</v>
      </c>
      <c r="P24" s="455">
        <v>134181</v>
      </c>
      <c r="Q24" s="455"/>
      <c r="R24" s="523">
        <v>0</v>
      </c>
    </row>
    <row r="25" spans="1:18" ht="16.5" thickTop="1" thickBot="1">
      <c r="A25" s="555" t="s">
        <v>1549</v>
      </c>
      <c r="B25" s="555" t="s">
        <v>60</v>
      </c>
      <c r="C25" s="556" t="s">
        <v>1563</v>
      </c>
      <c r="D25" s="560">
        <v>120566.7</v>
      </c>
      <c r="E25" s="558">
        <v>124854</v>
      </c>
      <c r="F25" s="562">
        <v>108270.45</v>
      </c>
      <c r="G25" s="562">
        <v>108271</v>
      </c>
      <c r="M25" s="168" t="s">
        <v>374</v>
      </c>
      <c r="N25" s="455" t="s">
        <v>1549</v>
      </c>
      <c r="O25" s="455" t="s">
        <v>75</v>
      </c>
      <c r="P25" s="455">
        <v>146823</v>
      </c>
      <c r="Q25" s="455">
        <v>146823</v>
      </c>
      <c r="R25" s="523">
        <v>155507</v>
      </c>
    </row>
    <row r="26" spans="1:18" ht="15.75" thickTop="1">
      <c r="A26" s="455" t="s">
        <v>1549</v>
      </c>
      <c r="B26" s="455" t="s">
        <v>660</v>
      </c>
      <c r="C26" s="168" t="s">
        <v>1563</v>
      </c>
      <c r="D26" s="150">
        <v>0</v>
      </c>
      <c r="E26" s="456">
        <v>0</v>
      </c>
      <c r="F26" s="168">
        <v>0</v>
      </c>
      <c r="G26" s="168">
        <v>0</v>
      </c>
      <c r="M26" s="168" t="s">
        <v>286</v>
      </c>
      <c r="N26" s="455" t="s">
        <v>1549</v>
      </c>
      <c r="O26" s="455" t="s">
        <v>75</v>
      </c>
      <c r="P26" s="455">
        <v>166310</v>
      </c>
      <c r="Q26" s="455">
        <v>166310</v>
      </c>
      <c r="R26" s="523">
        <v>172413</v>
      </c>
    </row>
    <row r="27" spans="1:18">
      <c r="A27" s="455" t="s">
        <v>1549</v>
      </c>
      <c r="B27" s="455" t="s">
        <v>767</v>
      </c>
      <c r="C27" s="168" t="s">
        <v>1563</v>
      </c>
      <c r="D27" s="150">
        <v>20670.2</v>
      </c>
      <c r="E27" s="456">
        <v>20700</v>
      </c>
      <c r="F27" s="168">
        <v>25063.279999999999</v>
      </c>
      <c r="G27" s="168">
        <v>25064</v>
      </c>
      <c r="M27" s="168" t="s">
        <v>173</v>
      </c>
      <c r="N27" s="455" t="s">
        <v>1549</v>
      </c>
      <c r="O27" s="455" t="s">
        <v>75</v>
      </c>
      <c r="P27" s="455">
        <v>233753</v>
      </c>
      <c r="Q27" s="455">
        <v>233753</v>
      </c>
      <c r="R27" s="523">
        <v>108391</v>
      </c>
    </row>
    <row r="28" spans="1:18">
      <c r="A28" s="455" t="s">
        <v>1549</v>
      </c>
      <c r="B28" s="455" t="s">
        <v>84</v>
      </c>
      <c r="C28" s="168" t="s">
        <v>1563</v>
      </c>
      <c r="D28" s="150">
        <v>224416.53</v>
      </c>
      <c r="E28" s="456">
        <v>226000</v>
      </c>
      <c r="F28" s="168">
        <v>212791.04000000001</v>
      </c>
      <c r="G28" s="168">
        <v>212791</v>
      </c>
      <c r="M28" s="168" t="s">
        <v>3740</v>
      </c>
      <c r="N28" s="455"/>
      <c r="O28" s="455" t="s">
        <v>75</v>
      </c>
      <c r="P28" s="455">
        <v>334229</v>
      </c>
      <c r="Q28" s="455"/>
      <c r="R28" s="523"/>
    </row>
    <row r="29" spans="1:18">
      <c r="A29" s="455" t="s">
        <v>1549</v>
      </c>
      <c r="B29" s="455" t="s">
        <v>141</v>
      </c>
      <c r="C29" s="168" t="s">
        <v>1563</v>
      </c>
      <c r="D29" s="150">
        <v>21511.81</v>
      </c>
      <c r="E29" s="456">
        <v>22000</v>
      </c>
      <c r="F29" s="168">
        <v>51439.49</v>
      </c>
      <c r="G29" s="168">
        <v>51439</v>
      </c>
      <c r="M29" s="168" t="s">
        <v>200</v>
      </c>
      <c r="N29" s="455" t="s">
        <v>1549</v>
      </c>
      <c r="O29" s="455" t="s">
        <v>75</v>
      </c>
      <c r="P29" s="455">
        <v>347049</v>
      </c>
      <c r="Q29" s="455">
        <v>347049</v>
      </c>
      <c r="R29" s="523">
        <v>209538</v>
      </c>
    </row>
    <row r="30" spans="1:18">
      <c r="A30" s="455" t="s">
        <v>1549</v>
      </c>
      <c r="B30" s="455" t="s">
        <v>590</v>
      </c>
      <c r="C30" s="168" t="s">
        <v>1563</v>
      </c>
      <c r="D30" s="150">
        <v>65199.12</v>
      </c>
      <c r="E30" s="456">
        <v>65500</v>
      </c>
      <c r="F30" s="168">
        <v>78810.320000000007</v>
      </c>
      <c r="G30" s="168">
        <v>78811</v>
      </c>
      <c r="M30" s="168" t="s">
        <v>1369</v>
      </c>
      <c r="N30" s="455" t="s">
        <v>1549</v>
      </c>
      <c r="O30" s="455" t="s">
        <v>75</v>
      </c>
      <c r="P30" s="455">
        <v>363781</v>
      </c>
      <c r="Q30" s="455">
        <v>363781</v>
      </c>
      <c r="R30" s="523">
        <v>135027</v>
      </c>
    </row>
    <row r="31" spans="1:18">
      <c r="A31" s="455" t="s">
        <v>1549</v>
      </c>
      <c r="B31" s="455" t="s">
        <v>590</v>
      </c>
      <c r="C31" s="168" t="s">
        <v>1563</v>
      </c>
      <c r="D31" s="150">
        <v>220194</v>
      </c>
      <c r="E31" s="456">
        <v>221000</v>
      </c>
      <c r="F31" s="168">
        <v>226097.71</v>
      </c>
      <c r="G31" s="168">
        <v>226098</v>
      </c>
      <c r="M31" s="168" t="s">
        <v>1182</v>
      </c>
      <c r="N31" s="455" t="s">
        <v>1549</v>
      </c>
      <c r="O31" s="455" t="s">
        <v>75</v>
      </c>
      <c r="P31" s="455">
        <v>1373700</v>
      </c>
      <c r="Q31" s="455">
        <v>1373700</v>
      </c>
      <c r="R31" s="523">
        <v>547394</v>
      </c>
    </row>
    <row r="32" spans="1:18">
      <c r="A32" s="455" t="s">
        <v>1549</v>
      </c>
      <c r="B32" s="455" t="s">
        <v>590</v>
      </c>
      <c r="C32" s="168" t="s">
        <v>1563</v>
      </c>
      <c r="D32" s="150">
        <v>13048.17</v>
      </c>
      <c r="E32" s="456">
        <v>13100</v>
      </c>
      <c r="F32" s="168">
        <v>11795.03</v>
      </c>
      <c r="G32" s="168">
        <v>11796</v>
      </c>
      <c r="M32" s="168" t="s">
        <v>1343</v>
      </c>
      <c r="N32" s="455" t="s">
        <v>1549</v>
      </c>
      <c r="O32" s="455" t="s">
        <v>75</v>
      </c>
      <c r="P32" s="455">
        <v>1614175</v>
      </c>
      <c r="Q32" s="455">
        <v>1614175</v>
      </c>
      <c r="R32" s="523">
        <v>1544002</v>
      </c>
    </row>
    <row r="33" spans="1:18">
      <c r="A33" s="455" t="s">
        <v>1549</v>
      </c>
      <c r="B33" s="455" t="s">
        <v>590</v>
      </c>
      <c r="C33" s="168" t="s">
        <v>1563</v>
      </c>
      <c r="D33" s="150">
        <v>13092.81</v>
      </c>
      <c r="E33" s="456">
        <v>13100</v>
      </c>
      <c r="F33" s="168">
        <v>14140.09</v>
      </c>
      <c r="G33" s="168">
        <v>14141</v>
      </c>
      <c r="M33" s="168" t="s">
        <v>2571</v>
      </c>
      <c r="N33" s="455" t="s">
        <v>1549</v>
      </c>
      <c r="O33" s="455" t="s">
        <v>75</v>
      </c>
      <c r="P33" s="455">
        <v>2115993</v>
      </c>
      <c r="Q33" s="455">
        <v>2115993</v>
      </c>
      <c r="R33" s="523">
        <v>1843108</v>
      </c>
    </row>
    <row r="34" spans="1:18">
      <c r="A34" s="455" t="s">
        <v>1549</v>
      </c>
      <c r="B34" s="455" t="s">
        <v>1807</v>
      </c>
      <c r="C34" s="168" t="s">
        <v>1563</v>
      </c>
      <c r="D34" s="150">
        <v>630.4</v>
      </c>
      <c r="E34" s="456">
        <v>700</v>
      </c>
      <c r="F34" s="168">
        <v>656.88</v>
      </c>
      <c r="G34" s="168">
        <v>657</v>
      </c>
      <c r="M34" s="168" t="s">
        <v>74</v>
      </c>
      <c r="N34" s="455" t="s">
        <v>1549</v>
      </c>
      <c r="O34" s="455" t="s">
        <v>75</v>
      </c>
      <c r="P34" s="455">
        <v>2194325</v>
      </c>
      <c r="Q34" s="455">
        <v>2194325</v>
      </c>
      <c r="R34" s="523">
        <v>1518808</v>
      </c>
    </row>
    <row r="35" spans="1:18">
      <c r="A35" s="455" t="s">
        <v>1549</v>
      </c>
      <c r="B35" s="455" t="s">
        <v>75</v>
      </c>
      <c r="C35" s="168" t="s">
        <v>1565</v>
      </c>
      <c r="D35" s="150">
        <v>197965.68</v>
      </c>
      <c r="E35" s="456">
        <v>200697</v>
      </c>
      <c r="F35" s="168">
        <v>214452.12</v>
      </c>
      <c r="G35" s="168">
        <v>214452</v>
      </c>
      <c r="M35" s="168" t="s">
        <v>323</v>
      </c>
      <c r="N35" s="455" t="s">
        <v>1549</v>
      </c>
      <c r="O35" s="455" t="s">
        <v>75</v>
      </c>
      <c r="P35" s="455">
        <v>2212628</v>
      </c>
      <c r="Q35" s="455">
        <v>2212628</v>
      </c>
      <c r="R35" s="523">
        <v>1540309</v>
      </c>
    </row>
    <row r="36" spans="1:18">
      <c r="A36" s="455" t="s">
        <v>1549</v>
      </c>
      <c r="B36" s="455" t="s">
        <v>60</v>
      </c>
      <c r="C36" s="168" t="s">
        <v>1565</v>
      </c>
      <c r="D36" s="150">
        <v>16501.39</v>
      </c>
      <c r="E36" s="456">
        <v>16564</v>
      </c>
      <c r="F36" s="168">
        <v>17871.009999999998</v>
      </c>
      <c r="G36" s="168">
        <v>17871</v>
      </c>
      <c r="M36" s="168" t="s">
        <v>1391</v>
      </c>
      <c r="N36" s="455" t="s">
        <v>1549</v>
      </c>
      <c r="O36" s="455" t="s">
        <v>75</v>
      </c>
      <c r="P36" s="455">
        <v>2217316</v>
      </c>
      <c r="Q36" s="455">
        <v>2217316</v>
      </c>
      <c r="R36" s="523">
        <v>1644067</v>
      </c>
    </row>
    <row r="37" spans="1:18" ht="15.75" thickBot="1">
      <c r="A37" s="455" t="s">
        <v>1549</v>
      </c>
      <c r="B37" s="455" t="s">
        <v>767</v>
      </c>
      <c r="C37" s="168" t="s">
        <v>1565</v>
      </c>
      <c r="D37" s="150">
        <v>0</v>
      </c>
      <c r="E37" s="456">
        <v>0</v>
      </c>
      <c r="F37" s="168">
        <v>0</v>
      </c>
      <c r="G37" s="168">
        <v>0</v>
      </c>
      <c r="M37" s="168" t="s">
        <v>1438</v>
      </c>
      <c r="N37" s="455" t="s">
        <v>1549</v>
      </c>
      <c r="O37" s="455" t="s">
        <v>75</v>
      </c>
      <c r="P37" s="455">
        <v>2796944</v>
      </c>
      <c r="Q37" s="455">
        <v>2796944</v>
      </c>
      <c r="R37" s="523">
        <v>1867932</v>
      </c>
    </row>
    <row r="38" spans="1:18" ht="16.5" thickTop="1" thickBot="1">
      <c r="A38" s="555" t="s">
        <v>1549</v>
      </c>
      <c r="B38" s="555" t="s">
        <v>575</v>
      </c>
      <c r="C38" s="556" t="s">
        <v>1565</v>
      </c>
      <c r="D38" s="560">
        <v>10641.6</v>
      </c>
      <c r="E38" s="558">
        <v>11000</v>
      </c>
      <c r="F38" s="562">
        <v>11959.2</v>
      </c>
      <c r="G38" s="562">
        <v>11959</v>
      </c>
      <c r="M38" s="168" t="s">
        <v>133</v>
      </c>
      <c r="N38" s="455" t="s">
        <v>1549</v>
      </c>
      <c r="O38" s="455" t="s">
        <v>75</v>
      </c>
      <c r="P38" s="455">
        <v>2872864</v>
      </c>
      <c r="Q38" s="455">
        <v>2872864</v>
      </c>
      <c r="R38" s="523">
        <v>1135524</v>
      </c>
    </row>
    <row r="39" spans="1:18" ht="15.75" thickTop="1">
      <c r="A39" s="455" t="s">
        <v>1549</v>
      </c>
      <c r="B39" s="455" t="s">
        <v>590</v>
      </c>
      <c r="C39" s="168" t="s">
        <v>1565</v>
      </c>
      <c r="D39" s="150">
        <v>42557.279999999999</v>
      </c>
      <c r="E39" s="456">
        <v>42700</v>
      </c>
      <c r="F39" s="168">
        <v>46089.599999999999</v>
      </c>
      <c r="G39" s="168">
        <v>46090</v>
      </c>
      <c r="M39" s="168" t="s">
        <v>225</v>
      </c>
      <c r="N39" s="455" t="s">
        <v>1549</v>
      </c>
      <c r="O39" s="455" t="s">
        <v>75</v>
      </c>
      <c r="P39" s="455">
        <v>3177506</v>
      </c>
      <c r="Q39" s="455">
        <v>3177506</v>
      </c>
      <c r="R39" s="523">
        <v>2272929</v>
      </c>
    </row>
    <row r="40" spans="1:18">
      <c r="A40" s="455" t="s">
        <v>1549</v>
      </c>
      <c r="B40" s="455" t="s">
        <v>590</v>
      </c>
      <c r="C40" s="168" t="s">
        <v>1565</v>
      </c>
      <c r="D40" s="150">
        <v>2139.98</v>
      </c>
      <c r="E40" s="456">
        <v>2200</v>
      </c>
      <c r="F40" s="168">
        <v>2274.2600000000002</v>
      </c>
      <c r="G40" s="168">
        <v>2274</v>
      </c>
      <c r="M40" s="168" t="s">
        <v>1450</v>
      </c>
      <c r="N40" s="455" t="s">
        <v>1549</v>
      </c>
      <c r="O40" s="455" t="s">
        <v>590</v>
      </c>
      <c r="P40" s="455">
        <v>28672</v>
      </c>
      <c r="Q40" s="455">
        <v>28672</v>
      </c>
      <c r="R40" s="523">
        <v>14043</v>
      </c>
    </row>
    <row r="41" spans="1:18">
      <c r="A41" s="455" t="s">
        <v>1549</v>
      </c>
      <c r="B41" s="455" t="s">
        <v>590</v>
      </c>
      <c r="C41" s="168" t="s">
        <v>1565</v>
      </c>
      <c r="D41" s="150">
        <v>1755.96</v>
      </c>
      <c r="E41" s="456">
        <v>2000</v>
      </c>
      <c r="F41" s="168">
        <v>1901.76</v>
      </c>
      <c r="G41" s="168">
        <v>1902</v>
      </c>
      <c r="M41" s="168" t="s">
        <v>280</v>
      </c>
      <c r="N41" s="455" t="s">
        <v>1549</v>
      </c>
      <c r="O41" s="455" t="s">
        <v>3518</v>
      </c>
      <c r="P41" s="455">
        <v>1309</v>
      </c>
      <c r="Q41" s="455">
        <v>1309</v>
      </c>
      <c r="R41" s="523">
        <v>533</v>
      </c>
    </row>
    <row r="42" spans="1:18">
      <c r="A42" s="455" t="s">
        <v>1549</v>
      </c>
      <c r="B42" s="455" t="s">
        <v>1807</v>
      </c>
      <c r="C42" s="168" t="s">
        <v>1565</v>
      </c>
      <c r="D42" s="150">
        <v>76.8</v>
      </c>
      <c r="E42" s="456">
        <v>80</v>
      </c>
      <c r="F42" s="168">
        <v>82.8</v>
      </c>
      <c r="G42" s="168">
        <v>83</v>
      </c>
      <c r="M42" s="168" t="s">
        <v>2545</v>
      </c>
      <c r="N42" s="455" t="s">
        <v>1549</v>
      </c>
      <c r="O42" s="455" t="s">
        <v>3518</v>
      </c>
      <c r="P42" s="455">
        <v>2765</v>
      </c>
      <c r="Q42" s="455">
        <v>2765</v>
      </c>
      <c r="R42" s="523">
        <v>1166</v>
      </c>
    </row>
    <row r="43" spans="1:18">
      <c r="A43" s="455" t="s">
        <v>1549</v>
      </c>
      <c r="B43" s="455" t="s">
        <v>75</v>
      </c>
      <c r="C43" s="168" t="s">
        <v>1566</v>
      </c>
      <c r="D43" s="150">
        <v>154400.28</v>
      </c>
      <c r="E43" s="456">
        <v>155000</v>
      </c>
      <c r="F43" s="168">
        <v>165815.04000000001</v>
      </c>
      <c r="G43" s="168">
        <v>165815</v>
      </c>
      <c r="M43" s="168" t="s">
        <v>180</v>
      </c>
      <c r="N43" s="455" t="s">
        <v>1549</v>
      </c>
      <c r="O43" s="455" t="s">
        <v>3518</v>
      </c>
      <c r="P43" s="455">
        <v>3577</v>
      </c>
      <c r="Q43" s="455">
        <v>3577</v>
      </c>
      <c r="R43" s="523">
        <v>159</v>
      </c>
    </row>
    <row r="44" spans="1:18">
      <c r="A44" s="455"/>
      <c r="D44" s="150"/>
      <c r="F44" s="168">
        <v>53970.2</v>
      </c>
      <c r="G44" s="168">
        <v>53970</v>
      </c>
      <c r="M44" s="168" t="s">
        <v>207</v>
      </c>
      <c r="N44" s="455" t="s">
        <v>1549</v>
      </c>
      <c r="O44" s="455" t="s">
        <v>3518</v>
      </c>
      <c r="P44" s="455">
        <v>5310</v>
      </c>
      <c r="Q44" s="455">
        <v>5310</v>
      </c>
      <c r="R44" s="523">
        <v>2943</v>
      </c>
    </row>
    <row r="45" spans="1:18">
      <c r="A45" s="455" t="s">
        <v>1549</v>
      </c>
      <c r="B45" s="455" t="s">
        <v>60</v>
      </c>
      <c r="C45" s="168" t="s">
        <v>1566</v>
      </c>
      <c r="D45" s="150">
        <v>12758.94</v>
      </c>
      <c r="E45" s="456">
        <v>13000</v>
      </c>
      <c r="F45" s="168">
        <v>13817.92</v>
      </c>
      <c r="G45" s="168">
        <v>13817</v>
      </c>
      <c r="M45" s="168" t="s">
        <v>1375</v>
      </c>
      <c r="N45" s="455" t="s">
        <v>1549</v>
      </c>
      <c r="O45" s="455" t="s">
        <v>3518</v>
      </c>
      <c r="P45" s="455">
        <v>5566</v>
      </c>
      <c r="Q45" s="455">
        <v>5566</v>
      </c>
      <c r="R45" s="523">
        <v>0</v>
      </c>
    </row>
    <row r="46" spans="1:18">
      <c r="A46" s="455" t="s">
        <v>1549</v>
      </c>
      <c r="B46" s="455" t="s">
        <v>515</v>
      </c>
      <c r="C46" s="168" t="s">
        <v>1566</v>
      </c>
      <c r="D46" s="150">
        <v>8520.5</v>
      </c>
      <c r="E46" s="456">
        <v>9000</v>
      </c>
      <c r="F46" s="168">
        <v>0</v>
      </c>
      <c r="G46" s="168">
        <v>0</v>
      </c>
      <c r="M46" s="168" t="s">
        <v>90</v>
      </c>
      <c r="N46" s="455" t="s">
        <v>1549</v>
      </c>
      <c r="O46" s="455" t="s">
        <v>3518</v>
      </c>
      <c r="P46" s="455">
        <v>20972</v>
      </c>
      <c r="Q46" s="455">
        <v>20972</v>
      </c>
      <c r="R46" s="523">
        <v>13396</v>
      </c>
    </row>
    <row r="47" spans="1:18">
      <c r="A47" s="455"/>
      <c r="D47" s="150"/>
      <c r="F47" s="168">
        <v>1048.4000000000001</v>
      </c>
      <c r="G47" s="168">
        <v>1048</v>
      </c>
      <c r="M47" s="168" t="s">
        <v>2582</v>
      </c>
      <c r="N47" s="455" t="s">
        <v>1549</v>
      </c>
      <c r="O47" s="455" t="s">
        <v>3518</v>
      </c>
      <c r="P47" s="455">
        <v>32375</v>
      </c>
      <c r="Q47" s="455">
        <v>32375</v>
      </c>
      <c r="R47" s="523">
        <v>6697</v>
      </c>
    </row>
    <row r="48" spans="1:18">
      <c r="A48" s="455" t="s">
        <v>1549</v>
      </c>
      <c r="B48" s="455" t="s">
        <v>590</v>
      </c>
      <c r="C48" s="168" t="s">
        <v>1566</v>
      </c>
      <c r="D48" s="150">
        <v>8956.7999999999993</v>
      </c>
      <c r="E48" s="456">
        <v>9000</v>
      </c>
      <c r="F48" s="168">
        <v>10717.2</v>
      </c>
      <c r="G48" s="168">
        <v>10717</v>
      </c>
      <c r="M48" s="168" t="s">
        <v>333</v>
      </c>
      <c r="N48" s="455" t="s">
        <v>1549</v>
      </c>
      <c r="O48" s="455" t="s">
        <v>3518</v>
      </c>
      <c r="P48" s="455">
        <v>33853</v>
      </c>
      <c r="Q48" s="455">
        <v>33853</v>
      </c>
      <c r="R48" s="523">
        <v>13374</v>
      </c>
    </row>
    <row r="49" spans="1:18">
      <c r="A49" s="455" t="s">
        <v>1549</v>
      </c>
      <c r="B49" s="455" t="s">
        <v>590</v>
      </c>
      <c r="C49" s="168" t="s">
        <v>1566</v>
      </c>
      <c r="D49" s="150">
        <v>33967.980000000003</v>
      </c>
      <c r="E49" s="456">
        <v>35000</v>
      </c>
      <c r="F49" s="168">
        <v>36479.279999999999</v>
      </c>
      <c r="G49" s="168">
        <v>36479</v>
      </c>
      <c r="M49" s="168" t="s">
        <v>1402</v>
      </c>
      <c r="N49" s="455" t="s">
        <v>1549</v>
      </c>
      <c r="O49" s="455" t="s">
        <v>3518</v>
      </c>
      <c r="P49" s="455">
        <v>33925</v>
      </c>
      <c r="Q49" s="455">
        <v>33925</v>
      </c>
      <c r="R49" s="523">
        <v>7719</v>
      </c>
    </row>
    <row r="50" spans="1:18">
      <c r="A50" s="455" t="s">
        <v>1549</v>
      </c>
      <c r="B50" s="455" t="s">
        <v>590</v>
      </c>
      <c r="C50" s="168" t="s">
        <v>1566</v>
      </c>
      <c r="D50" s="150">
        <v>1721.69</v>
      </c>
      <c r="E50" s="456">
        <v>1800</v>
      </c>
      <c r="F50" s="168">
        <v>2186.8200000000002</v>
      </c>
      <c r="G50" s="168">
        <v>2186</v>
      </c>
      <c r="M50" s="168" t="s">
        <v>145</v>
      </c>
      <c r="N50" s="455" t="s">
        <v>1549</v>
      </c>
      <c r="O50" s="455" t="s">
        <v>3518</v>
      </c>
      <c r="P50" s="455">
        <v>41991</v>
      </c>
      <c r="Q50" s="455">
        <v>41991</v>
      </c>
      <c r="R50" s="523">
        <v>16866</v>
      </c>
    </row>
    <row r="51" spans="1:18">
      <c r="A51" s="455" t="s">
        <v>1549</v>
      </c>
      <c r="B51" s="455" t="s">
        <v>590</v>
      </c>
      <c r="C51" s="168" t="s">
        <v>1566</v>
      </c>
      <c r="D51" s="150">
        <v>2285.4</v>
      </c>
      <c r="E51" s="456">
        <v>2300</v>
      </c>
      <c r="F51" s="168">
        <v>2520.48</v>
      </c>
      <c r="G51" s="168">
        <v>2520</v>
      </c>
      <c r="M51" s="168" t="s">
        <v>236</v>
      </c>
      <c r="N51" s="455" t="s">
        <v>1549</v>
      </c>
      <c r="O51" s="455" t="s">
        <v>3518</v>
      </c>
      <c r="P51" s="455">
        <v>44007</v>
      </c>
      <c r="Q51" s="455">
        <v>44007</v>
      </c>
      <c r="R51" s="523">
        <v>19248</v>
      </c>
    </row>
    <row r="52" spans="1:18">
      <c r="A52" s="455" t="s">
        <v>1549</v>
      </c>
      <c r="B52" s="455" t="s">
        <v>1807</v>
      </c>
      <c r="C52" s="168" t="s">
        <v>1566</v>
      </c>
      <c r="D52" s="150">
        <v>76.8</v>
      </c>
      <c r="E52" s="456">
        <v>80</v>
      </c>
      <c r="F52" s="168">
        <v>82.8</v>
      </c>
      <c r="G52" s="168">
        <v>83</v>
      </c>
      <c r="M52" s="168" t="s">
        <v>379</v>
      </c>
      <c r="N52" s="455" t="s">
        <v>1549</v>
      </c>
      <c r="O52" s="455" t="s">
        <v>3518</v>
      </c>
      <c r="P52" s="455">
        <v>2247</v>
      </c>
      <c r="Q52" s="455">
        <v>2247</v>
      </c>
      <c r="R52" s="523">
        <v>2312</v>
      </c>
    </row>
    <row r="53" spans="1:18">
      <c r="A53" s="455" t="s">
        <v>1549</v>
      </c>
      <c r="B53" s="455" t="s">
        <v>75</v>
      </c>
      <c r="C53" s="168" t="s">
        <v>1567</v>
      </c>
      <c r="D53" s="150">
        <v>1186517.93</v>
      </c>
      <c r="E53" s="456">
        <v>2500000</v>
      </c>
      <c r="F53" s="168">
        <v>1907109.85</v>
      </c>
      <c r="G53" s="168">
        <v>1907127</v>
      </c>
      <c r="M53" s="168" t="s">
        <v>294</v>
      </c>
      <c r="N53" s="455" t="s">
        <v>1549</v>
      </c>
      <c r="O53" s="455" t="s">
        <v>3518</v>
      </c>
      <c r="P53" s="455">
        <v>2545</v>
      </c>
      <c r="Q53" s="455">
        <v>2545</v>
      </c>
      <c r="R53" s="523">
        <v>2543</v>
      </c>
    </row>
    <row r="54" spans="1:18">
      <c r="A54" s="455" t="s">
        <v>1549</v>
      </c>
      <c r="B54" s="455" t="s">
        <v>77</v>
      </c>
      <c r="C54" s="168" t="s">
        <v>1567</v>
      </c>
      <c r="D54" s="150">
        <v>113355.53</v>
      </c>
      <c r="E54" s="456">
        <v>114000</v>
      </c>
      <c r="F54" s="168">
        <v>439635.02</v>
      </c>
      <c r="G54" s="168">
        <v>439635</v>
      </c>
      <c r="M54" s="168" t="s">
        <v>1306</v>
      </c>
      <c r="N54" s="455" t="s">
        <v>1549</v>
      </c>
      <c r="O54" s="455" t="s">
        <v>3518</v>
      </c>
      <c r="P54" s="455">
        <v>4360</v>
      </c>
      <c r="Q54" s="455"/>
      <c r="R54" s="523">
        <v>0</v>
      </c>
    </row>
    <row r="55" spans="1:18">
      <c r="A55" s="455" t="s">
        <v>1549</v>
      </c>
      <c r="B55" s="455" t="s">
        <v>60</v>
      </c>
      <c r="C55" s="168" t="s">
        <v>1567</v>
      </c>
      <c r="D55" s="150">
        <v>654638.66</v>
      </c>
      <c r="E55" s="456">
        <v>212394</v>
      </c>
      <c r="F55" s="168">
        <v>162995.56</v>
      </c>
      <c r="G55" s="168">
        <v>162996</v>
      </c>
      <c r="M55" s="168" t="s">
        <v>1352</v>
      </c>
      <c r="N55" s="455" t="s">
        <v>1549</v>
      </c>
      <c r="O55" s="455" t="s">
        <v>3518</v>
      </c>
      <c r="P55" s="455">
        <v>24697</v>
      </c>
      <c r="Q55" s="455">
        <v>24697</v>
      </c>
      <c r="R55" s="523">
        <v>7213</v>
      </c>
    </row>
    <row r="56" spans="1:18">
      <c r="A56" s="455"/>
      <c r="D56" s="150"/>
      <c r="M56" s="168" t="s">
        <v>203</v>
      </c>
      <c r="N56" s="455" t="s">
        <v>1549</v>
      </c>
      <c r="O56" s="455" t="s">
        <v>767</v>
      </c>
      <c r="P56" s="455">
        <v>3000</v>
      </c>
      <c r="Q56" s="455">
        <v>3000</v>
      </c>
      <c r="R56" s="523">
        <v>0</v>
      </c>
    </row>
    <row r="57" spans="1:18">
      <c r="A57" s="455"/>
      <c r="D57" s="150"/>
      <c r="M57" s="168" t="s">
        <v>2718</v>
      </c>
      <c r="N57" s="455"/>
      <c r="O57" s="455" t="s">
        <v>767</v>
      </c>
      <c r="P57" s="455">
        <v>5136</v>
      </c>
      <c r="Q57" s="455">
        <v>5136</v>
      </c>
      <c r="R57" s="523">
        <v>3832</v>
      </c>
    </row>
    <row r="58" spans="1:18">
      <c r="A58" s="455" t="s">
        <v>1549</v>
      </c>
      <c r="B58" s="455" t="s">
        <v>660</v>
      </c>
      <c r="C58" s="168" t="s">
        <v>1567</v>
      </c>
      <c r="D58" s="150">
        <v>0</v>
      </c>
      <c r="E58" s="456">
        <v>0</v>
      </c>
      <c r="F58" s="168">
        <v>0</v>
      </c>
      <c r="G58" s="168">
        <v>0</v>
      </c>
      <c r="M58" s="168" t="s">
        <v>289</v>
      </c>
      <c r="N58" s="455" t="s">
        <v>1549</v>
      </c>
      <c r="O58" s="455" t="s">
        <v>767</v>
      </c>
      <c r="P58" s="455">
        <v>8244</v>
      </c>
      <c r="Q58" s="455">
        <v>8244</v>
      </c>
      <c r="R58" s="523">
        <v>0</v>
      </c>
    </row>
    <row r="59" spans="1:18">
      <c r="A59" s="455" t="s">
        <v>1549</v>
      </c>
      <c r="B59" s="455" t="s">
        <v>767</v>
      </c>
      <c r="C59" s="168" t="s">
        <v>1567</v>
      </c>
      <c r="D59" s="150">
        <v>44380.95</v>
      </c>
      <c r="E59" s="456">
        <v>45000</v>
      </c>
      <c r="F59" s="168">
        <v>17754.84</v>
      </c>
      <c r="G59" s="168">
        <v>17755</v>
      </c>
      <c r="M59" s="168" t="s">
        <v>1158</v>
      </c>
      <c r="N59" s="455" t="s">
        <v>1549</v>
      </c>
      <c r="O59" s="455" t="s">
        <v>767</v>
      </c>
      <c r="P59" s="455">
        <v>16488</v>
      </c>
      <c r="Q59" s="455"/>
      <c r="R59" s="523">
        <v>0</v>
      </c>
    </row>
    <row r="60" spans="1:18">
      <c r="A60" s="455" t="s">
        <v>1549</v>
      </c>
      <c r="B60" s="455" t="s">
        <v>84</v>
      </c>
      <c r="C60" s="168" t="s">
        <v>1567</v>
      </c>
      <c r="D60" s="150">
        <v>260960.68</v>
      </c>
      <c r="E60" s="456">
        <v>261600</v>
      </c>
      <c r="F60" s="168">
        <v>379027.3</v>
      </c>
      <c r="G60" s="168">
        <v>379027</v>
      </c>
      <c r="M60" s="168" t="s">
        <v>3729</v>
      </c>
      <c r="N60" s="455"/>
      <c r="O60" s="455" t="s">
        <v>3730</v>
      </c>
      <c r="P60" s="455">
        <v>16488</v>
      </c>
      <c r="Q60" s="455">
        <v>16488</v>
      </c>
      <c r="R60" s="523"/>
    </row>
    <row r="61" spans="1:18">
      <c r="A61" s="455" t="s">
        <v>1549</v>
      </c>
      <c r="B61" s="455" t="s">
        <v>86</v>
      </c>
      <c r="C61" s="168" t="s">
        <v>1567</v>
      </c>
      <c r="D61" s="150">
        <v>11023.61</v>
      </c>
      <c r="E61" s="456">
        <v>12000</v>
      </c>
      <c r="F61" s="168">
        <v>70461.75</v>
      </c>
      <c r="G61" s="168">
        <v>70461</v>
      </c>
      <c r="M61" s="168" t="s">
        <v>1348</v>
      </c>
      <c r="N61" s="455" t="s">
        <v>1549</v>
      </c>
      <c r="O61" s="455" t="s">
        <v>767</v>
      </c>
      <c r="P61" s="455">
        <v>22140</v>
      </c>
      <c r="Q61" s="455">
        <v>22140</v>
      </c>
      <c r="R61" s="523">
        <v>0</v>
      </c>
    </row>
    <row r="62" spans="1:18">
      <c r="A62" s="455" t="s">
        <v>1549</v>
      </c>
      <c r="B62" s="455" t="s">
        <v>590</v>
      </c>
      <c r="C62" s="168" t="s">
        <v>1567</v>
      </c>
      <c r="D62" s="150">
        <v>134936.4</v>
      </c>
      <c r="E62" s="456">
        <v>140000</v>
      </c>
      <c r="F62" s="168">
        <v>80877.88</v>
      </c>
      <c r="G62" s="168">
        <v>80878</v>
      </c>
      <c r="M62" s="168" t="s">
        <v>1187</v>
      </c>
      <c r="N62" s="455" t="s">
        <v>1549</v>
      </c>
      <c r="O62" s="455" t="s">
        <v>767</v>
      </c>
      <c r="P62" s="455">
        <v>24732</v>
      </c>
      <c r="Q62" s="455">
        <v>24732</v>
      </c>
      <c r="R62" s="523">
        <v>6867</v>
      </c>
    </row>
    <row r="63" spans="1:18">
      <c r="A63" s="455" t="s">
        <v>1549</v>
      </c>
      <c r="B63" s="455" t="s">
        <v>590</v>
      </c>
      <c r="C63" s="168" t="s">
        <v>1567</v>
      </c>
      <c r="D63" s="150">
        <v>469203.24</v>
      </c>
      <c r="E63" s="456">
        <v>469500</v>
      </c>
      <c r="F63" s="168">
        <v>361694.9</v>
      </c>
      <c r="G63" s="168">
        <v>361695</v>
      </c>
      <c r="M63" s="168" t="s">
        <v>82</v>
      </c>
      <c r="N63" s="455" t="s">
        <v>1549</v>
      </c>
      <c r="O63" s="455" t="s">
        <v>767</v>
      </c>
      <c r="P63" s="455">
        <v>30384</v>
      </c>
      <c r="Q63" s="455">
        <v>30384</v>
      </c>
      <c r="R63" s="523">
        <v>4251</v>
      </c>
    </row>
    <row r="64" spans="1:18">
      <c r="A64" s="455" t="s">
        <v>1549</v>
      </c>
      <c r="B64" s="455" t="s">
        <v>590</v>
      </c>
      <c r="C64" s="168" t="s">
        <v>1567</v>
      </c>
      <c r="D64" s="150">
        <v>25990.080000000002</v>
      </c>
      <c r="E64" s="456">
        <v>30000</v>
      </c>
      <c r="F64" s="168">
        <v>17270.650000000001</v>
      </c>
      <c r="G64" s="168">
        <v>17271</v>
      </c>
      <c r="M64" s="168" t="s">
        <v>2577</v>
      </c>
      <c r="N64" s="455" t="s">
        <v>1549</v>
      </c>
      <c r="O64" s="455" t="s">
        <v>767</v>
      </c>
      <c r="P64" s="455">
        <v>38628</v>
      </c>
      <c r="Q64" s="455">
        <v>38628</v>
      </c>
      <c r="R64" s="523">
        <v>6867</v>
      </c>
    </row>
    <row r="65" spans="1:18">
      <c r="A65" s="455" t="s">
        <v>1549</v>
      </c>
      <c r="B65" s="455" t="s">
        <v>590</v>
      </c>
      <c r="C65" s="168" t="s">
        <v>1567</v>
      </c>
      <c r="D65" s="150">
        <v>28361.99</v>
      </c>
      <c r="E65" s="456">
        <v>32000</v>
      </c>
      <c r="F65" s="168">
        <v>18825.23</v>
      </c>
      <c r="G65" s="168">
        <v>18826</v>
      </c>
      <c r="M65" s="168" t="s">
        <v>329</v>
      </c>
      <c r="N65" s="455" t="s">
        <v>1549</v>
      </c>
      <c r="O65" s="455" t="s">
        <v>767</v>
      </c>
      <c r="P65" s="455">
        <v>46872</v>
      </c>
      <c r="Q65" s="455">
        <v>46872</v>
      </c>
      <c r="R65" s="523">
        <v>2595</v>
      </c>
    </row>
    <row r="66" spans="1:18">
      <c r="A66" s="455" t="s">
        <v>1549</v>
      </c>
      <c r="B66" s="455" t="s">
        <v>1807</v>
      </c>
      <c r="C66" s="168" t="s">
        <v>1567</v>
      </c>
      <c r="D66" s="150">
        <v>982.4</v>
      </c>
      <c r="E66" s="456">
        <v>1200</v>
      </c>
      <c r="F66" s="168">
        <v>767.28</v>
      </c>
      <c r="G66" s="168">
        <v>768</v>
      </c>
      <c r="M66" s="168" t="s">
        <v>230</v>
      </c>
      <c r="N66" s="455" t="s">
        <v>1549</v>
      </c>
      <c r="O66" s="455" t="s">
        <v>767</v>
      </c>
      <c r="P66" s="455">
        <v>77556</v>
      </c>
      <c r="Q66" s="455">
        <v>77556</v>
      </c>
      <c r="R66" s="523">
        <v>8692</v>
      </c>
    </row>
    <row r="67" spans="1:18">
      <c r="A67" s="455" t="s">
        <v>1549</v>
      </c>
      <c r="B67" s="455" t="s">
        <v>75</v>
      </c>
      <c r="C67" s="168" t="s">
        <v>1990</v>
      </c>
      <c r="D67" s="150">
        <v>45677.760000000002</v>
      </c>
      <c r="E67" s="456">
        <v>72500</v>
      </c>
      <c r="F67" s="168">
        <v>52834</v>
      </c>
      <c r="G67" s="168">
        <v>52834</v>
      </c>
      <c r="M67" s="168" t="s">
        <v>138</v>
      </c>
      <c r="N67" s="455" t="s">
        <v>1549</v>
      </c>
      <c r="O67" s="455" t="s">
        <v>767</v>
      </c>
      <c r="P67" s="455">
        <v>109158</v>
      </c>
      <c r="Q67" s="455">
        <v>109158</v>
      </c>
      <c r="R67" s="523">
        <v>20544</v>
      </c>
    </row>
    <row r="68" spans="1:18">
      <c r="A68" s="455" t="s">
        <v>1549</v>
      </c>
      <c r="B68" s="455" t="s">
        <v>77</v>
      </c>
      <c r="C68" s="168" t="s">
        <v>1990</v>
      </c>
      <c r="D68" s="150">
        <v>922.31</v>
      </c>
      <c r="E68" s="456">
        <v>1300</v>
      </c>
      <c r="F68" s="168">
        <v>27927.58</v>
      </c>
      <c r="G68" s="168">
        <v>27927</v>
      </c>
      <c r="M68" s="168" t="s">
        <v>1444</v>
      </c>
      <c r="N68" s="455" t="s">
        <v>1549</v>
      </c>
      <c r="O68" s="455" t="s">
        <v>767</v>
      </c>
      <c r="P68" s="455"/>
      <c r="Q68" s="455"/>
      <c r="R68" s="523">
        <v>17367</v>
      </c>
    </row>
    <row r="69" spans="1:18">
      <c r="A69" s="455" t="s">
        <v>1549</v>
      </c>
      <c r="B69" s="455" t="s">
        <v>60</v>
      </c>
      <c r="C69" s="168" t="s">
        <v>1990</v>
      </c>
      <c r="D69" s="150">
        <v>6040.72</v>
      </c>
      <c r="E69" s="456">
        <v>6041</v>
      </c>
      <c r="F69" s="168">
        <v>4402.83</v>
      </c>
      <c r="G69" s="168">
        <v>4403</v>
      </c>
      <c r="M69" s="168" t="s">
        <v>283</v>
      </c>
      <c r="N69" s="455" t="s">
        <v>1553</v>
      </c>
      <c r="O69" s="455" t="s">
        <v>2322</v>
      </c>
      <c r="P69" s="455">
        <v>2831</v>
      </c>
      <c r="Q69" s="455">
        <v>2831</v>
      </c>
      <c r="R69" s="523">
        <v>0</v>
      </c>
    </row>
    <row r="70" spans="1:18">
      <c r="A70" s="455"/>
      <c r="D70" s="150"/>
      <c r="F70" s="168">
        <v>18213.3</v>
      </c>
      <c r="G70" s="168">
        <v>18214</v>
      </c>
      <c r="M70" s="168" t="s">
        <v>281</v>
      </c>
      <c r="N70" s="455" t="s">
        <v>1549</v>
      </c>
      <c r="O70" s="455" t="s">
        <v>1807</v>
      </c>
      <c r="P70" s="455">
        <v>41</v>
      </c>
      <c r="Q70" s="455">
        <v>41</v>
      </c>
      <c r="R70" s="523">
        <v>33</v>
      </c>
    </row>
    <row r="71" spans="1:18">
      <c r="A71" s="455" t="s">
        <v>1549</v>
      </c>
      <c r="B71" s="455" t="s">
        <v>575</v>
      </c>
      <c r="C71" s="168" t="s">
        <v>1990</v>
      </c>
      <c r="D71" s="150">
        <v>0</v>
      </c>
      <c r="E71" s="456">
        <v>24000</v>
      </c>
      <c r="F71" s="168">
        <v>0</v>
      </c>
      <c r="G71" s="168">
        <v>0</v>
      </c>
      <c r="M71" s="168" t="s">
        <v>1139</v>
      </c>
      <c r="N71" s="455" t="s">
        <v>1549</v>
      </c>
      <c r="O71" s="455" t="s">
        <v>1807</v>
      </c>
      <c r="P71" s="455">
        <v>41</v>
      </c>
      <c r="Q71" s="455">
        <v>41</v>
      </c>
      <c r="R71" s="523">
        <v>45</v>
      </c>
    </row>
    <row r="72" spans="1:18">
      <c r="A72" s="455" t="s">
        <v>1549</v>
      </c>
      <c r="B72" s="455" t="s">
        <v>590</v>
      </c>
      <c r="C72" s="168" t="s">
        <v>1990</v>
      </c>
      <c r="D72" s="150">
        <v>13098.72</v>
      </c>
      <c r="E72" s="456">
        <v>13100</v>
      </c>
      <c r="F72" s="168">
        <v>8024.84</v>
      </c>
      <c r="G72" s="168">
        <v>8025</v>
      </c>
      <c r="M72" s="168" t="s">
        <v>380</v>
      </c>
      <c r="N72" s="455" t="s">
        <v>1549</v>
      </c>
      <c r="O72" s="455" t="s">
        <v>1807</v>
      </c>
      <c r="P72" s="455">
        <v>41</v>
      </c>
      <c r="Q72" s="455">
        <v>41</v>
      </c>
      <c r="R72" s="523">
        <v>45</v>
      </c>
    </row>
    <row r="73" spans="1:18">
      <c r="A73" s="455" t="s">
        <v>1549</v>
      </c>
      <c r="B73" s="455" t="s">
        <v>590</v>
      </c>
      <c r="C73" s="168" t="s">
        <v>1990</v>
      </c>
      <c r="D73" s="150">
        <v>790.35</v>
      </c>
      <c r="E73" s="456">
        <v>900</v>
      </c>
      <c r="F73" s="168">
        <v>992.4</v>
      </c>
      <c r="G73" s="168">
        <v>993</v>
      </c>
      <c r="M73" s="168" t="s">
        <v>1307</v>
      </c>
      <c r="N73" s="455" t="s">
        <v>1549</v>
      </c>
      <c r="O73" s="455" t="s">
        <v>1807</v>
      </c>
      <c r="P73" s="455">
        <v>83</v>
      </c>
      <c r="Q73" s="455"/>
      <c r="R73" s="523">
        <v>0</v>
      </c>
    </row>
    <row r="74" spans="1:18">
      <c r="A74" s="455" t="s">
        <v>1549</v>
      </c>
      <c r="B74" s="455" t="s">
        <v>590</v>
      </c>
      <c r="C74" s="168" t="s">
        <v>1990</v>
      </c>
      <c r="D74" s="150">
        <v>0</v>
      </c>
      <c r="E74" s="456">
        <v>0</v>
      </c>
      <c r="F74" s="168">
        <v>0</v>
      </c>
      <c r="G74" s="168">
        <v>0</v>
      </c>
      <c r="M74" s="168" t="s">
        <v>181</v>
      </c>
      <c r="N74" s="455" t="s">
        <v>1549</v>
      </c>
      <c r="O74" s="455" t="s">
        <v>1807</v>
      </c>
      <c r="P74" s="455">
        <v>83</v>
      </c>
      <c r="Q74" s="455">
        <v>83</v>
      </c>
      <c r="R74" s="523">
        <v>49</v>
      </c>
    </row>
    <row r="75" spans="1:18">
      <c r="A75" s="455" t="s">
        <v>1549</v>
      </c>
      <c r="B75" s="455" t="s">
        <v>1807</v>
      </c>
      <c r="C75" s="168" t="s">
        <v>1990</v>
      </c>
      <c r="D75" s="150">
        <v>38.4</v>
      </c>
      <c r="E75" s="456">
        <v>40</v>
      </c>
      <c r="F75" s="168">
        <v>28.98</v>
      </c>
      <c r="G75" s="168">
        <v>29</v>
      </c>
      <c r="M75" s="168" t="s">
        <v>208</v>
      </c>
      <c r="N75" s="455" t="s">
        <v>1549</v>
      </c>
      <c r="O75" s="455" t="s">
        <v>1807</v>
      </c>
      <c r="P75" s="455">
        <v>83</v>
      </c>
      <c r="Q75" s="455">
        <v>83</v>
      </c>
      <c r="R75" s="523">
        <v>90</v>
      </c>
    </row>
    <row r="76" spans="1:18">
      <c r="A76" s="455" t="s">
        <v>1551</v>
      </c>
      <c r="B76" s="455" t="s">
        <v>592</v>
      </c>
      <c r="C76" s="168" t="s">
        <v>1990</v>
      </c>
      <c r="D76" s="150">
        <v>0</v>
      </c>
      <c r="E76" s="456">
        <v>139</v>
      </c>
      <c r="F76" s="168">
        <v>0</v>
      </c>
      <c r="G76" s="168">
        <v>0</v>
      </c>
      <c r="M76" s="168" t="s">
        <v>2546</v>
      </c>
      <c r="N76" s="455" t="s">
        <v>1549</v>
      </c>
      <c r="O76" s="455" t="s">
        <v>1807</v>
      </c>
      <c r="P76" s="455">
        <v>248</v>
      </c>
      <c r="Q76" s="455">
        <v>248</v>
      </c>
      <c r="R76" s="523">
        <v>143</v>
      </c>
    </row>
    <row r="77" spans="1:18">
      <c r="A77" s="455" t="s">
        <v>1553</v>
      </c>
      <c r="B77" s="455" t="s">
        <v>2322</v>
      </c>
      <c r="C77" s="168" t="s">
        <v>1990</v>
      </c>
      <c r="D77" s="150">
        <v>2573.96</v>
      </c>
      <c r="E77" s="456">
        <v>2600</v>
      </c>
      <c r="F77" s="168">
        <v>0</v>
      </c>
      <c r="G77" s="168">
        <v>0</v>
      </c>
      <c r="M77" s="168" t="s">
        <v>1376</v>
      </c>
      <c r="N77" s="455" t="s">
        <v>1549</v>
      </c>
      <c r="O77" s="455" t="s">
        <v>1807</v>
      </c>
      <c r="P77" s="455">
        <v>331</v>
      </c>
      <c r="Q77" s="455">
        <v>331</v>
      </c>
      <c r="R77" s="523">
        <v>135</v>
      </c>
    </row>
    <row r="78" spans="1:18">
      <c r="A78" s="455" t="s">
        <v>27</v>
      </c>
      <c r="B78" s="455" t="s">
        <v>1021</v>
      </c>
      <c r="C78" s="168" t="s">
        <v>1568</v>
      </c>
      <c r="D78" s="150">
        <v>-500000</v>
      </c>
      <c r="E78" s="456">
        <v>-500000</v>
      </c>
      <c r="F78" s="168">
        <v>0</v>
      </c>
      <c r="G78" s="168">
        <v>0</v>
      </c>
      <c r="M78" s="168" t="s">
        <v>91</v>
      </c>
      <c r="N78" s="455" t="s">
        <v>1549</v>
      </c>
      <c r="O78" s="455" t="s">
        <v>1807</v>
      </c>
      <c r="P78" s="455">
        <v>621</v>
      </c>
      <c r="Q78" s="455">
        <v>621</v>
      </c>
      <c r="R78" s="523">
        <v>573</v>
      </c>
    </row>
    <row r="79" spans="1:18">
      <c r="A79" s="455" t="s">
        <v>28</v>
      </c>
      <c r="B79" s="455" t="s">
        <v>568</v>
      </c>
      <c r="C79" s="168" t="s">
        <v>1568</v>
      </c>
      <c r="D79" s="150">
        <v>-734000</v>
      </c>
      <c r="E79" s="456">
        <v>-734000</v>
      </c>
      <c r="F79" s="168">
        <v>-735000</v>
      </c>
      <c r="G79" s="168">
        <v>-735000</v>
      </c>
      <c r="M79" s="168" t="s">
        <v>1451</v>
      </c>
      <c r="N79" s="455" t="s">
        <v>1549</v>
      </c>
      <c r="O79" s="455" t="s">
        <v>1807</v>
      </c>
      <c r="P79" s="455">
        <v>952</v>
      </c>
      <c r="Q79" s="455">
        <v>952</v>
      </c>
      <c r="R79" s="523">
        <v>765</v>
      </c>
    </row>
    <row r="80" spans="1:18">
      <c r="A80" s="455" t="s">
        <v>1549</v>
      </c>
      <c r="B80" s="455" t="s">
        <v>75</v>
      </c>
      <c r="C80" s="168" t="s">
        <v>1568</v>
      </c>
      <c r="D80" s="150">
        <v>140833.68</v>
      </c>
      <c r="E80" s="456">
        <v>141000</v>
      </c>
      <c r="F80" s="168">
        <v>152578.07999999999</v>
      </c>
      <c r="G80" s="168">
        <v>152578</v>
      </c>
      <c r="M80" s="168" t="s">
        <v>237</v>
      </c>
      <c r="N80" s="455" t="s">
        <v>1549</v>
      </c>
      <c r="O80" s="455" t="s">
        <v>1807</v>
      </c>
      <c r="P80" s="455">
        <v>994</v>
      </c>
      <c r="Q80" s="455">
        <v>994</v>
      </c>
      <c r="R80" s="523">
        <v>809</v>
      </c>
    </row>
    <row r="81" spans="1:18">
      <c r="A81" s="455" t="s">
        <v>1549</v>
      </c>
      <c r="B81" s="455" t="s">
        <v>77</v>
      </c>
      <c r="C81" s="168" t="s">
        <v>1568</v>
      </c>
      <c r="D81" s="150">
        <v>0</v>
      </c>
      <c r="E81" s="456">
        <v>0</v>
      </c>
      <c r="F81" s="168">
        <v>4939.96</v>
      </c>
      <c r="G81" s="168">
        <v>4940</v>
      </c>
      <c r="M81" s="168" t="s">
        <v>1353</v>
      </c>
      <c r="N81" s="455" t="s">
        <v>1549</v>
      </c>
      <c r="O81" s="455" t="s">
        <v>1807</v>
      </c>
      <c r="P81" s="455">
        <v>1366</v>
      </c>
      <c r="Q81" s="455">
        <v>1366</v>
      </c>
      <c r="R81" s="523">
        <v>1421</v>
      </c>
    </row>
    <row r="82" spans="1:18">
      <c r="A82" s="455" t="s">
        <v>1549</v>
      </c>
      <c r="B82" s="455" t="s">
        <v>60</v>
      </c>
      <c r="C82" s="168" t="s">
        <v>1568</v>
      </c>
      <c r="D82" s="150">
        <v>11740.39</v>
      </c>
      <c r="E82" s="456">
        <v>11840</v>
      </c>
      <c r="F82" s="168">
        <v>12714.84</v>
      </c>
      <c r="G82" s="168">
        <v>12715</v>
      </c>
      <c r="M82" s="168" t="s">
        <v>334</v>
      </c>
      <c r="N82" s="455" t="s">
        <v>1549</v>
      </c>
      <c r="O82" s="455" t="s">
        <v>1807</v>
      </c>
      <c r="P82" s="455">
        <v>1408</v>
      </c>
      <c r="Q82" s="455">
        <v>1408</v>
      </c>
      <c r="R82" s="523">
        <v>1054</v>
      </c>
    </row>
    <row r="83" spans="1:18">
      <c r="A83" s="455" t="s">
        <v>1549</v>
      </c>
      <c r="B83" s="455" t="s">
        <v>767</v>
      </c>
      <c r="C83" s="168" t="s">
        <v>1568</v>
      </c>
      <c r="D83" s="150">
        <v>0</v>
      </c>
      <c r="E83" s="456">
        <v>0</v>
      </c>
      <c r="F83" s="168">
        <v>0</v>
      </c>
      <c r="G83" s="168">
        <v>0</v>
      </c>
      <c r="M83" s="168" t="s">
        <v>1403</v>
      </c>
      <c r="N83" s="455" t="s">
        <v>1549</v>
      </c>
      <c r="O83" s="455" t="s">
        <v>1807</v>
      </c>
      <c r="P83" s="455">
        <v>1656</v>
      </c>
      <c r="Q83" s="455">
        <v>1656</v>
      </c>
      <c r="R83" s="523">
        <v>1568</v>
      </c>
    </row>
    <row r="84" spans="1:18">
      <c r="A84" s="455" t="s">
        <v>1549</v>
      </c>
      <c r="B84" s="455" t="s">
        <v>84</v>
      </c>
      <c r="C84" s="168" t="s">
        <v>1568</v>
      </c>
      <c r="D84" s="150">
        <v>44295</v>
      </c>
      <c r="E84" s="456">
        <v>44295</v>
      </c>
      <c r="F84" s="168">
        <v>49618</v>
      </c>
      <c r="G84" s="168">
        <v>49618</v>
      </c>
      <c r="M84" s="168" t="s">
        <v>2583</v>
      </c>
      <c r="N84" s="455" t="s">
        <v>1549</v>
      </c>
      <c r="O84" s="455" t="s">
        <v>1807</v>
      </c>
      <c r="P84" s="455">
        <v>1739</v>
      </c>
      <c r="Q84" s="455">
        <v>1739</v>
      </c>
      <c r="R84" s="523">
        <v>1632</v>
      </c>
    </row>
    <row r="85" spans="1:18">
      <c r="A85" s="455" t="s">
        <v>1549</v>
      </c>
      <c r="B85" s="455" t="s">
        <v>575</v>
      </c>
      <c r="C85" s="168" t="s">
        <v>1568</v>
      </c>
      <c r="D85" s="150">
        <v>8902.7999999999993</v>
      </c>
      <c r="E85" s="456">
        <v>9000</v>
      </c>
      <c r="F85" s="168">
        <v>9871.2000000000007</v>
      </c>
      <c r="G85" s="168">
        <v>9871</v>
      </c>
      <c r="M85" s="168" t="s">
        <v>146</v>
      </c>
      <c r="N85" s="455" t="s">
        <v>1549</v>
      </c>
      <c r="O85" s="455" t="s">
        <v>1807</v>
      </c>
      <c r="P85" s="455">
        <v>6250</v>
      </c>
      <c r="Q85" s="455">
        <v>6250</v>
      </c>
      <c r="R85" s="523">
        <v>592</v>
      </c>
    </row>
    <row r="86" spans="1:18">
      <c r="A86" s="455" t="s">
        <v>1549</v>
      </c>
      <c r="B86" s="455" t="s">
        <v>575</v>
      </c>
      <c r="C86" s="168" t="s">
        <v>1568</v>
      </c>
      <c r="D86" s="150">
        <v>30994.68</v>
      </c>
      <c r="E86" s="456">
        <v>31000</v>
      </c>
      <c r="F86" s="168">
        <v>33567.120000000003</v>
      </c>
      <c r="G86" s="168">
        <v>33567</v>
      </c>
      <c r="M86" s="168" t="s">
        <v>1160</v>
      </c>
      <c r="N86" s="455" t="s">
        <v>1549</v>
      </c>
      <c r="O86" s="455" t="s">
        <v>3515</v>
      </c>
      <c r="P86" s="455">
        <v>29684</v>
      </c>
      <c r="Q86" s="455"/>
      <c r="R86" s="523">
        <v>0</v>
      </c>
    </row>
    <row r="87" spans="1:18">
      <c r="A87" s="455" t="s">
        <v>1549</v>
      </c>
      <c r="B87" s="455" t="s">
        <v>575</v>
      </c>
      <c r="C87" s="168" t="s">
        <v>1568</v>
      </c>
      <c r="D87" s="150">
        <v>1472.88</v>
      </c>
      <c r="E87" s="456">
        <v>1500</v>
      </c>
      <c r="F87" s="168">
        <v>1497.36</v>
      </c>
      <c r="G87" s="168">
        <v>1497</v>
      </c>
      <c r="M87" s="168" t="s">
        <v>204</v>
      </c>
      <c r="N87" s="455" t="s">
        <v>1549</v>
      </c>
      <c r="O87" s="455" t="s">
        <v>3515</v>
      </c>
      <c r="P87" s="455">
        <v>74526</v>
      </c>
      <c r="Q87" s="455">
        <v>74526</v>
      </c>
      <c r="R87" s="523">
        <v>12622</v>
      </c>
    </row>
    <row r="88" spans="1:18">
      <c r="A88" s="455" t="s">
        <v>1549</v>
      </c>
      <c r="B88" s="455" t="s">
        <v>575</v>
      </c>
      <c r="C88" s="168" t="s">
        <v>1568</v>
      </c>
      <c r="D88" s="150">
        <v>2141.4</v>
      </c>
      <c r="E88" s="456">
        <v>2200</v>
      </c>
      <c r="F88" s="168">
        <v>2319.2399999999998</v>
      </c>
      <c r="G88" s="168">
        <v>2319</v>
      </c>
      <c r="M88" s="168" t="s">
        <v>2542</v>
      </c>
      <c r="N88" s="455" t="s">
        <v>1549</v>
      </c>
      <c r="O88" s="455" t="s">
        <v>3515</v>
      </c>
      <c r="P88" s="455">
        <v>76948</v>
      </c>
      <c r="Q88" s="455">
        <v>76948</v>
      </c>
      <c r="R88" s="523">
        <v>59592</v>
      </c>
    </row>
    <row r="89" spans="1:18">
      <c r="A89" s="455" t="s">
        <v>1549</v>
      </c>
      <c r="B89" s="455" t="s">
        <v>1807</v>
      </c>
      <c r="C89" s="168" t="s">
        <v>1568</v>
      </c>
      <c r="D89" s="150">
        <v>38.4</v>
      </c>
      <c r="E89" s="456">
        <v>40</v>
      </c>
      <c r="F89" s="168">
        <v>41.4</v>
      </c>
      <c r="G89" s="168">
        <v>41</v>
      </c>
      <c r="M89" s="168" t="s">
        <v>2579</v>
      </c>
      <c r="N89" s="455" t="s">
        <v>1549</v>
      </c>
      <c r="O89" s="455" t="s">
        <v>3515</v>
      </c>
      <c r="P89" s="455">
        <v>124211</v>
      </c>
      <c r="Q89" s="455">
        <v>124211</v>
      </c>
      <c r="R89" s="523">
        <v>22734</v>
      </c>
    </row>
    <row r="90" spans="1:18">
      <c r="A90" s="455" t="s">
        <v>1549</v>
      </c>
      <c r="B90" s="455" t="s">
        <v>75</v>
      </c>
      <c r="C90" s="168" t="s">
        <v>1229</v>
      </c>
      <c r="D90" s="150">
        <v>176421.36</v>
      </c>
      <c r="E90" s="456">
        <v>177000</v>
      </c>
      <c r="F90" s="168">
        <v>31853.26</v>
      </c>
      <c r="G90" s="168">
        <v>31853</v>
      </c>
      <c r="M90" s="168" t="s">
        <v>1399</v>
      </c>
      <c r="N90" s="455" t="s">
        <v>1549</v>
      </c>
      <c r="O90" s="455" t="s">
        <v>3515</v>
      </c>
      <c r="P90" s="455">
        <v>198737</v>
      </c>
      <c r="Q90" s="455">
        <v>198737</v>
      </c>
      <c r="R90" s="523">
        <v>3756</v>
      </c>
    </row>
    <row r="91" spans="1:18">
      <c r="A91" s="455" t="s">
        <v>1549</v>
      </c>
      <c r="B91" s="455" t="s">
        <v>60</v>
      </c>
      <c r="C91" s="168" t="s">
        <v>1229</v>
      </c>
      <c r="D91" s="150">
        <v>14706.03</v>
      </c>
      <c r="E91" s="456">
        <v>14806</v>
      </c>
      <c r="F91" s="168">
        <v>15926.63</v>
      </c>
      <c r="G91" s="168">
        <v>15927</v>
      </c>
      <c r="M91" s="168" t="s">
        <v>330</v>
      </c>
      <c r="N91" s="455" t="s">
        <v>1549</v>
      </c>
      <c r="O91" s="455" t="s">
        <v>3515</v>
      </c>
      <c r="P91" s="455">
        <v>223579</v>
      </c>
      <c r="Q91" s="455">
        <v>223579</v>
      </c>
      <c r="R91" s="523">
        <v>13114</v>
      </c>
    </row>
    <row r="92" spans="1:18">
      <c r="A92" s="455" t="s">
        <v>1549</v>
      </c>
      <c r="B92" s="455" t="s">
        <v>515</v>
      </c>
      <c r="C92" s="168" t="s">
        <v>1229</v>
      </c>
      <c r="D92" s="150">
        <v>24504.48</v>
      </c>
      <c r="E92" s="456">
        <v>24604</v>
      </c>
      <c r="F92" s="168">
        <v>4084.08</v>
      </c>
      <c r="G92" s="168">
        <v>4084</v>
      </c>
      <c r="M92" s="168" t="s">
        <v>87</v>
      </c>
      <c r="N92" s="455" t="s">
        <v>1549</v>
      </c>
      <c r="O92" s="455" t="s">
        <v>3515</v>
      </c>
      <c r="P92" s="455">
        <v>223579</v>
      </c>
      <c r="Q92" s="455">
        <v>223579</v>
      </c>
      <c r="R92" s="523">
        <v>47589</v>
      </c>
    </row>
    <row r="93" spans="1:18">
      <c r="A93" s="455" t="s">
        <v>1549</v>
      </c>
      <c r="B93" s="455" t="s">
        <v>660</v>
      </c>
      <c r="C93" s="168" t="s">
        <v>1229</v>
      </c>
      <c r="D93" s="150">
        <v>0</v>
      </c>
      <c r="E93" s="456">
        <v>0</v>
      </c>
      <c r="F93" s="168">
        <v>0</v>
      </c>
      <c r="G93" s="168">
        <v>0</v>
      </c>
      <c r="M93" s="168" t="s">
        <v>1447</v>
      </c>
      <c r="N93" s="455" t="s">
        <v>1549</v>
      </c>
      <c r="O93" s="455" t="s">
        <v>3515</v>
      </c>
      <c r="P93" s="455">
        <v>298106</v>
      </c>
      <c r="Q93" s="455">
        <v>298106</v>
      </c>
      <c r="R93" s="523">
        <v>153789</v>
      </c>
    </row>
    <row r="94" spans="1:18">
      <c r="A94" s="455" t="s">
        <v>1549</v>
      </c>
      <c r="B94" s="455" t="s">
        <v>767</v>
      </c>
      <c r="C94" s="168" t="s">
        <v>1229</v>
      </c>
      <c r="D94" s="150">
        <v>7068</v>
      </c>
      <c r="E94" s="456">
        <v>7000</v>
      </c>
      <c r="F94" s="168">
        <v>1248</v>
      </c>
      <c r="G94" s="168">
        <v>1248</v>
      </c>
      <c r="M94" s="168" t="s">
        <v>142</v>
      </c>
      <c r="N94" s="455" t="s">
        <v>1549</v>
      </c>
      <c r="O94" s="455" t="s">
        <v>3515</v>
      </c>
      <c r="P94" s="455">
        <v>372630</v>
      </c>
      <c r="Q94" s="455">
        <v>372630</v>
      </c>
      <c r="R94" s="523">
        <v>83370</v>
      </c>
    </row>
    <row r="95" spans="1:18" ht="15.75" thickBot="1">
      <c r="A95" s="455" t="s">
        <v>1549</v>
      </c>
      <c r="B95" s="455" t="s">
        <v>84</v>
      </c>
      <c r="C95" s="168" t="s">
        <v>1229</v>
      </c>
      <c r="D95" s="150">
        <v>75065.759999999995</v>
      </c>
      <c r="E95" s="456">
        <v>75800</v>
      </c>
      <c r="F95" s="168">
        <v>12510.96</v>
      </c>
      <c r="G95" s="168">
        <v>12511</v>
      </c>
      <c r="M95" s="168" t="s">
        <v>233</v>
      </c>
      <c r="N95" s="455" t="s">
        <v>1549</v>
      </c>
      <c r="O95" s="455" t="s">
        <v>3515</v>
      </c>
      <c r="P95" s="455">
        <v>447159</v>
      </c>
      <c r="Q95" s="455">
        <v>447159</v>
      </c>
      <c r="R95" s="523">
        <v>93132</v>
      </c>
    </row>
    <row r="96" spans="1:18" ht="16.5" thickTop="1" thickBot="1">
      <c r="A96" s="555" t="s">
        <v>1549</v>
      </c>
      <c r="B96" s="555" t="s">
        <v>590</v>
      </c>
      <c r="C96" s="556" t="s">
        <v>1229</v>
      </c>
      <c r="D96" s="560">
        <v>22868.15</v>
      </c>
      <c r="E96" s="558">
        <v>22900</v>
      </c>
      <c r="F96" s="562">
        <v>4994.3999999999996</v>
      </c>
      <c r="G96" s="562">
        <v>4994</v>
      </c>
      <c r="M96" s="168" t="s">
        <v>1372</v>
      </c>
      <c r="N96" s="455" t="s">
        <v>1549</v>
      </c>
      <c r="O96" s="455" t="s">
        <v>3515</v>
      </c>
      <c r="P96" s="455">
        <v>24842</v>
      </c>
      <c r="Q96" s="455">
        <v>24842</v>
      </c>
      <c r="R96" s="523">
        <v>0</v>
      </c>
    </row>
    <row r="97" spans="1:18" ht="15.75" thickTop="1">
      <c r="A97" s="455" t="s">
        <v>1549</v>
      </c>
      <c r="B97" s="455" t="s">
        <v>590</v>
      </c>
      <c r="C97" s="168" t="s">
        <v>1229</v>
      </c>
      <c r="D97" s="150">
        <v>38823.96</v>
      </c>
      <c r="E97" s="456">
        <v>39000</v>
      </c>
      <c r="F97" s="168">
        <v>7007.72</v>
      </c>
      <c r="G97" s="168">
        <v>7008</v>
      </c>
      <c r="M97" s="168" t="s">
        <v>291</v>
      </c>
      <c r="N97" s="455" t="s">
        <v>1549</v>
      </c>
      <c r="O97" s="455" t="s">
        <v>3515</v>
      </c>
      <c r="P97" s="455">
        <v>24842</v>
      </c>
      <c r="Q97" s="455">
        <v>24842</v>
      </c>
      <c r="R97" s="523">
        <v>10930</v>
      </c>
    </row>
    <row r="98" spans="1:18">
      <c r="A98" s="455" t="s">
        <v>1549</v>
      </c>
      <c r="B98" s="455" t="s">
        <v>590</v>
      </c>
      <c r="C98" s="168" t="s">
        <v>1229</v>
      </c>
      <c r="D98" s="150">
        <v>1472.88</v>
      </c>
      <c r="E98" s="456">
        <v>1500</v>
      </c>
      <c r="F98" s="168">
        <v>249.56</v>
      </c>
      <c r="G98" s="168">
        <v>250</v>
      </c>
      <c r="M98" s="168" t="s">
        <v>177</v>
      </c>
      <c r="N98" s="455" t="s">
        <v>1549</v>
      </c>
      <c r="O98" s="455" t="s">
        <v>3515</v>
      </c>
      <c r="P98" s="455">
        <v>24842</v>
      </c>
      <c r="Q98" s="455">
        <v>24842</v>
      </c>
      <c r="R98" s="523">
        <v>13616</v>
      </c>
    </row>
    <row r="99" spans="1:18" ht="15.75" thickBot="1">
      <c r="A99" s="455" t="s">
        <v>1549</v>
      </c>
      <c r="B99" s="455" t="s">
        <v>575</v>
      </c>
      <c r="C99" s="168" t="s">
        <v>1229</v>
      </c>
      <c r="D99" s="150">
        <v>4464.72</v>
      </c>
      <c r="E99" s="456">
        <v>4500</v>
      </c>
      <c r="F99" s="168">
        <v>805.88</v>
      </c>
      <c r="G99" s="168">
        <v>806</v>
      </c>
      <c r="M99" s="168" t="s">
        <v>376</v>
      </c>
      <c r="N99" s="455" t="s">
        <v>1549</v>
      </c>
      <c r="O99" s="455" t="s">
        <v>3515</v>
      </c>
      <c r="P99" s="455">
        <v>24842</v>
      </c>
      <c r="Q99" s="455">
        <v>24842</v>
      </c>
      <c r="R99" s="523">
        <v>19505</v>
      </c>
    </row>
    <row r="100" spans="1:18" ht="16.5" thickTop="1" thickBot="1">
      <c r="A100" s="555" t="s">
        <v>1549</v>
      </c>
      <c r="B100" s="555" t="s">
        <v>1807</v>
      </c>
      <c r="C100" s="556" t="s">
        <v>1229</v>
      </c>
      <c r="D100" s="560">
        <v>38.4</v>
      </c>
      <c r="E100" s="558">
        <v>40</v>
      </c>
      <c r="F100" s="562">
        <v>6.9</v>
      </c>
      <c r="G100" s="562">
        <v>7</v>
      </c>
      <c r="M100" s="168" t="s">
        <v>277</v>
      </c>
      <c r="N100" s="455" t="s">
        <v>1549</v>
      </c>
      <c r="O100" s="455" t="s">
        <v>3515</v>
      </c>
      <c r="P100" s="455">
        <v>30016</v>
      </c>
      <c r="Q100" s="455">
        <v>30016</v>
      </c>
      <c r="R100" s="523">
        <v>0</v>
      </c>
    </row>
    <row r="101" spans="1:18" ht="16.5" thickTop="1" thickBot="1">
      <c r="A101" s="555" t="s">
        <v>1549</v>
      </c>
      <c r="B101" s="555" t="s">
        <v>75</v>
      </c>
      <c r="C101" s="556" t="s">
        <v>1569</v>
      </c>
      <c r="D101" s="560">
        <v>1205204.58</v>
      </c>
      <c r="E101" s="558">
        <v>1243100</v>
      </c>
      <c r="F101" s="562">
        <v>1479666.04</v>
      </c>
      <c r="G101" s="562">
        <v>1479666</v>
      </c>
      <c r="M101" s="168" t="s">
        <v>1349</v>
      </c>
      <c r="N101" s="455" t="s">
        <v>1549</v>
      </c>
      <c r="O101" s="455" t="s">
        <v>3515</v>
      </c>
      <c r="P101" s="455">
        <v>124211</v>
      </c>
      <c r="Q101" s="455">
        <v>124211</v>
      </c>
      <c r="R101" s="523">
        <v>0</v>
      </c>
    </row>
    <row r="102" spans="1:18" ht="15.75" thickTop="1">
      <c r="A102" s="455" t="s">
        <v>1549</v>
      </c>
      <c r="B102" s="455" t="s">
        <v>77</v>
      </c>
      <c r="C102" s="168" t="s">
        <v>1569</v>
      </c>
      <c r="D102" s="150">
        <v>161632.22</v>
      </c>
      <c r="E102" s="456">
        <v>161700</v>
      </c>
      <c r="F102" s="168">
        <v>516692.56</v>
      </c>
      <c r="G102" s="168">
        <v>516692</v>
      </c>
      <c r="M102" s="168" t="s">
        <v>3459</v>
      </c>
      <c r="N102" s="455"/>
      <c r="O102" s="455" t="s">
        <v>3515</v>
      </c>
      <c r="P102" s="455"/>
      <c r="Q102" s="455"/>
      <c r="R102" s="523">
        <v>79415</v>
      </c>
    </row>
    <row r="103" spans="1:18">
      <c r="A103" s="455" t="s">
        <v>1549</v>
      </c>
      <c r="B103" s="455" t="s">
        <v>60</v>
      </c>
      <c r="C103" s="168" t="s">
        <v>1569</v>
      </c>
      <c r="D103" s="150">
        <v>90946.44</v>
      </c>
      <c r="E103" s="456">
        <v>105156</v>
      </c>
      <c r="F103" s="168">
        <v>125141.05</v>
      </c>
      <c r="G103" s="168">
        <v>125142</v>
      </c>
      <c r="M103" s="168" t="s">
        <v>3735</v>
      </c>
      <c r="N103" s="455"/>
      <c r="O103" s="455" t="s">
        <v>3721</v>
      </c>
      <c r="P103" s="455">
        <v>50000</v>
      </c>
      <c r="Q103" s="455">
        <v>50000</v>
      </c>
      <c r="R103" s="523"/>
    </row>
    <row r="104" spans="1:18">
      <c r="A104" s="455" t="s">
        <v>1549</v>
      </c>
      <c r="B104" s="455" t="s">
        <v>515</v>
      </c>
      <c r="C104" s="168" t="s">
        <v>1569</v>
      </c>
      <c r="D104" s="150">
        <v>0</v>
      </c>
      <c r="E104" s="456">
        <v>0</v>
      </c>
      <c r="F104" s="168">
        <v>0</v>
      </c>
      <c r="G104" s="168">
        <v>0</v>
      </c>
      <c r="M104" s="168" t="s">
        <v>3720</v>
      </c>
      <c r="N104" s="455"/>
      <c r="O104" s="455" t="s">
        <v>3721</v>
      </c>
      <c r="P104" s="455">
        <v>60000</v>
      </c>
      <c r="Q104" s="455">
        <v>60000</v>
      </c>
      <c r="R104" s="523"/>
    </row>
    <row r="105" spans="1:18">
      <c r="A105" s="455" t="s">
        <v>1549</v>
      </c>
      <c r="B105" s="455" t="s">
        <v>660</v>
      </c>
      <c r="C105" s="168" t="s">
        <v>1569</v>
      </c>
      <c r="D105" s="150">
        <v>0</v>
      </c>
      <c r="E105" s="456">
        <v>0</v>
      </c>
      <c r="F105" s="168">
        <v>0</v>
      </c>
      <c r="G105" s="168">
        <v>0</v>
      </c>
      <c r="M105" s="168" t="s">
        <v>3716</v>
      </c>
      <c r="N105" s="455"/>
      <c r="O105" s="455" t="s">
        <v>3721</v>
      </c>
      <c r="P105" s="455">
        <v>70000</v>
      </c>
      <c r="Q105" s="455">
        <v>70000</v>
      </c>
      <c r="R105" s="523"/>
    </row>
    <row r="106" spans="1:18">
      <c r="A106" s="455" t="s">
        <v>1549</v>
      </c>
      <c r="B106" s="455" t="s">
        <v>767</v>
      </c>
      <c r="C106" s="168" t="s">
        <v>1569</v>
      </c>
      <c r="D106" s="150">
        <v>0</v>
      </c>
      <c r="E106" s="456">
        <v>0</v>
      </c>
      <c r="F106" s="168">
        <v>0</v>
      </c>
      <c r="G106" s="168">
        <v>0</v>
      </c>
      <c r="M106" s="168" t="s">
        <v>327</v>
      </c>
      <c r="N106" s="455" t="s">
        <v>1549</v>
      </c>
      <c r="O106" s="455" t="s">
        <v>515</v>
      </c>
      <c r="P106" s="455">
        <v>419540</v>
      </c>
      <c r="Q106" s="455">
        <v>419540</v>
      </c>
      <c r="R106" s="523">
        <v>0</v>
      </c>
    </row>
    <row r="107" spans="1:18">
      <c r="A107" s="455"/>
      <c r="D107" s="150"/>
      <c r="M107" s="168" t="s">
        <v>1346</v>
      </c>
      <c r="N107" s="455" t="s">
        <v>1549</v>
      </c>
      <c r="O107" s="455" t="s">
        <v>515</v>
      </c>
      <c r="P107" s="455"/>
      <c r="Q107" s="455"/>
      <c r="R107" s="523">
        <v>13621</v>
      </c>
    </row>
    <row r="108" spans="1:18">
      <c r="A108" s="455" t="s">
        <v>1549</v>
      </c>
      <c r="B108" s="455" t="s">
        <v>575</v>
      </c>
      <c r="C108" s="168" t="s">
        <v>1569</v>
      </c>
      <c r="D108" s="150">
        <v>0</v>
      </c>
      <c r="E108" s="456">
        <v>0</v>
      </c>
      <c r="F108" s="168">
        <v>0</v>
      </c>
      <c r="G108" s="168">
        <v>0</v>
      </c>
      <c r="M108" s="168" t="s">
        <v>2575</v>
      </c>
      <c r="N108" s="455" t="s">
        <v>1549</v>
      </c>
      <c r="O108" s="455" t="s">
        <v>515</v>
      </c>
      <c r="P108" s="455"/>
      <c r="Q108" s="455"/>
      <c r="R108" s="523">
        <v>28656</v>
      </c>
    </row>
    <row r="109" spans="1:18">
      <c r="A109" s="455" t="s">
        <v>1549</v>
      </c>
      <c r="B109" s="455" t="s">
        <v>590</v>
      </c>
      <c r="C109" s="168" t="s">
        <v>1569</v>
      </c>
      <c r="D109" s="150">
        <v>263461.74</v>
      </c>
      <c r="E109" s="456">
        <v>263500</v>
      </c>
      <c r="F109" s="168">
        <v>317698.2</v>
      </c>
      <c r="G109" s="168">
        <v>317698</v>
      </c>
      <c r="M109" s="168" t="s">
        <v>1185</v>
      </c>
      <c r="N109" s="455" t="s">
        <v>1549</v>
      </c>
      <c r="O109" s="455" t="s">
        <v>515</v>
      </c>
      <c r="P109" s="455"/>
      <c r="Q109" s="455"/>
      <c r="R109" s="523">
        <v>31716</v>
      </c>
    </row>
    <row r="110" spans="1:18">
      <c r="A110" s="455" t="s">
        <v>1549</v>
      </c>
      <c r="B110" s="455" t="s">
        <v>590</v>
      </c>
      <c r="C110" s="168" t="s">
        <v>1569</v>
      </c>
      <c r="D110" s="150">
        <v>14673.55</v>
      </c>
      <c r="E110" s="456">
        <v>15000</v>
      </c>
      <c r="F110" s="168">
        <v>20239.91</v>
      </c>
      <c r="G110" s="168">
        <v>20232</v>
      </c>
      <c r="M110" s="168" t="s">
        <v>79</v>
      </c>
      <c r="N110" s="455" t="s">
        <v>1549</v>
      </c>
      <c r="O110" s="455" t="s">
        <v>515</v>
      </c>
      <c r="P110" s="455"/>
      <c r="Q110" s="455"/>
      <c r="R110" s="523">
        <v>79066</v>
      </c>
    </row>
    <row r="111" spans="1:18">
      <c r="A111" s="455" t="s">
        <v>1549</v>
      </c>
      <c r="B111" s="455" t="s">
        <v>575</v>
      </c>
      <c r="C111" s="168" t="s">
        <v>1569</v>
      </c>
      <c r="D111" s="150">
        <v>4534.01</v>
      </c>
      <c r="E111" s="456">
        <v>5000</v>
      </c>
      <c r="F111" s="168">
        <v>6591.24</v>
      </c>
      <c r="G111" s="168">
        <v>6591</v>
      </c>
      <c r="M111" s="168" t="s">
        <v>1442</v>
      </c>
      <c r="N111" s="455" t="s">
        <v>1549</v>
      </c>
      <c r="O111" s="455" t="s">
        <v>515</v>
      </c>
      <c r="P111" s="455"/>
      <c r="Q111" s="455"/>
      <c r="R111" s="523">
        <v>88819</v>
      </c>
    </row>
    <row r="112" spans="1:18">
      <c r="A112" s="455" t="s">
        <v>1549</v>
      </c>
      <c r="B112" s="455" t="s">
        <v>1807</v>
      </c>
      <c r="C112" s="168" t="s">
        <v>1569</v>
      </c>
      <c r="D112" s="150">
        <v>1129.5999999999999</v>
      </c>
      <c r="E112" s="456">
        <v>1150</v>
      </c>
      <c r="F112" s="168">
        <v>1366.2</v>
      </c>
      <c r="G112" s="168">
        <v>1366</v>
      </c>
      <c r="M112" s="168" t="s">
        <v>228</v>
      </c>
      <c r="N112" s="455" t="s">
        <v>1549</v>
      </c>
      <c r="O112" s="455" t="s">
        <v>515</v>
      </c>
      <c r="P112" s="455"/>
      <c r="Q112" s="455"/>
      <c r="R112" s="523">
        <v>163706</v>
      </c>
    </row>
    <row r="113" spans="1:18">
      <c r="A113" s="455" t="s">
        <v>1549</v>
      </c>
      <c r="B113" s="455" t="s">
        <v>75</v>
      </c>
      <c r="C113" s="168" t="s">
        <v>1570</v>
      </c>
      <c r="D113" s="150">
        <v>114792.12</v>
      </c>
      <c r="E113" s="456">
        <v>115000</v>
      </c>
      <c r="F113" s="168">
        <v>124987.48</v>
      </c>
      <c r="G113" s="168">
        <v>124987</v>
      </c>
      <c r="M113" s="168" t="s">
        <v>136</v>
      </c>
      <c r="N113" s="455" t="s">
        <v>1549</v>
      </c>
      <c r="O113" s="455" t="s">
        <v>515</v>
      </c>
      <c r="P113" s="455"/>
      <c r="Q113" s="455"/>
      <c r="R113" s="523">
        <v>213083</v>
      </c>
    </row>
    <row r="114" spans="1:18">
      <c r="A114" s="455" t="s">
        <v>1549</v>
      </c>
      <c r="B114" s="455" t="s">
        <v>77</v>
      </c>
      <c r="C114" s="168" t="s">
        <v>1570</v>
      </c>
      <c r="D114" s="150">
        <v>3466.8</v>
      </c>
      <c r="E114" s="456">
        <v>3500</v>
      </c>
      <c r="F114" s="168">
        <v>13715.45</v>
      </c>
      <c r="G114" s="168">
        <v>13715</v>
      </c>
      <c r="M114" s="168" t="s">
        <v>287</v>
      </c>
      <c r="N114" s="455" t="s">
        <v>1549</v>
      </c>
      <c r="O114" s="455" t="s">
        <v>77</v>
      </c>
      <c r="P114" s="455">
        <v>10000</v>
      </c>
      <c r="Q114" s="455">
        <v>10000</v>
      </c>
      <c r="R114" s="523">
        <v>0</v>
      </c>
    </row>
    <row r="115" spans="1:18">
      <c r="A115" s="455" t="s">
        <v>1549</v>
      </c>
      <c r="B115" s="455" t="s">
        <v>60</v>
      </c>
      <c r="C115" s="168" t="s">
        <v>1570</v>
      </c>
      <c r="D115" s="150">
        <v>9630.2099999999991</v>
      </c>
      <c r="E115" s="456">
        <v>9730</v>
      </c>
      <c r="F115" s="168">
        <v>10429.530000000001</v>
      </c>
      <c r="G115" s="168">
        <v>10430</v>
      </c>
      <c r="M115" s="168" t="s">
        <v>1370</v>
      </c>
      <c r="N115" s="455" t="s">
        <v>1549</v>
      </c>
      <c r="O115" s="455" t="s">
        <v>77</v>
      </c>
      <c r="P115" s="455">
        <v>10000</v>
      </c>
      <c r="Q115" s="455">
        <v>10000</v>
      </c>
      <c r="R115" s="523">
        <v>13840</v>
      </c>
    </row>
    <row r="116" spans="1:18">
      <c r="A116" s="455"/>
      <c r="D116" s="150"/>
      <c r="M116" s="168" t="s">
        <v>3741</v>
      </c>
      <c r="N116" s="455"/>
      <c r="O116" s="455" t="s">
        <v>77</v>
      </c>
      <c r="P116" s="455">
        <v>15000</v>
      </c>
      <c r="Q116" s="455"/>
      <c r="R116" s="523"/>
    </row>
    <row r="117" spans="1:18">
      <c r="A117" s="455" t="s">
        <v>1549</v>
      </c>
      <c r="B117" s="455" t="s">
        <v>575</v>
      </c>
      <c r="C117" s="168" t="s">
        <v>1570</v>
      </c>
      <c r="D117" s="150">
        <v>0</v>
      </c>
      <c r="E117" s="456">
        <v>0</v>
      </c>
      <c r="F117" s="168">
        <v>0</v>
      </c>
      <c r="G117" s="168">
        <v>0</v>
      </c>
      <c r="M117" s="168" t="s">
        <v>1183</v>
      </c>
      <c r="N117" s="455" t="s">
        <v>1549</v>
      </c>
      <c r="O117" s="455" t="s">
        <v>77</v>
      </c>
      <c r="P117" s="455">
        <v>18000</v>
      </c>
      <c r="Q117" s="455">
        <v>18000</v>
      </c>
      <c r="R117" s="523">
        <v>2755</v>
      </c>
    </row>
    <row r="118" spans="1:18">
      <c r="A118" s="455" t="s">
        <v>1549</v>
      </c>
      <c r="B118" s="455" t="s">
        <v>590</v>
      </c>
      <c r="C118" s="168" t="s">
        <v>1570</v>
      </c>
      <c r="D118" s="150">
        <v>23439.96</v>
      </c>
      <c r="E118" s="456">
        <v>24000</v>
      </c>
      <c r="F118" s="168">
        <v>25385.52</v>
      </c>
      <c r="G118" s="168">
        <v>25386</v>
      </c>
      <c r="M118" s="168" t="s">
        <v>275</v>
      </c>
      <c r="N118" s="455" t="s">
        <v>1549</v>
      </c>
      <c r="O118" s="455" t="s">
        <v>77</v>
      </c>
      <c r="P118" s="455">
        <v>25000</v>
      </c>
      <c r="Q118" s="455">
        <v>25000</v>
      </c>
      <c r="R118" s="523">
        <v>37416</v>
      </c>
    </row>
    <row r="119" spans="1:18">
      <c r="A119" s="455" t="s">
        <v>1549</v>
      </c>
      <c r="B119" s="455" t="s">
        <v>590</v>
      </c>
      <c r="C119" s="168" t="s">
        <v>1570</v>
      </c>
      <c r="D119" s="150">
        <v>1310.67</v>
      </c>
      <c r="E119" s="456">
        <v>1400</v>
      </c>
      <c r="F119" s="168">
        <v>1491.42</v>
      </c>
      <c r="G119" s="168">
        <v>1497</v>
      </c>
      <c r="M119" s="168" t="s">
        <v>2695</v>
      </c>
      <c r="N119" s="455"/>
      <c r="O119" s="455" t="s">
        <v>77</v>
      </c>
      <c r="P119" s="455">
        <v>35000</v>
      </c>
      <c r="Q119" s="455"/>
      <c r="R119" s="523">
        <v>0</v>
      </c>
    </row>
    <row r="120" spans="1:18">
      <c r="A120" s="455" t="s">
        <v>1549</v>
      </c>
      <c r="B120" s="455" t="s">
        <v>590</v>
      </c>
      <c r="C120" s="168" t="s">
        <v>1570</v>
      </c>
      <c r="D120" s="150">
        <v>0</v>
      </c>
      <c r="E120" s="456">
        <v>0</v>
      </c>
      <c r="F120" s="168">
        <v>0</v>
      </c>
      <c r="G120" s="168">
        <v>0</v>
      </c>
      <c r="M120" s="168" t="s">
        <v>76</v>
      </c>
      <c r="N120" s="455" t="s">
        <v>1549</v>
      </c>
      <c r="O120" s="455" t="s">
        <v>77</v>
      </c>
      <c r="P120" s="455">
        <v>170000</v>
      </c>
      <c r="Q120" s="455">
        <v>170000</v>
      </c>
      <c r="R120" s="523">
        <v>138418</v>
      </c>
    </row>
    <row r="121" spans="1:18">
      <c r="A121" s="455" t="s">
        <v>1549</v>
      </c>
      <c r="B121" s="455" t="s">
        <v>1807</v>
      </c>
      <c r="C121" s="168" t="s">
        <v>1570</v>
      </c>
      <c r="D121" s="150">
        <v>115.2</v>
      </c>
      <c r="E121" s="456">
        <v>120</v>
      </c>
      <c r="F121" s="168">
        <v>124.2</v>
      </c>
      <c r="G121" s="168">
        <v>124</v>
      </c>
      <c r="M121" s="168" t="s">
        <v>1439</v>
      </c>
      <c r="N121" s="455" t="s">
        <v>1549</v>
      </c>
      <c r="O121" s="455" t="s">
        <v>77</v>
      </c>
      <c r="P121" s="455">
        <v>200000</v>
      </c>
      <c r="Q121" s="455">
        <v>200000</v>
      </c>
      <c r="R121" s="523">
        <v>175364</v>
      </c>
    </row>
    <row r="122" spans="1:18">
      <c r="A122" s="455" t="s">
        <v>1549</v>
      </c>
      <c r="B122" s="455" t="s">
        <v>75</v>
      </c>
      <c r="C122" s="168" t="s">
        <v>1571</v>
      </c>
      <c r="D122" s="150">
        <v>1499634.28</v>
      </c>
      <c r="E122" s="456">
        <v>1500000</v>
      </c>
      <c r="F122" s="168">
        <v>1659604.99</v>
      </c>
      <c r="G122" s="168">
        <v>1659605</v>
      </c>
      <c r="M122" s="168" t="s">
        <v>1392</v>
      </c>
      <c r="N122" s="455" t="s">
        <v>1549</v>
      </c>
      <c r="O122" s="455" t="s">
        <v>77</v>
      </c>
      <c r="P122" s="455">
        <v>260000</v>
      </c>
      <c r="Q122" s="455">
        <v>260000</v>
      </c>
      <c r="R122" s="523">
        <v>518160</v>
      </c>
    </row>
    <row r="123" spans="1:18">
      <c r="A123" s="455" t="s">
        <v>1549</v>
      </c>
      <c r="B123" s="455" t="s">
        <v>77</v>
      </c>
      <c r="C123" s="168" t="s">
        <v>1571</v>
      </c>
      <c r="D123" s="150">
        <v>227917.51</v>
      </c>
      <c r="E123" s="456">
        <v>228000</v>
      </c>
      <c r="F123" s="168">
        <v>462512.03</v>
      </c>
      <c r="G123" s="168">
        <v>462512</v>
      </c>
      <c r="M123" s="168" t="s">
        <v>2572</v>
      </c>
      <c r="N123" s="455" t="s">
        <v>1549</v>
      </c>
      <c r="O123" s="455" t="s">
        <v>77</v>
      </c>
      <c r="P123" s="455">
        <v>260000</v>
      </c>
      <c r="Q123" s="455">
        <v>260000</v>
      </c>
      <c r="R123" s="523">
        <v>580744</v>
      </c>
    </row>
    <row r="124" spans="1:18">
      <c r="A124" s="455" t="s">
        <v>1549</v>
      </c>
      <c r="B124" s="455" t="s">
        <v>767</v>
      </c>
      <c r="C124" s="168" t="s">
        <v>1571</v>
      </c>
      <c r="D124" s="150">
        <v>0</v>
      </c>
      <c r="E124" s="456">
        <v>0</v>
      </c>
      <c r="F124" s="168">
        <v>0</v>
      </c>
      <c r="G124" s="168">
        <v>0</v>
      </c>
      <c r="M124" s="168" t="s">
        <v>226</v>
      </c>
      <c r="N124" s="455" t="s">
        <v>1549</v>
      </c>
      <c r="O124" s="455" t="s">
        <v>77</v>
      </c>
      <c r="P124" s="455">
        <v>300000</v>
      </c>
      <c r="Q124" s="455">
        <v>300000</v>
      </c>
      <c r="R124" s="523">
        <v>363117</v>
      </c>
    </row>
    <row r="125" spans="1:18">
      <c r="A125" s="455" t="s">
        <v>1549</v>
      </c>
      <c r="B125" s="455" t="s">
        <v>590</v>
      </c>
      <c r="C125" s="168" t="s">
        <v>1571</v>
      </c>
      <c r="D125" s="150">
        <v>0</v>
      </c>
      <c r="E125" s="456">
        <v>0</v>
      </c>
      <c r="F125" s="168">
        <v>4749.6000000000004</v>
      </c>
      <c r="G125" s="168">
        <v>4750</v>
      </c>
      <c r="M125" s="168" t="s">
        <v>1344</v>
      </c>
      <c r="N125" s="455" t="s">
        <v>1549</v>
      </c>
      <c r="O125" s="455" t="s">
        <v>77</v>
      </c>
      <c r="P125" s="455">
        <v>310000</v>
      </c>
      <c r="Q125" s="455">
        <v>310000</v>
      </c>
      <c r="R125" s="523">
        <v>360589</v>
      </c>
    </row>
    <row r="126" spans="1:18">
      <c r="A126" s="455" t="s">
        <v>1549</v>
      </c>
      <c r="B126" s="455" t="s">
        <v>590</v>
      </c>
      <c r="C126" s="168" t="s">
        <v>1571</v>
      </c>
      <c r="D126" s="150">
        <v>319519.44</v>
      </c>
      <c r="E126" s="456">
        <v>319600</v>
      </c>
      <c r="F126" s="168">
        <v>355786.54</v>
      </c>
      <c r="G126" s="168">
        <v>335787</v>
      </c>
      <c r="M126" s="168" t="s">
        <v>324</v>
      </c>
      <c r="N126" s="455" t="s">
        <v>1549</v>
      </c>
      <c r="O126" s="455" t="s">
        <v>77</v>
      </c>
      <c r="P126" s="455">
        <v>500000</v>
      </c>
      <c r="Q126" s="455">
        <v>500000</v>
      </c>
      <c r="R126" s="523">
        <v>920140</v>
      </c>
    </row>
    <row r="127" spans="1:18">
      <c r="A127" s="455" t="s">
        <v>1549</v>
      </c>
      <c r="B127" s="455" t="s">
        <v>590</v>
      </c>
      <c r="C127" s="168" t="s">
        <v>1571</v>
      </c>
      <c r="D127" s="150">
        <v>18689.27</v>
      </c>
      <c r="E127" s="456">
        <v>18700</v>
      </c>
      <c r="F127" s="168">
        <v>23035.85</v>
      </c>
      <c r="G127" s="168">
        <v>23035</v>
      </c>
      <c r="M127" s="168" t="s">
        <v>134</v>
      </c>
      <c r="N127" s="455" t="s">
        <v>1549</v>
      </c>
      <c r="O127" s="455" t="s">
        <v>77</v>
      </c>
      <c r="P127" s="455"/>
      <c r="Q127" s="455"/>
      <c r="R127" s="523">
        <v>26060</v>
      </c>
    </row>
    <row r="128" spans="1:18">
      <c r="A128" s="455" t="s">
        <v>1549</v>
      </c>
      <c r="B128" s="455" t="s">
        <v>590</v>
      </c>
      <c r="C128" s="168" t="s">
        <v>1571</v>
      </c>
      <c r="D128" s="150">
        <v>4391.1000000000004</v>
      </c>
      <c r="E128" s="456">
        <v>4400</v>
      </c>
      <c r="F128" s="168">
        <v>6974.88</v>
      </c>
      <c r="G128" s="168">
        <v>6975</v>
      </c>
      <c r="M128" s="168" t="s">
        <v>278</v>
      </c>
      <c r="N128" s="455" t="s">
        <v>1549</v>
      </c>
      <c r="O128" s="455" t="s">
        <v>3516</v>
      </c>
      <c r="P128" s="455">
        <v>18826</v>
      </c>
      <c r="Q128" s="455">
        <v>18826</v>
      </c>
      <c r="R128" s="523">
        <v>9821</v>
      </c>
    </row>
    <row r="129" spans="1:18">
      <c r="A129" s="455" t="s">
        <v>1549</v>
      </c>
      <c r="B129" s="455" t="s">
        <v>1807</v>
      </c>
      <c r="C129" s="168" t="s">
        <v>1571</v>
      </c>
      <c r="D129" s="150">
        <v>1417.6</v>
      </c>
      <c r="E129" s="456">
        <v>1420</v>
      </c>
      <c r="F129" s="168">
        <v>1569.75</v>
      </c>
      <c r="G129" s="168">
        <v>1570</v>
      </c>
      <c r="M129" s="168" t="s">
        <v>205</v>
      </c>
      <c r="N129" s="455" t="s">
        <v>1549</v>
      </c>
      <c r="O129" s="455" t="s">
        <v>3516</v>
      </c>
      <c r="P129" s="455">
        <v>42307</v>
      </c>
      <c r="Q129" s="455">
        <v>42307</v>
      </c>
      <c r="R129" s="523">
        <v>45831</v>
      </c>
    </row>
    <row r="130" spans="1:18">
      <c r="A130" s="455" t="s">
        <v>1549</v>
      </c>
      <c r="B130" s="455" t="s">
        <v>75</v>
      </c>
      <c r="C130" s="168" t="s">
        <v>1572</v>
      </c>
      <c r="D130" s="150">
        <v>305431.32</v>
      </c>
      <c r="E130" s="456">
        <v>643587</v>
      </c>
      <c r="F130" s="168">
        <v>411376.33</v>
      </c>
      <c r="G130" s="168">
        <v>411377</v>
      </c>
      <c r="M130" s="168" t="s">
        <v>1161</v>
      </c>
      <c r="N130" s="455" t="s">
        <v>1549</v>
      </c>
      <c r="O130" s="455" t="s">
        <v>3516</v>
      </c>
      <c r="P130" s="455">
        <v>42697</v>
      </c>
      <c r="Q130" s="455"/>
      <c r="R130" s="523">
        <v>0</v>
      </c>
    </row>
    <row r="131" spans="1:18">
      <c r="A131" s="455" t="s">
        <v>1549</v>
      </c>
      <c r="B131" s="455" t="s">
        <v>77</v>
      </c>
      <c r="C131" s="168" t="s">
        <v>1572</v>
      </c>
      <c r="D131" s="150">
        <v>381.93</v>
      </c>
      <c r="E131" s="456">
        <v>400</v>
      </c>
      <c r="F131" s="168">
        <v>7671.38</v>
      </c>
      <c r="G131" s="168">
        <v>7671</v>
      </c>
      <c r="M131" s="168" t="s">
        <v>178</v>
      </c>
      <c r="N131" s="455" t="s">
        <v>1549</v>
      </c>
      <c r="O131" s="455" t="s">
        <v>3516</v>
      </c>
      <c r="P131" s="455">
        <v>51426</v>
      </c>
      <c r="Q131" s="455">
        <v>51426</v>
      </c>
      <c r="R131" s="523">
        <v>22808</v>
      </c>
    </row>
    <row r="132" spans="1:18">
      <c r="A132" s="455" t="s">
        <v>1549</v>
      </c>
      <c r="B132" s="455" t="s">
        <v>60</v>
      </c>
      <c r="C132" s="168" t="s">
        <v>1572</v>
      </c>
      <c r="D132" s="150">
        <v>41614.32</v>
      </c>
      <c r="E132" s="456">
        <v>102891</v>
      </c>
      <c r="F132" s="168">
        <v>40410.730000000003</v>
      </c>
      <c r="G132" s="168">
        <v>40411</v>
      </c>
      <c r="M132" s="168" t="s">
        <v>1373</v>
      </c>
      <c r="N132" s="455" t="s">
        <v>1549</v>
      </c>
      <c r="O132" s="455" t="s">
        <v>3516</v>
      </c>
      <c r="P132" s="455">
        <v>80032</v>
      </c>
      <c r="Q132" s="455">
        <v>80032</v>
      </c>
      <c r="R132" s="523">
        <v>28313</v>
      </c>
    </row>
    <row r="133" spans="1:18">
      <c r="A133" s="455"/>
      <c r="D133" s="150"/>
      <c r="M133" s="168" t="s">
        <v>2543</v>
      </c>
      <c r="N133" s="455" t="s">
        <v>1549</v>
      </c>
      <c r="O133" s="455" t="s">
        <v>3516</v>
      </c>
      <c r="P133" s="455">
        <v>118096</v>
      </c>
      <c r="Q133" s="455">
        <v>118096</v>
      </c>
      <c r="R133" s="523">
        <v>73419</v>
      </c>
    </row>
    <row r="134" spans="1:18">
      <c r="A134" s="455" t="s">
        <v>1549</v>
      </c>
      <c r="B134" s="455" t="s">
        <v>660</v>
      </c>
      <c r="C134" s="168" t="s">
        <v>1572</v>
      </c>
      <c r="D134" s="150">
        <v>0</v>
      </c>
      <c r="E134" s="456">
        <v>0</v>
      </c>
      <c r="F134" s="168">
        <v>0</v>
      </c>
      <c r="G134" s="168">
        <v>0</v>
      </c>
      <c r="M134" s="168" t="s">
        <v>88</v>
      </c>
      <c r="N134" s="455" t="s">
        <v>1549</v>
      </c>
      <c r="O134" s="455" t="s">
        <v>3516</v>
      </c>
      <c r="P134" s="455">
        <v>301558</v>
      </c>
      <c r="Q134" s="455">
        <v>301558</v>
      </c>
      <c r="R134" s="523">
        <v>235664</v>
      </c>
    </row>
    <row r="135" spans="1:18">
      <c r="A135" s="455" t="s">
        <v>1549</v>
      </c>
      <c r="B135" s="455" t="s">
        <v>767</v>
      </c>
      <c r="C135" s="168" t="s">
        <v>1572</v>
      </c>
      <c r="D135" s="150">
        <v>7068</v>
      </c>
      <c r="E135" s="456">
        <v>7100</v>
      </c>
      <c r="F135" s="168">
        <v>8244</v>
      </c>
      <c r="G135" s="168">
        <v>8244</v>
      </c>
      <c r="M135" s="168" t="s">
        <v>1350</v>
      </c>
      <c r="N135" s="455" t="s">
        <v>1549</v>
      </c>
      <c r="O135" s="455" t="s">
        <v>3516</v>
      </c>
      <c r="P135" s="455">
        <v>355122</v>
      </c>
      <c r="Q135" s="455">
        <v>355122</v>
      </c>
      <c r="R135" s="523">
        <v>339330</v>
      </c>
    </row>
    <row r="136" spans="1:18">
      <c r="A136" s="455" t="s">
        <v>1549</v>
      </c>
      <c r="B136" s="455" t="s">
        <v>84</v>
      </c>
      <c r="C136" s="168" t="s">
        <v>1572</v>
      </c>
      <c r="D136" s="150">
        <v>190579.08</v>
      </c>
      <c r="E136" s="456">
        <v>200000</v>
      </c>
      <c r="F136" s="168">
        <v>176657.59</v>
      </c>
      <c r="G136" s="168">
        <v>176657</v>
      </c>
      <c r="M136" s="168" t="s">
        <v>1448</v>
      </c>
      <c r="N136" s="455" t="s">
        <v>1549</v>
      </c>
      <c r="O136" s="455" t="s">
        <v>3516</v>
      </c>
      <c r="P136" s="455">
        <v>412279</v>
      </c>
      <c r="Q136" s="455">
        <v>412279</v>
      </c>
      <c r="R136" s="523">
        <v>316853</v>
      </c>
    </row>
    <row r="137" spans="1:18">
      <c r="A137" s="455"/>
      <c r="D137" s="150"/>
      <c r="M137" s="168" t="s">
        <v>1400</v>
      </c>
      <c r="N137" s="455" t="s">
        <v>1549</v>
      </c>
      <c r="O137" s="455" t="s">
        <v>3516</v>
      </c>
      <c r="P137" s="455">
        <v>459039</v>
      </c>
      <c r="Q137" s="455">
        <v>459039</v>
      </c>
      <c r="R137" s="523">
        <v>361518</v>
      </c>
    </row>
    <row r="138" spans="1:18">
      <c r="A138" s="455" t="s">
        <v>1549</v>
      </c>
      <c r="B138" s="455" t="s">
        <v>590</v>
      </c>
      <c r="C138" s="168" t="s">
        <v>1572</v>
      </c>
      <c r="D138" s="150">
        <v>26149.39</v>
      </c>
      <c r="E138" s="456">
        <v>26200</v>
      </c>
      <c r="F138" s="168">
        <v>34797.410000000003</v>
      </c>
      <c r="G138" s="168">
        <v>34798</v>
      </c>
      <c r="M138" s="168" t="s">
        <v>2580</v>
      </c>
      <c r="N138" s="455" t="s">
        <v>1549</v>
      </c>
      <c r="O138" s="455" t="s">
        <v>3516</v>
      </c>
      <c r="P138" s="455">
        <v>465518</v>
      </c>
      <c r="Q138" s="455">
        <v>465518</v>
      </c>
      <c r="R138" s="523">
        <v>391638</v>
      </c>
    </row>
    <row r="139" spans="1:18">
      <c r="A139" s="455" t="s">
        <v>1549</v>
      </c>
      <c r="B139" s="455" t="s">
        <v>590</v>
      </c>
      <c r="C139" s="168" t="s">
        <v>1572</v>
      </c>
      <c r="D139" s="150">
        <v>63148.2</v>
      </c>
      <c r="E139" s="456">
        <v>63200</v>
      </c>
      <c r="F139" s="168">
        <v>58343.94</v>
      </c>
      <c r="G139" s="168">
        <v>58344</v>
      </c>
      <c r="M139" s="168" t="s">
        <v>331</v>
      </c>
      <c r="N139" s="455" t="s">
        <v>1549</v>
      </c>
      <c r="O139" s="455" t="s">
        <v>3516</v>
      </c>
      <c r="P139" s="455">
        <v>497051</v>
      </c>
      <c r="Q139" s="455">
        <v>497051</v>
      </c>
      <c r="R139" s="523">
        <v>323970</v>
      </c>
    </row>
    <row r="140" spans="1:18" ht="15.75" thickBot="1">
      <c r="A140" s="455" t="s">
        <v>1549</v>
      </c>
      <c r="B140" s="455" t="s">
        <v>590</v>
      </c>
      <c r="C140" s="168" t="s">
        <v>1572</v>
      </c>
      <c r="D140" s="150">
        <v>3798.2</v>
      </c>
      <c r="E140" s="456">
        <v>3800</v>
      </c>
      <c r="F140" s="168">
        <v>458.73</v>
      </c>
      <c r="G140" s="168">
        <v>459</v>
      </c>
      <c r="M140" s="168" t="s">
        <v>234</v>
      </c>
      <c r="N140" s="455" t="s">
        <v>1549</v>
      </c>
      <c r="O140" s="455" t="s">
        <v>3516</v>
      </c>
      <c r="P140" s="455">
        <v>589263</v>
      </c>
      <c r="Q140" s="455">
        <v>589263</v>
      </c>
      <c r="R140" s="523">
        <v>386428</v>
      </c>
    </row>
    <row r="141" spans="1:18" ht="16.5" thickTop="1" thickBot="1">
      <c r="A141" s="555" t="s">
        <v>1549</v>
      </c>
      <c r="B141" s="555" t="s">
        <v>590</v>
      </c>
      <c r="C141" s="556" t="s">
        <v>1572</v>
      </c>
      <c r="D141" s="560">
        <v>4362.93</v>
      </c>
      <c r="E141" s="558">
        <v>4400</v>
      </c>
      <c r="F141" s="562">
        <v>317.76</v>
      </c>
      <c r="G141" s="562">
        <v>318</v>
      </c>
      <c r="M141" s="168" t="s">
        <v>143</v>
      </c>
      <c r="N141" s="455" t="s">
        <v>1549</v>
      </c>
      <c r="O141" s="455" t="s">
        <v>3516</v>
      </c>
      <c r="P141" s="455">
        <v>600279</v>
      </c>
      <c r="Q141" s="455">
        <v>600279</v>
      </c>
      <c r="R141" s="523">
        <v>241727</v>
      </c>
    </row>
    <row r="142" spans="1:18" ht="15.75" thickTop="1">
      <c r="A142" s="455" t="s">
        <v>1549</v>
      </c>
      <c r="B142" s="455" t="s">
        <v>1807</v>
      </c>
      <c r="C142" s="168" t="s">
        <v>1572</v>
      </c>
      <c r="D142" s="150">
        <v>118.4</v>
      </c>
      <c r="E142" s="456">
        <v>210</v>
      </c>
      <c r="F142" s="168">
        <v>117.99</v>
      </c>
      <c r="G142" s="168">
        <v>118</v>
      </c>
      <c r="M142" s="168" t="s">
        <v>377</v>
      </c>
      <c r="N142" s="455" t="s">
        <v>1549</v>
      </c>
      <c r="O142" s="455" t="s">
        <v>3516</v>
      </c>
      <c r="P142" s="455">
        <v>32314</v>
      </c>
      <c r="Q142" s="455">
        <v>32314</v>
      </c>
      <c r="R142" s="523">
        <v>33732</v>
      </c>
    </row>
    <row r="143" spans="1:18">
      <c r="A143" s="455" t="s">
        <v>1549</v>
      </c>
      <c r="B143" s="455" t="s">
        <v>75</v>
      </c>
      <c r="C143" s="168" t="s">
        <v>1573</v>
      </c>
      <c r="D143" s="150">
        <v>1748379.14</v>
      </c>
      <c r="E143" s="456">
        <v>1748500</v>
      </c>
      <c r="F143" s="168">
        <v>1772332.1</v>
      </c>
      <c r="G143" s="168">
        <v>1772333</v>
      </c>
      <c r="M143" s="168" t="s">
        <v>292</v>
      </c>
      <c r="N143" s="455" t="s">
        <v>1549</v>
      </c>
      <c r="O143" s="455" t="s">
        <v>3516</v>
      </c>
      <c r="P143" s="455">
        <v>36588</v>
      </c>
      <c r="Q143" s="455">
        <v>36588</v>
      </c>
      <c r="R143" s="523">
        <v>37091</v>
      </c>
    </row>
    <row r="144" spans="1:18">
      <c r="A144" s="455" t="s">
        <v>1549</v>
      </c>
      <c r="B144" s="455" t="s">
        <v>77</v>
      </c>
      <c r="C144" s="168" t="s">
        <v>1573</v>
      </c>
      <c r="D144" s="150">
        <v>305722.94</v>
      </c>
      <c r="E144" s="456">
        <v>306000</v>
      </c>
      <c r="F144" s="168">
        <v>467848.34</v>
      </c>
      <c r="G144" s="168">
        <v>467848</v>
      </c>
      <c r="M144" s="168" t="s">
        <v>573</v>
      </c>
      <c r="N144" s="455" t="s">
        <v>1549</v>
      </c>
      <c r="O144" s="455" t="s">
        <v>2321</v>
      </c>
      <c r="P144" s="455">
        <v>2880</v>
      </c>
      <c r="Q144" s="455">
        <v>2160</v>
      </c>
      <c r="R144" s="523">
        <v>3480</v>
      </c>
    </row>
    <row r="145" spans="1:18">
      <c r="A145" s="455" t="s">
        <v>1549</v>
      </c>
      <c r="B145" s="455" t="s">
        <v>60</v>
      </c>
      <c r="C145" s="168" t="s">
        <v>1573</v>
      </c>
      <c r="D145" s="150">
        <v>129996.95</v>
      </c>
      <c r="E145" s="456">
        <v>163181</v>
      </c>
      <c r="F145" s="168">
        <v>141930.85999999999</v>
      </c>
      <c r="G145" s="168">
        <v>141931</v>
      </c>
      <c r="M145" s="168" t="s">
        <v>282</v>
      </c>
      <c r="N145" s="455" t="s">
        <v>1551</v>
      </c>
      <c r="O145" s="455" t="s">
        <v>592</v>
      </c>
      <c r="P145" s="455">
        <v>351</v>
      </c>
      <c r="Q145" s="455">
        <v>351</v>
      </c>
      <c r="R145" s="523">
        <v>0</v>
      </c>
    </row>
    <row r="146" spans="1:18">
      <c r="A146" s="455" t="s">
        <v>1549</v>
      </c>
      <c r="B146" s="455" t="s">
        <v>1395</v>
      </c>
      <c r="C146" s="168" t="s">
        <v>1573</v>
      </c>
      <c r="D146" s="150">
        <v>38755.57</v>
      </c>
      <c r="E146" s="456">
        <v>38800</v>
      </c>
      <c r="F146" s="168">
        <v>38227.480000000003</v>
      </c>
      <c r="G146" s="168">
        <v>38228</v>
      </c>
      <c r="M146" s="168" t="s">
        <v>1441</v>
      </c>
      <c r="N146" s="455" t="s">
        <v>1549</v>
      </c>
      <c r="O146" s="455" t="s">
        <v>1395</v>
      </c>
      <c r="P146" s="455">
        <v>245216</v>
      </c>
      <c r="Q146" s="455">
        <v>245216</v>
      </c>
      <c r="R146" s="523">
        <v>43821</v>
      </c>
    </row>
    <row r="147" spans="1:18">
      <c r="A147" s="455" t="s">
        <v>1549</v>
      </c>
      <c r="B147" s="455" t="s">
        <v>515</v>
      </c>
      <c r="C147" s="168" t="s">
        <v>1573</v>
      </c>
      <c r="D147" s="150">
        <v>622.49</v>
      </c>
      <c r="E147" s="456">
        <v>700</v>
      </c>
      <c r="F147" s="168">
        <v>18278.939999999999</v>
      </c>
      <c r="G147" s="168">
        <v>18278</v>
      </c>
      <c r="M147" s="168" t="s">
        <v>2574</v>
      </c>
      <c r="N147" s="455" t="s">
        <v>1549</v>
      </c>
      <c r="O147" s="455" t="s">
        <v>1395</v>
      </c>
      <c r="P147" s="455"/>
      <c r="Q147" s="455"/>
      <c r="R147" s="523">
        <v>54792</v>
      </c>
    </row>
    <row r="148" spans="1:18">
      <c r="A148" s="455" t="s">
        <v>1549</v>
      </c>
      <c r="B148" s="455" t="s">
        <v>660</v>
      </c>
      <c r="C148" s="168" t="s">
        <v>1573</v>
      </c>
      <c r="D148" s="150">
        <v>0</v>
      </c>
      <c r="E148" s="456">
        <v>0</v>
      </c>
      <c r="F148" s="168">
        <v>0</v>
      </c>
      <c r="G148" s="168">
        <v>0</v>
      </c>
      <c r="M148" s="168" t="s">
        <v>326</v>
      </c>
      <c r="N148" s="455" t="s">
        <v>1549</v>
      </c>
      <c r="O148" s="455" t="s">
        <v>1395</v>
      </c>
      <c r="P148" s="455"/>
      <c r="Q148" s="455"/>
      <c r="R148" s="523">
        <v>99252</v>
      </c>
    </row>
    <row r="149" spans="1:18">
      <c r="A149" s="455" t="s">
        <v>1549</v>
      </c>
      <c r="B149" s="455" t="s">
        <v>767</v>
      </c>
      <c r="C149" s="168" t="s">
        <v>1573</v>
      </c>
      <c r="D149" s="150">
        <v>7068</v>
      </c>
      <c r="E149" s="456">
        <v>7100</v>
      </c>
      <c r="F149" s="168">
        <v>8244</v>
      </c>
      <c r="G149" s="168">
        <v>8244</v>
      </c>
      <c r="M149" s="168" t="s">
        <v>85</v>
      </c>
      <c r="N149" s="455" t="s">
        <v>1549</v>
      </c>
      <c r="O149" s="455" t="s">
        <v>86</v>
      </c>
      <c r="P149" s="455">
        <v>109783</v>
      </c>
      <c r="Q149" s="455">
        <v>109783</v>
      </c>
      <c r="R149" s="523">
        <v>22441</v>
      </c>
    </row>
    <row r="150" spans="1:18">
      <c r="A150" s="455" t="s">
        <v>1549</v>
      </c>
      <c r="B150" s="455" t="s">
        <v>84</v>
      </c>
      <c r="C150" s="168" t="s">
        <v>1573</v>
      </c>
      <c r="D150" s="150">
        <v>45824.17</v>
      </c>
      <c r="E150" s="456">
        <v>46000</v>
      </c>
      <c r="F150" s="168">
        <v>48210.75</v>
      </c>
      <c r="G150" s="168">
        <v>48210</v>
      </c>
      <c r="M150" s="168" t="s">
        <v>232</v>
      </c>
      <c r="N150" s="455" t="s">
        <v>1549</v>
      </c>
      <c r="O150" s="455" t="s">
        <v>86</v>
      </c>
      <c r="P150" s="455">
        <v>137229</v>
      </c>
      <c r="Q150" s="455">
        <v>137229</v>
      </c>
      <c r="R150" s="523">
        <v>118161</v>
      </c>
    </row>
    <row r="151" spans="1:18" ht="15.75" thickBot="1">
      <c r="A151" s="455" t="s">
        <v>1549</v>
      </c>
      <c r="B151" s="455" t="s">
        <v>590</v>
      </c>
      <c r="C151" s="168" t="s">
        <v>1573</v>
      </c>
      <c r="D151" s="150">
        <v>29530.799999999999</v>
      </c>
      <c r="E151" s="456">
        <v>30000</v>
      </c>
      <c r="F151" s="168">
        <v>19911.599999999999</v>
      </c>
      <c r="G151" s="168">
        <v>19911</v>
      </c>
      <c r="M151" s="168" t="s">
        <v>1446</v>
      </c>
      <c r="N151" s="455" t="s">
        <v>1549</v>
      </c>
      <c r="O151" s="455" t="s">
        <v>3752</v>
      </c>
      <c r="P151" s="455">
        <v>145312</v>
      </c>
      <c r="Q151" s="455">
        <v>145312</v>
      </c>
      <c r="R151" s="523">
        <v>0</v>
      </c>
    </row>
    <row r="152" spans="1:18" ht="16.5" thickTop="1" thickBot="1">
      <c r="A152" s="555" t="s">
        <v>1549</v>
      </c>
      <c r="B152" s="555" t="s">
        <v>590</v>
      </c>
      <c r="C152" s="556" t="s">
        <v>1573</v>
      </c>
      <c r="D152" s="560">
        <v>351422.69</v>
      </c>
      <c r="E152" s="558">
        <v>351500</v>
      </c>
      <c r="F152" s="562">
        <v>368866.18</v>
      </c>
      <c r="G152" s="562">
        <v>368867</v>
      </c>
      <c r="M152" s="168" t="s">
        <v>3473</v>
      </c>
      <c r="N152" s="455"/>
      <c r="O152" s="455" t="s">
        <v>86</v>
      </c>
      <c r="P152" s="455"/>
      <c r="Q152" s="455"/>
      <c r="R152" s="523">
        <v>1306</v>
      </c>
    </row>
    <row r="153" spans="1:18" ht="15.75" thickTop="1">
      <c r="A153" s="455" t="s">
        <v>1549</v>
      </c>
      <c r="B153" s="455" t="s">
        <v>590</v>
      </c>
      <c r="C153" s="168" t="s">
        <v>1573</v>
      </c>
      <c r="D153" s="150">
        <v>19890.439999999999</v>
      </c>
      <c r="E153" s="456">
        <v>20000</v>
      </c>
      <c r="F153" s="168">
        <v>23606.03</v>
      </c>
      <c r="G153" s="168">
        <v>23606</v>
      </c>
      <c r="M153" s="168" t="s">
        <v>140</v>
      </c>
      <c r="N153" s="455" t="s">
        <v>1549</v>
      </c>
      <c r="O153" s="455" t="s">
        <v>141</v>
      </c>
      <c r="P153" s="455">
        <v>27446</v>
      </c>
      <c r="Q153" s="455">
        <v>27446</v>
      </c>
      <c r="R153" s="523">
        <v>113812</v>
      </c>
    </row>
    <row r="154" spans="1:18">
      <c r="A154" s="455" t="s">
        <v>1549</v>
      </c>
      <c r="B154" s="455" t="s">
        <v>590</v>
      </c>
      <c r="C154" s="168" t="s">
        <v>1573</v>
      </c>
      <c r="D154" s="150">
        <v>4935.0600000000004</v>
      </c>
      <c r="E154" s="456">
        <v>5000</v>
      </c>
      <c r="F154" s="168">
        <v>6008.2</v>
      </c>
      <c r="G154" s="168">
        <v>6006</v>
      </c>
      <c r="M154" s="168" t="s">
        <v>2578</v>
      </c>
      <c r="N154" s="455" t="s">
        <v>1549</v>
      </c>
      <c r="O154" s="455" t="s">
        <v>84</v>
      </c>
      <c r="P154" s="455">
        <v>43168</v>
      </c>
      <c r="Q154" s="455">
        <v>43168</v>
      </c>
      <c r="R154" s="523">
        <v>60595</v>
      </c>
    </row>
    <row r="155" spans="1:18">
      <c r="A155" s="455" t="s">
        <v>1549</v>
      </c>
      <c r="B155" s="455" t="s">
        <v>1807</v>
      </c>
      <c r="C155" s="168" t="s">
        <v>1573</v>
      </c>
      <c r="D155" s="150">
        <v>1395.2</v>
      </c>
      <c r="E155" s="456">
        <v>1400</v>
      </c>
      <c r="F155" s="168">
        <v>1555.95</v>
      </c>
      <c r="G155" s="168">
        <v>1556</v>
      </c>
      <c r="M155" s="168" t="s">
        <v>290</v>
      </c>
      <c r="N155" s="455" t="s">
        <v>1549</v>
      </c>
      <c r="O155" s="455" t="s">
        <v>84</v>
      </c>
      <c r="P155" s="455">
        <v>44295</v>
      </c>
      <c r="Q155" s="455">
        <v>44295</v>
      </c>
      <c r="R155" s="523">
        <v>47668</v>
      </c>
    </row>
    <row r="156" spans="1:18">
      <c r="A156" s="455" t="s">
        <v>1549</v>
      </c>
      <c r="B156" s="455" t="s">
        <v>75</v>
      </c>
      <c r="C156" s="168" t="s">
        <v>1244</v>
      </c>
      <c r="D156" s="150">
        <v>832516.2</v>
      </c>
      <c r="E156" s="456">
        <v>1475000</v>
      </c>
      <c r="F156" s="168">
        <v>1086333.26</v>
      </c>
      <c r="G156" s="168">
        <v>1088354</v>
      </c>
      <c r="M156" s="168" t="s">
        <v>1445</v>
      </c>
      <c r="N156" s="455" t="s">
        <v>1549</v>
      </c>
      <c r="O156" s="455" t="s">
        <v>84</v>
      </c>
      <c r="P156" s="455">
        <v>57864</v>
      </c>
      <c r="Q156" s="455">
        <v>57864</v>
      </c>
      <c r="R156" s="523">
        <v>203665</v>
      </c>
    </row>
    <row r="157" spans="1:18">
      <c r="A157" s="455" t="s">
        <v>1549</v>
      </c>
      <c r="B157" s="455" t="s">
        <v>77</v>
      </c>
      <c r="C157" s="168" t="s">
        <v>1244</v>
      </c>
      <c r="D157" s="150">
        <v>507366.75</v>
      </c>
      <c r="E157" s="456">
        <v>508000</v>
      </c>
      <c r="F157" s="168">
        <v>689062.63</v>
      </c>
      <c r="G157" s="168">
        <v>689062</v>
      </c>
      <c r="M157" s="168" t="s">
        <v>1159</v>
      </c>
      <c r="N157" s="455" t="s">
        <v>1549</v>
      </c>
      <c r="O157" s="455" t="s">
        <v>84</v>
      </c>
      <c r="P157" s="455">
        <v>60000</v>
      </c>
      <c r="Q157" s="455"/>
      <c r="R157" s="523">
        <v>0</v>
      </c>
    </row>
    <row r="158" spans="1:18">
      <c r="A158" s="455" t="s">
        <v>1549</v>
      </c>
      <c r="B158" s="455" t="s">
        <v>60</v>
      </c>
      <c r="C158" s="168" t="s">
        <v>1244</v>
      </c>
      <c r="D158" s="150">
        <v>124440.09</v>
      </c>
      <c r="E158" s="456">
        <v>125224</v>
      </c>
      <c r="F158" s="168">
        <v>87863.039999999994</v>
      </c>
      <c r="G158" s="168">
        <v>87864</v>
      </c>
      <c r="M158" s="168" t="s">
        <v>83</v>
      </c>
      <c r="N158" s="455" t="s">
        <v>1549</v>
      </c>
      <c r="O158" s="455" t="s">
        <v>84</v>
      </c>
      <c r="P158" s="455">
        <v>125235</v>
      </c>
      <c r="Q158" s="455">
        <v>125235</v>
      </c>
      <c r="R158" s="523">
        <v>235366</v>
      </c>
    </row>
    <row r="159" spans="1:18">
      <c r="A159" s="455" t="s">
        <v>1549</v>
      </c>
      <c r="B159" s="455" t="s">
        <v>1395</v>
      </c>
      <c r="C159" s="168" t="s">
        <v>1244</v>
      </c>
      <c r="D159" s="150">
        <v>119358.56</v>
      </c>
      <c r="E159" s="456">
        <v>120000</v>
      </c>
      <c r="F159" s="168">
        <v>77347.89</v>
      </c>
      <c r="G159" s="168">
        <v>77348</v>
      </c>
      <c r="M159" s="168" t="s">
        <v>1188</v>
      </c>
      <c r="N159" s="455" t="s">
        <v>1549</v>
      </c>
      <c r="O159" s="455" t="s">
        <v>84</v>
      </c>
      <c r="P159" s="455">
        <v>200108</v>
      </c>
      <c r="Q159" s="455">
        <v>200108</v>
      </c>
      <c r="R159" s="523">
        <v>181260</v>
      </c>
    </row>
    <row r="160" spans="1:18">
      <c r="A160" s="455" t="s">
        <v>1549</v>
      </c>
      <c r="B160" s="455" t="s">
        <v>515</v>
      </c>
      <c r="C160" s="168" t="s">
        <v>1244</v>
      </c>
      <c r="D160" s="150">
        <v>1439.92</v>
      </c>
      <c r="E160" s="456">
        <v>1500</v>
      </c>
      <c r="F160" s="168">
        <v>29970.65</v>
      </c>
      <c r="G160" s="168">
        <v>29971</v>
      </c>
      <c r="M160" s="168" t="s">
        <v>231</v>
      </c>
      <c r="N160" s="455" t="s">
        <v>1549</v>
      </c>
      <c r="O160" s="455" t="s">
        <v>84</v>
      </c>
      <c r="P160" s="455">
        <v>250897</v>
      </c>
      <c r="Q160" s="455">
        <v>250897</v>
      </c>
      <c r="R160" s="523">
        <v>367900</v>
      </c>
    </row>
    <row r="161" spans="1:18">
      <c r="A161" s="455" t="s">
        <v>1549</v>
      </c>
      <c r="B161" s="455" t="s">
        <v>660</v>
      </c>
      <c r="C161" s="168" t="s">
        <v>1244</v>
      </c>
      <c r="D161" s="150">
        <v>0</v>
      </c>
      <c r="E161" s="456">
        <v>0</v>
      </c>
      <c r="F161" s="168">
        <v>0</v>
      </c>
      <c r="G161" s="168">
        <v>0</v>
      </c>
      <c r="M161" s="168" t="s">
        <v>139</v>
      </c>
      <c r="N161" s="455" t="s">
        <v>1549</v>
      </c>
      <c r="O161" s="455" t="s">
        <v>84</v>
      </c>
      <c r="P161" s="455">
        <v>298850</v>
      </c>
      <c r="Q161" s="455">
        <v>298850</v>
      </c>
      <c r="R161" s="523">
        <v>190193</v>
      </c>
    </row>
    <row r="162" spans="1:18">
      <c r="A162" s="455" t="s">
        <v>1549</v>
      </c>
      <c r="B162" s="455" t="s">
        <v>767</v>
      </c>
      <c r="C162" s="168" t="s">
        <v>1244</v>
      </c>
      <c r="D162" s="150">
        <v>13908</v>
      </c>
      <c r="E162" s="456">
        <v>15000</v>
      </c>
      <c r="F162" s="168">
        <v>990.4</v>
      </c>
      <c r="G162" s="168">
        <v>991</v>
      </c>
      <c r="M162" s="168" t="s">
        <v>3470</v>
      </c>
      <c r="N162" s="455"/>
      <c r="O162" s="455" t="s">
        <v>84</v>
      </c>
      <c r="P162" s="455"/>
      <c r="Q162" s="455"/>
      <c r="R162" s="523">
        <v>1260</v>
      </c>
    </row>
    <row r="163" spans="1:18">
      <c r="A163" s="455"/>
      <c r="D163" s="150"/>
      <c r="F163" s="168">
        <v>12052.42</v>
      </c>
      <c r="G163" s="168">
        <v>12052</v>
      </c>
      <c r="M163" s="168" t="s">
        <v>3458</v>
      </c>
      <c r="N163" s="455"/>
      <c r="O163" s="455" t="s">
        <v>84</v>
      </c>
      <c r="P163" s="455"/>
      <c r="Q163" s="455"/>
      <c r="R163" s="523">
        <v>1981</v>
      </c>
    </row>
    <row r="164" spans="1:18">
      <c r="A164" s="455" t="s">
        <v>1549</v>
      </c>
      <c r="B164" s="455" t="s">
        <v>575</v>
      </c>
      <c r="C164" s="168" t="s">
        <v>458</v>
      </c>
      <c r="D164" s="150">
        <v>0</v>
      </c>
      <c r="E164" s="456">
        <v>15000</v>
      </c>
      <c r="F164" s="168">
        <v>11756.4</v>
      </c>
      <c r="G164" s="168">
        <v>11756</v>
      </c>
      <c r="M164" s="168" t="s">
        <v>2719</v>
      </c>
      <c r="N164" s="455"/>
      <c r="O164" s="455" t="s">
        <v>84</v>
      </c>
      <c r="P164" s="455"/>
      <c r="Q164" s="455"/>
      <c r="R164" s="523">
        <v>38376</v>
      </c>
    </row>
    <row r="165" spans="1:18">
      <c r="A165" s="455" t="s">
        <v>1549</v>
      </c>
      <c r="B165" s="455" t="s">
        <v>575</v>
      </c>
      <c r="C165" s="168" t="s">
        <v>458</v>
      </c>
      <c r="D165" s="150">
        <v>0</v>
      </c>
      <c r="E165" s="456">
        <v>15000</v>
      </c>
      <c r="F165" s="168">
        <v>19644.62</v>
      </c>
      <c r="G165" s="168">
        <v>19644</v>
      </c>
      <c r="M165" s="168" t="s">
        <v>2716</v>
      </c>
      <c r="N165" s="455"/>
      <c r="O165" s="455" t="s">
        <v>84</v>
      </c>
      <c r="P165" s="455"/>
      <c r="Q165" s="455"/>
      <c r="R165" s="523">
        <v>73261</v>
      </c>
    </row>
    <row r="166" spans="1:18">
      <c r="A166" s="455" t="s">
        <v>1549</v>
      </c>
      <c r="B166" s="455" t="s">
        <v>575</v>
      </c>
      <c r="C166" s="168" t="s">
        <v>458</v>
      </c>
      <c r="D166" s="150">
        <v>0</v>
      </c>
      <c r="E166" s="456">
        <v>700</v>
      </c>
      <c r="F166" s="168">
        <v>987.23</v>
      </c>
      <c r="G166" s="168">
        <v>987</v>
      </c>
      <c r="M166" s="168" t="s">
        <v>279</v>
      </c>
      <c r="N166" s="455" t="s">
        <v>1549</v>
      </c>
      <c r="O166" s="455" t="s">
        <v>3517</v>
      </c>
      <c r="P166" s="455">
        <v>856</v>
      </c>
      <c r="Q166" s="455">
        <v>856</v>
      </c>
      <c r="R166" s="523">
        <v>1122</v>
      </c>
    </row>
    <row r="167" spans="1:18">
      <c r="A167" s="455" t="s">
        <v>1549</v>
      </c>
      <c r="B167" s="455" t="s">
        <v>575</v>
      </c>
      <c r="C167" s="168" t="s">
        <v>458</v>
      </c>
      <c r="D167" s="150">
        <v>0</v>
      </c>
      <c r="E167" s="456">
        <v>1400</v>
      </c>
      <c r="F167" s="168">
        <v>1357.27</v>
      </c>
      <c r="G167" s="168">
        <v>1357</v>
      </c>
      <c r="M167" s="168" t="s">
        <v>179</v>
      </c>
      <c r="N167" s="455" t="s">
        <v>1549</v>
      </c>
      <c r="O167" s="455" t="s">
        <v>3517</v>
      </c>
      <c r="P167" s="455">
        <v>2338</v>
      </c>
      <c r="Q167" s="455">
        <v>2338</v>
      </c>
      <c r="R167" s="523">
        <v>1396</v>
      </c>
    </row>
    <row r="168" spans="1:18">
      <c r="A168" s="455" t="s">
        <v>1549</v>
      </c>
      <c r="B168" s="455" t="s">
        <v>1807</v>
      </c>
      <c r="C168" s="168" t="s">
        <v>458</v>
      </c>
      <c r="D168" s="150">
        <v>0</v>
      </c>
      <c r="E168" s="456">
        <v>22</v>
      </c>
      <c r="F168" s="168">
        <v>27.6</v>
      </c>
      <c r="G168" s="168">
        <v>27</v>
      </c>
      <c r="M168" s="168" t="s">
        <v>1162</v>
      </c>
      <c r="N168" s="455" t="s">
        <v>1549</v>
      </c>
      <c r="O168" s="455" t="s">
        <v>3517</v>
      </c>
      <c r="P168" s="455">
        <v>2850</v>
      </c>
      <c r="Q168" s="455"/>
      <c r="R168" s="523">
        <v>0</v>
      </c>
    </row>
    <row r="169" spans="1:18">
      <c r="A169" s="455"/>
      <c r="D169" s="150"/>
      <c r="M169" s="168" t="s">
        <v>206</v>
      </c>
      <c r="N169" s="455" t="s">
        <v>1549</v>
      </c>
      <c r="O169" s="455" t="s">
        <v>3517</v>
      </c>
      <c r="P169" s="455">
        <v>3470</v>
      </c>
      <c r="Q169" s="455">
        <v>3470</v>
      </c>
      <c r="R169" s="523">
        <v>2081</v>
      </c>
    </row>
    <row r="170" spans="1:18">
      <c r="A170" s="455"/>
      <c r="D170" s="150"/>
      <c r="M170" s="168" t="s">
        <v>1374</v>
      </c>
      <c r="N170" s="455" t="s">
        <v>1549</v>
      </c>
      <c r="O170" s="455" t="s">
        <v>3517</v>
      </c>
      <c r="P170" s="455">
        <v>3638</v>
      </c>
      <c r="Q170" s="455">
        <v>3638</v>
      </c>
      <c r="R170" s="523">
        <v>1682</v>
      </c>
    </row>
    <row r="171" spans="1:18">
      <c r="A171" s="455"/>
      <c r="D171" s="150"/>
      <c r="M171" s="168" t="s">
        <v>2544</v>
      </c>
      <c r="N171" s="455" t="s">
        <v>1549</v>
      </c>
      <c r="O171" s="455" t="s">
        <v>3517</v>
      </c>
      <c r="P171" s="455">
        <v>5368</v>
      </c>
      <c r="Q171" s="455">
        <v>5368</v>
      </c>
      <c r="R171" s="523">
        <v>716</v>
      </c>
    </row>
    <row r="172" spans="1:18">
      <c r="A172" s="455" t="s">
        <v>1549</v>
      </c>
      <c r="B172" s="455" t="s">
        <v>75</v>
      </c>
      <c r="C172" s="168" t="s">
        <v>1579</v>
      </c>
      <c r="D172" s="150">
        <v>1540877.02</v>
      </c>
      <c r="E172" s="456">
        <v>1541000</v>
      </c>
      <c r="F172" s="168">
        <v>1605110.55</v>
      </c>
      <c r="G172" s="168">
        <v>1605110</v>
      </c>
      <c r="M172" s="168" t="s">
        <v>89</v>
      </c>
      <c r="N172" s="455" t="s">
        <v>1549</v>
      </c>
      <c r="O172" s="455" t="s">
        <v>3517</v>
      </c>
      <c r="P172" s="455">
        <v>13707</v>
      </c>
      <c r="Q172" s="455">
        <v>13707</v>
      </c>
      <c r="R172" s="523">
        <v>10595</v>
      </c>
    </row>
    <row r="173" spans="1:18">
      <c r="A173" s="455" t="s">
        <v>1549</v>
      </c>
      <c r="B173" s="455" t="s">
        <v>77</v>
      </c>
      <c r="C173" s="168" t="s">
        <v>1579</v>
      </c>
      <c r="D173" s="150">
        <v>156662.29999999999</v>
      </c>
      <c r="E173" s="456">
        <v>157000</v>
      </c>
      <c r="F173" s="168">
        <v>257721.3</v>
      </c>
      <c r="G173" s="168">
        <v>257722</v>
      </c>
      <c r="M173" s="168" t="s">
        <v>1351</v>
      </c>
      <c r="N173" s="455" t="s">
        <v>1549</v>
      </c>
      <c r="O173" s="455" t="s">
        <v>3517</v>
      </c>
      <c r="P173" s="455">
        <v>16142</v>
      </c>
      <c r="Q173" s="455">
        <v>16142</v>
      </c>
      <c r="R173" s="523">
        <v>20180</v>
      </c>
    </row>
    <row r="174" spans="1:18">
      <c r="A174" s="455" t="s">
        <v>1549</v>
      </c>
      <c r="B174" s="455" t="s">
        <v>60</v>
      </c>
      <c r="C174" s="168" t="s">
        <v>1579</v>
      </c>
      <c r="D174" s="150">
        <v>108270.19</v>
      </c>
      <c r="E174" s="456">
        <v>108305</v>
      </c>
      <c r="F174" s="168">
        <v>153436.57999999999</v>
      </c>
      <c r="G174" s="168">
        <v>153437</v>
      </c>
      <c r="M174" s="168" t="s">
        <v>1449</v>
      </c>
      <c r="N174" s="455" t="s">
        <v>1549</v>
      </c>
      <c r="O174" s="455" t="s">
        <v>3517</v>
      </c>
      <c r="P174" s="455">
        <v>18738</v>
      </c>
      <c r="Q174" s="455">
        <v>18738</v>
      </c>
      <c r="R174" s="523">
        <v>16445</v>
      </c>
    </row>
    <row r="175" spans="1:18" ht="15.75" thickBot="1">
      <c r="A175" s="455" t="s">
        <v>1549</v>
      </c>
      <c r="B175" s="455" t="s">
        <v>1395</v>
      </c>
      <c r="C175" s="168" t="s">
        <v>1579</v>
      </c>
      <c r="D175" s="150">
        <v>40451.279999999999</v>
      </c>
      <c r="E175" s="456">
        <v>40500</v>
      </c>
      <c r="F175" s="168">
        <v>38576.76</v>
      </c>
      <c r="G175" s="168">
        <v>38576</v>
      </c>
      <c r="M175" s="168" t="s">
        <v>2581</v>
      </c>
      <c r="N175" s="455" t="s">
        <v>1549</v>
      </c>
      <c r="O175" s="455" t="s">
        <v>3517</v>
      </c>
      <c r="P175" s="455">
        <v>21160</v>
      </c>
      <c r="Q175" s="455">
        <v>21160</v>
      </c>
      <c r="R175" s="523">
        <v>25562</v>
      </c>
    </row>
    <row r="176" spans="1:18" ht="16.5" thickTop="1" thickBot="1">
      <c r="A176" s="555" t="s">
        <v>1549</v>
      </c>
      <c r="B176" s="555" t="s">
        <v>515</v>
      </c>
      <c r="C176" s="556" t="s">
        <v>1579</v>
      </c>
      <c r="D176" s="560">
        <v>67567.320000000007</v>
      </c>
      <c r="E176" s="558">
        <v>67600</v>
      </c>
      <c r="F176" s="562">
        <v>106836.97</v>
      </c>
      <c r="G176" s="562">
        <v>106837</v>
      </c>
      <c r="M176" s="168" t="s">
        <v>332</v>
      </c>
      <c r="N176" s="455" t="s">
        <v>1549</v>
      </c>
      <c r="O176" s="455" t="s">
        <v>3517</v>
      </c>
      <c r="P176" s="455">
        <v>22126</v>
      </c>
      <c r="Q176" s="455">
        <v>22126</v>
      </c>
      <c r="R176" s="523">
        <v>18449</v>
      </c>
    </row>
    <row r="177" spans="1:18" ht="15.75" thickTop="1">
      <c r="A177" s="455" t="s">
        <v>1549</v>
      </c>
      <c r="B177" s="455" t="s">
        <v>660</v>
      </c>
      <c r="C177" s="168" t="s">
        <v>1579</v>
      </c>
      <c r="D177" s="150">
        <v>0</v>
      </c>
      <c r="E177" s="456">
        <v>0</v>
      </c>
      <c r="F177" s="168">
        <v>0</v>
      </c>
      <c r="G177" s="168">
        <v>0</v>
      </c>
      <c r="M177" s="168" t="s">
        <v>1401</v>
      </c>
      <c r="N177" s="455" t="s">
        <v>1549</v>
      </c>
      <c r="O177" s="455" t="s">
        <v>3517</v>
      </c>
      <c r="P177" s="455">
        <v>22173</v>
      </c>
      <c r="Q177" s="455">
        <v>22173</v>
      </c>
      <c r="R177" s="523">
        <v>23729</v>
      </c>
    </row>
    <row r="178" spans="1:18">
      <c r="A178" s="455" t="s">
        <v>1549</v>
      </c>
      <c r="B178" s="455" t="s">
        <v>767</v>
      </c>
      <c r="C178" s="168" t="s">
        <v>1579</v>
      </c>
      <c r="D178" s="150">
        <v>11947</v>
      </c>
      <c r="E178" s="456">
        <v>13000</v>
      </c>
      <c r="F178" s="168">
        <v>17245</v>
      </c>
      <c r="G178" s="168">
        <v>17245</v>
      </c>
      <c r="M178" s="168" t="s">
        <v>235</v>
      </c>
      <c r="N178" s="455" t="s">
        <v>1549</v>
      </c>
      <c r="O178" s="455" t="s">
        <v>3517</v>
      </c>
      <c r="P178" s="455">
        <v>28763</v>
      </c>
      <c r="Q178" s="455">
        <v>28763</v>
      </c>
      <c r="R178" s="523">
        <v>17417</v>
      </c>
    </row>
    <row r="179" spans="1:18">
      <c r="A179" s="455" t="s">
        <v>1549</v>
      </c>
      <c r="B179" s="455" t="s">
        <v>84</v>
      </c>
      <c r="C179" s="168" t="s">
        <v>1579</v>
      </c>
      <c r="D179" s="150">
        <v>179992.82</v>
      </c>
      <c r="E179" s="456">
        <v>180000</v>
      </c>
      <c r="F179" s="168">
        <v>197144.69</v>
      </c>
      <c r="G179" s="168">
        <v>197144</v>
      </c>
      <c r="M179" s="168" t="s">
        <v>144</v>
      </c>
      <c r="N179" s="455" t="s">
        <v>1549</v>
      </c>
      <c r="O179" s="455" t="s">
        <v>3517</v>
      </c>
      <c r="P179" s="455">
        <v>29607</v>
      </c>
      <c r="Q179" s="455">
        <v>29607</v>
      </c>
      <c r="R179" s="523">
        <v>10930</v>
      </c>
    </row>
    <row r="180" spans="1:18">
      <c r="A180" s="455" t="s">
        <v>1549</v>
      </c>
      <c r="B180" s="455" t="s">
        <v>572</v>
      </c>
      <c r="C180" s="168" t="s">
        <v>1579</v>
      </c>
      <c r="D180" s="150">
        <v>458.28</v>
      </c>
      <c r="E180" s="456">
        <v>500</v>
      </c>
      <c r="F180" s="168">
        <v>0</v>
      </c>
      <c r="G180" s="168">
        <v>0</v>
      </c>
      <c r="M180" s="168" t="s">
        <v>378</v>
      </c>
      <c r="N180" s="455" t="s">
        <v>1549</v>
      </c>
      <c r="O180" s="455" t="s">
        <v>3517</v>
      </c>
      <c r="P180" s="455">
        <v>1469</v>
      </c>
      <c r="Q180" s="455">
        <v>1469</v>
      </c>
      <c r="R180" s="523">
        <v>1497</v>
      </c>
    </row>
    <row r="181" spans="1:18">
      <c r="A181" s="455" t="s">
        <v>1549</v>
      </c>
      <c r="B181" s="455" t="s">
        <v>590</v>
      </c>
      <c r="C181" s="168" t="s">
        <v>1579</v>
      </c>
      <c r="D181" s="150">
        <v>59976</v>
      </c>
      <c r="E181" s="456">
        <v>60000</v>
      </c>
      <c r="F181" s="168">
        <v>111931.5</v>
      </c>
      <c r="G181" s="168">
        <v>111931</v>
      </c>
      <c r="M181" s="168" t="s">
        <v>293</v>
      </c>
      <c r="N181" s="455" t="s">
        <v>1549</v>
      </c>
      <c r="O181" s="455" t="s">
        <v>3517</v>
      </c>
      <c r="P181" s="455">
        <v>1663</v>
      </c>
      <c r="Q181" s="455">
        <v>1663</v>
      </c>
      <c r="R181" s="523">
        <v>1498</v>
      </c>
    </row>
    <row r="182" spans="1:18">
      <c r="P182" s="168">
        <f>SUM(P3:P181)</f>
        <v>35869657</v>
      </c>
      <c r="Q182" s="168">
        <f>SUM(Q3:Q181)</f>
        <v>35144564</v>
      </c>
      <c r="R182" s="168">
        <f>SUM(R3:R181)</f>
        <v>25481386</v>
      </c>
    </row>
    <row r="183" spans="1:18">
      <c r="A183" s="455" t="s">
        <v>1549</v>
      </c>
      <c r="B183" s="455" t="s">
        <v>590</v>
      </c>
      <c r="C183" s="168" t="s">
        <v>1579</v>
      </c>
      <c r="D183" s="150">
        <v>16190.31</v>
      </c>
      <c r="E183" s="456">
        <v>16200</v>
      </c>
      <c r="F183" s="168">
        <v>16187.57</v>
      </c>
      <c r="G183" s="168">
        <v>16188</v>
      </c>
    </row>
    <row r="184" spans="1:18" ht="15.75" thickBot="1">
      <c r="A184" s="455" t="s">
        <v>1549</v>
      </c>
      <c r="B184" s="455" t="s">
        <v>590</v>
      </c>
      <c r="C184" s="168" t="s">
        <v>1579</v>
      </c>
      <c r="D184" s="150">
        <v>10885.6</v>
      </c>
      <c r="E184" s="456">
        <v>10900</v>
      </c>
      <c r="F184" s="168">
        <v>11960.62</v>
      </c>
      <c r="G184" s="168">
        <v>11960</v>
      </c>
    </row>
    <row r="185" spans="1:18" ht="16.5" thickTop="1" thickBot="1">
      <c r="A185" s="563" t="s">
        <v>1549</v>
      </c>
      <c r="B185" s="563" t="s">
        <v>1807</v>
      </c>
      <c r="C185" s="562" t="s">
        <v>1579</v>
      </c>
      <c r="D185" s="560">
        <v>726.4</v>
      </c>
      <c r="E185" s="558">
        <v>800</v>
      </c>
      <c r="F185" s="562">
        <v>686.55</v>
      </c>
      <c r="G185" s="562">
        <v>686</v>
      </c>
    </row>
    <row r="186" spans="1:18" ht="15.75" thickTop="1">
      <c r="A186" s="455"/>
      <c r="D186" s="150"/>
      <c r="N186" s="455"/>
      <c r="O186" s="455"/>
      <c r="P186" s="168" t="s">
        <v>3753</v>
      </c>
      <c r="Q186" s="168" t="s">
        <v>3754</v>
      </c>
      <c r="R186" s="168" t="s">
        <v>3755</v>
      </c>
    </row>
    <row r="187" spans="1:18">
      <c r="A187" s="455" t="s">
        <v>1549</v>
      </c>
      <c r="B187" s="455" t="s">
        <v>590</v>
      </c>
      <c r="C187" s="168" t="s">
        <v>1579</v>
      </c>
      <c r="D187" s="150">
        <v>240608.16</v>
      </c>
      <c r="E187" s="456">
        <v>240700</v>
      </c>
      <c r="F187" s="168">
        <v>271295.40000000002</v>
      </c>
      <c r="G187" s="168">
        <v>271295</v>
      </c>
      <c r="M187" s="168" t="s">
        <v>574</v>
      </c>
      <c r="N187" s="455" t="s">
        <v>1550</v>
      </c>
      <c r="O187" s="455" t="s">
        <v>3517</v>
      </c>
      <c r="P187" s="455"/>
      <c r="Q187" s="455"/>
      <c r="R187" s="523">
        <v>3180</v>
      </c>
    </row>
    <row r="188" spans="1:18">
      <c r="A188" s="455"/>
      <c r="D188" s="150"/>
      <c r="M188" s="168" t="s">
        <v>582</v>
      </c>
      <c r="N188" s="455" t="s">
        <v>1550</v>
      </c>
      <c r="O188" s="455" t="s">
        <v>583</v>
      </c>
      <c r="P188" s="455">
        <v>359718</v>
      </c>
      <c r="Q188" s="455">
        <v>359718</v>
      </c>
      <c r="R188" s="516">
        <v>572108</v>
      </c>
    </row>
    <row r="189" spans="1:18">
      <c r="A189" s="455"/>
      <c r="D189" s="150"/>
      <c r="M189" s="168" t="s">
        <v>2681</v>
      </c>
      <c r="N189" s="455"/>
      <c r="O189" s="455"/>
      <c r="P189" s="455">
        <v>294258</v>
      </c>
      <c r="Q189" s="455">
        <v>294258</v>
      </c>
      <c r="R189" s="516">
        <v>433355</v>
      </c>
    </row>
    <row r="190" spans="1:18">
      <c r="A190" s="455"/>
      <c r="D190" s="150"/>
      <c r="M190" s="168" t="s">
        <v>585</v>
      </c>
      <c r="N190" s="455" t="s">
        <v>1550</v>
      </c>
      <c r="O190" s="455" t="s">
        <v>583</v>
      </c>
      <c r="P190" s="455">
        <v>971228</v>
      </c>
      <c r="Q190" s="455">
        <v>971228</v>
      </c>
      <c r="R190" s="516">
        <v>1123880</v>
      </c>
    </row>
    <row r="191" spans="1:18">
      <c r="A191" s="455"/>
      <c r="D191" s="150"/>
      <c r="M191" s="168" t="s">
        <v>586</v>
      </c>
      <c r="N191" s="455" t="s">
        <v>1550</v>
      </c>
      <c r="O191" s="455" t="s">
        <v>545</v>
      </c>
      <c r="P191" s="455">
        <v>577047</v>
      </c>
      <c r="Q191" s="455">
        <v>577047</v>
      </c>
      <c r="R191" s="516">
        <v>374626</v>
      </c>
    </row>
    <row r="192" spans="1:18">
      <c r="A192" s="455"/>
      <c r="D192" s="150"/>
      <c r="M192" s="168" t="s">
        <v>588</v>
      </c>
      <c r="N192" s="455" t="s">
        <v>1550</v>
      </c>
      <c r="O192" s="455" t="s">
        <v>545</v>
      </c>
      <c r="P192" s="455">
        <v>121716</v>
      </c>
      <c r="Q192" s="455">
        <v>121716</v>
      </c>
      <c r="R192" s="516">
        <v>96013</v>
      </c>
    </row>
    <row r="193" spans="1:18">
      <c r="A193" s="455"/>
      <c r="D193" s="150"/>
      <c r="M193" s="168" t="s">
        <v>589</v>
      </c>
      <c r="N193" s="455" t="s">
        <v>1550</v>
      </c>
      <c r="O193" s="455" t="s">
        <v>590</v>
      </c>
      <c r="P193" s="455">
        <v>388632</v>
      </c>
      <c r="Q193" s="455">
        <v>388632</v>
      </c>
      <c r="R193" s="516">
        <v>335465</v>
      </c>
    </row>
    <row r="194" spans="1:18">
      <c r="A194" s="455"/>
      <c r="D194" s="150"/>
      <c r="N194" s="455"/>
      <c r="O194" s="455"/>
      <c r="P194" s="455">
        <f>SUM(P187:P193)</f>
        <v>2712599</v>
      </c>
      <c r="Q194" s="455">
        <f>SUM(Q187:Q193)</f>
        <v>2712599</v>
      </c>
      <c r="R194" s="455">
        <f>SUM(R187:R193)</f>
        <v>2938627</v>
      </c>
    </row>
    <row r="195" spans="1:18" ht="15.75" thickBot="1">
      <c r="A195" s="455"/>
      <c r="D195" s="150"/>
      <c r="N195" s="455"/>
      <c r="O195" s="455"/>
      <c r="P195" s="455"/>
      <c r="Q195" s="455"/>
      <c r="R195" s="523"/>
    </row>
    <row r="196" spans="1:18" ht="16.5" thickTop="1" thickBot="1">
      <c r="A196" s="555"/>
      <c r="B196" s="555"/>
      <c r="C196" s="556"/>
      <c r="D196" s="560"/>
      <c r="E196" s="558"/>
      <c r="F196" s="562"/>
      <c r="G196" s="562"/>
      <c r="N196" s="455"/>
      <c r="O196" s="455"/>
      <c r="P196" s="455"/>
      <c r="Q196" s="455"/>
      <c r="R196" s="523"/>
    </row>
    <row r="197" spans="1:18" ht="15.75" thickTop="1">
      <c r="A197" s="455"/>
      <c r="D197" s="150"/>
      <c r="M197" s="139" t="s">
        <v>591</v>
      </c>
      <c r="N197" s="140" t="s">
        <v>1551</v>
      </c>
      <c r="O197" s="140" t="s">
        <v>592</v>
      </c>
      <c r="P197" s="139">
        <f>'TRAIL BALANCE'!Q43</f>
        <v>637397</v>
      </c>
      <c r="Q197" s="139">
        <f>'TRAIL BALANCE'!R43</f>
        <v>637397</v>
      </c>
      <c r="R197" s="516">
        <v>637397</v>
      </c>
    </row>
    <row r="198" spans="1:18">
      <c r="A198" s="455"/>
      <c r="D198" s="150"/>
      <c r="M198" s="139" t="s">
        <v>92</v>
      </c>
      <c r="N198" s="140" t="s">
        <v>1551</v>
      </c>
      <c r="O198" s="140" t="s">
        <v>592</v>
      </c>
      <c r="P198" s="139">
        <f>'TRAIL BALANCE'!Q106</f>
        <v>3703</v>
      </c>
      <c r="Q198" s="139">
        <f>'TRAIL BALANCE'!R106</f>
        <v>3703</v>
      </c>
      <c r="R198" s="516">
        <v>3703</v>
      </c>
    </row>
    <row r="199" spans="1:18">
      <c r="A199" s="455"/>
      <c r="D199" s="150"/>
      <c r="M199" s="139" t="s">
        <v>147</v>
      </c>
      <c r="N199" s="140" t="s">
        <v>1551</v>
      </c>
      <c r="O199" s="140" t="s">
        <v>592</v>
      </c>
      <c r="P199" s="139">
        <f>'TRAIL BALANCE'!Q186</f>
        <v>9983</v>
      </c>
      <c r="Q199" s="139">
        <f>'TRAIL BALANCE'!R186</f>
        <v>9983</v>
      </c>
      <c r="R199" s="516">
        <v>0</v>
      </c>
    </row>
    <row r="200" spans="1:18" ht="15.75" thickBot="1">
      <c r="A200" s="455"/>
      <c r="D200" s="150"/>
      <c r="M200" s="139" t="s">
        <v>182</v>
      </c>
      <c r="N200" s="140" t="s">
        <v>1551</v>
      </c>
      <c r="O200" s="140" t="s">
        <v>592</v>
      </c>
      <c r="P200" s="139">
        <f>'TRAIL BALANCE'!Q230</f>
        <v>6649</v>
      </c>
      <c r="Q200" s="139">
        <f>'TRAIL BALANCE'!R230</f>
        <v>6649</v>
      </c>
      <c r="R200" s="516">
        <v>6649</v>
      </c>
    </row>
    <row r="201" spans="1:18" ht="16.5" thickTop="1" thickBot="1">
      <c r="A201" s="555"/>
      <c r="B201" s="555"/>
      <c r="C201" s="556"/>
      <c r="D201" s="560"/>
      <c r="E201" s="558"/>
      <c r="F201" s="562"/>
      <c r="G201" s="562"/>
      <c r="M201" s="139" t="s">
        <v>209</v>
      </c>
      <c r="N201" s="140" t="s">
        <v>1551</v>
      </c>
      <c r="O201" s="140" t="s">
        <v>592</v>
      </c>
      <c r="P201" s="139">
        <f>'TRAIL BALANCE'!Q259</f>
        <v>2863</v>
      </c>
      <c r="Q201" s="139">
        <f>'TRAIL BALANCE'!R259</f>
        <v>2863</v>
      </c>
      <c r="R201" s="516">
        <v>2863</v>
      </c>
    </row>
    <row r="202" spans="1:18" ht="15.75" thickTop="1">
      <c r="A202" s="455"/>
      <c r="D202" s="150"/>
      <c r="M202" s="139" t="s">
        <v>239</v>
      </c>
      <c r="N202" s="140" t="s">
        <v>1551</v>
      </c>
      <c r="O202" s="140" t="s">
        <v>592</v>
      </c>
      <c r="P202" s="160">
        <f>'TRAIL BALANCE'!Q295</f>
        <v>132089</v>
      </c>
      <c r="Q202" s="160">
        <f>'TRAIL BALANCE'!R295</f>
        <v>132089</v>
      </c>
      <c r="R202" s="516">
        <v>132089</v>
      </c>
    </row>
    <row r="203" spans="1:18">
      <c r="A203" s="455"/>
      <c r="D203" s="150"/>
      <c r="M203" s="139" t="s">
        <v>282</v>
      </c>
      <c r="N203" s="140" t="s">
        <v>1551</v>
      </c>
      <c r="O203" s="140" t="s">
        <v>592</v>
      </c>
      <c r="P203" s="139">
        <f>'TRAIL BALANCE'!Q340</f>
        <v>351</v>
      </c>
      <c r="Q203" s="139">
        <f>'TRAIL BALANCE'!R340</f>
        <v>351</v>
      </c>
      <c r="R203" s="516">
        <v>0</v>
      </c>
    </row>
    <row r="204" spans="1:18">
      <c r="A204" s="455"/>
      <c r="D204" s="150"/>
      <c r="M204" s="139" t="s">
        <v>1140</v>
      </c>
      <c r="N204" s="140" t="s">
        <v>1551</v>
      </c>
      <c r="O204" s="140" t="s">
        <v>592</v>
      </c>
      <c r="P204" s="139">
        <f>'TRAIL BALANCE'!Q358</f>
        <v>515312</v>
      </c>
      <c r="Q204" s="139">
        <f>'TRAIL BALANCE'!R358</f>
        <v>515312</v>
      </c>
      <c r="R204" s="516">
        <v>515312</v>
      </c>
    </row>
    <row r="205" spans="1:18">
      <c r="A205" s="455"/>
      <c r="D205" s="150"/>
      <c r="M205" s="139" t="s">
        <v>1308</v>
      </c>
      <c r="N205" s="140" t="s">
        <v>1551</v>
      </c>
      <c r="O205" s="140" t="s">
        <v>592</v>
      </c>
      <c r="P205" s="139">
        <f>'TRAIL BALANCE'!Q385</f>
        <v>11612</v>
      </c>
      <c r="Q205" s="139">
        <f>'TRAIL BALANCE'!R385</f>
        <v>11612</v>
      </c>
      <c r="R205" s="516">
        <v>11612</v>
      </c>
    </row>
    <row r="206" spans="1:18">
      <c r="A206" s="455"/>
      <c r="D206" s="150"/>
      <c r="M206" s="139" t="s">
        <v>1354</v>
      </c>
      <c r="N206" s="140" t="s">
        <v>1551</v>
      </c>
      <c r="O206" s="140" t="s">
        <v>592</v>
      </c>
      <c r="P206" s="139">
        <f>'TRAIL BALANCE'!Q426</f>
        <v>51763</v>
      </c>
      <c r="Q206" s="139">
        <f>'TRAIL BALANCE'!R426</f>
        <v>51763</v>
      </c>
      <c r="R206" s="516">
        <v>51763</v>
      </c>
    </row>
    <row r="207" spans="1:18">
      <c r="A207" s="455"/>
      <c r="D207" s="150"/>
      <c r="J207" s="168" t="s">
        <v>45</v>
      </c>
      <c r="M207" s="139" t="s">
        <v>1377</v>
      </c>
      <c r="N207" s="140" t="s">
        <v>1551</v>
      </c>
      <c r="O207" s="140" t="s">
        <v>592</v>
      </c>
      <c r="P207" s="139">
        <f>'TRAIL BALANCE'!Q454</f>
        <v>10857</v>
      </c>
      <c r="Q207" s="139">
        <f>'TRAIL BALANCE'!R454</f>
        <v>10857</v>
      </c>
      <c r="R207" s="516">
        <v>10857</v>
      </c>
    </row>
    <row r="208" spans="1:18">
      <c r="A208" s="455"/>
      <c r="D208" s="150"/>
      <c r="M208" s="139" t="s">
        <v>1404</v>
      </c>
      <c r="N208" s="140" t="s">
        <v>1551</v>
      </c>
      <c r="O208" s="140" t="s">
        <v>592</v>
      </c>
      <c r="P208" s="139">
        <f>'TRAIL BALANCE'!Q482</f>
        <v>162748</v>
      </c>
      <c r="Q208" s="139">
        <f>'TRAIL BALANCE'!R482</f>
        <v>162748</v>
      </c>
      <c r="R208" s="516">
        <v>162748</v>
      </c>
    </row>
    <row r="209" spans="1:19">
      <c r="A209" s="455"/>
      <c r="D209" s="150"/>
      <c r="M209" s="139" t="s">
        <v>2547</v>
      </c>
      <c r="N209" s="140" t="s">
        <v>1551</v>
      </c>
      <c r="O209" s="140" t="s">
        <v>592</v>
      </c>
      <c r="P209" s="139">
        <f>'TRAIL BALANCE'!Q519</f>
        <v>33928</v>
      </c>
      <c r="Q209" s="139">
        <f>'TRAIL BALANCE'!R519</f>
        <v>33928</v>
      </c>
      <c r="R209" s="516">
        <v>33928</v>
      </c>
    </row>
    <row r="210" spans="1:19">
      <c r="A210" s="455"/>
      <c r="D210" s="150"/>
      <c r="M210" s="139" t="s">
        <v>2584</v>
      </c>
      <c r="N210" s="140" t="s">
        <v>1551</v>
      </c>
      <c r="O210" s="140" t="s">
        <v>592</v>
      </c>
      <c r="P210" s="139">
        <f>'TRAIL BALANCE'!Q564</f>
        <v>665208</v>
      </c>
      <c r="Q210" s="139">
        <f>'TRAIL BALANCE'!R564</f>
        <v>665208</v>
      </c>
      <c r="R210" s="516">
        <v>665208</v>
      </c>
    </row>
    <row r="211" spans="1:19">
      <c r="A211" s="455"/>
      <c r="D211" s="150"/>
      <c r="M211" s="139" t="s">
        <v>335</v>
      </c>
      <c r="N211" s="140" t="s">
        <v>1551</v>
      </c>
      <c r="O211" s="140" t="s">
        <v>592</v>
      </c>
      <c r="P211" s="139">
        <f>'TRAIL BALANCE'!Q648</f>
        <v>446346</v>
      </c>
      <c r="Q211" s="139">
        <f>'TRAIL BALANCE'!R648</f>
        <v>446346</v>
      </c>
      <c r="R211" s="516">
        <v>446346</v>
      </c>
    </row>
    <row r="212" spans="1:19">
      <c r="A212" s="455"/>
      <c r="D212" s="150"/>
      <c r="M212" s="139" t="s">
        <v>368</v>
      </c>
      <c r="N212" s="140" t="s">
        <v>1551</v>
      </c>
      <c r="O212" s="140" t="s">
        <v>592</v>
      </c>
      <c r="P212" s="139">
        <f>'TRAIL BALANCE'!Q683</f>
        <v>14147</v>
      </c>
      <c r="Q212" s="139">
        <f>'TRAIL BALANCE'!R683</f>
        <v>14147</v>
      </c>
      <c r="R212" s="516">
        <v>14147</v>
      </c>
    </row>
    <row r="213" spans="1:19">
      <c r="A213" s="455"/>
      <c r="D213" s="150"/>
      <c r="M213" s="139" t="s">
        <v>1452</v>
      </c>
      <c r="N213" s="140" t="s">
        <v>1551</v>
      </c>
      <c r="O213" s="140" t="s">
        <v>592</v>
      </c>
      <c r="P213" s="139">
        <f>'TRAIL BALANCE'!Q784</f>
        <v>41772</v>
      </c>
      <c r="Q213" s="139">
        <f>'TRAIL BALANCE'!R784</f>
        <v>41772</v>
      </c>
      <c r="R213" s="516">
        <v>41772</v>
      </c>
    </row>
    <row r="214" spans="1:19">
      <c r="A214" s="455" t="s">
        <v>1244</v>
      </c>
      <c r="C214" s="168" t="s">
        <v>3349</v>
      </c>
      <c r="D214" s="150"/>
      <c r="F214" s="168">
        <v>-231262.92</v>
      </c>
      <c r="M214" s="209"/>
      <c r="N214" s="209"/>
      <c r="O214" s="209"/>
      <c r="P214" s="565">
        <f>SUM(P197:P213)</f>
        <v>2746728</v>
      </c>
      <c r="Q214" s="567">
        <f>SUM(Q197:Q213)</f>
        <v>2746728</v>
      </c>
      <c r="R214" s="567">
        <f>SUM(R197:R213)</f>
        <v>2736394</v>
      </c>
    </row>
    <row r="215" spans="1:19">
      <c r="A215" s="455"/>
      <c r="D215" s="150"/>
      <c r="M215" s="209"/>
      <c r="N215" s="209"/>
      <c r="O215" s="209"/>
      <c r="P215" s="565"/>
      <c r="Q215" s="567"/>
      <c r="R215" s="567"/>
    </row>
    <row r="216" spans="1:19">
      <c r="A216" s="455"/>
      <c r="D216" s="150"/>
      <c r="M216" s="209"/>
      <c r="N216" s="209"/>
      <c r="O216" s="209"/>
      <c r="P216" s="565"/>
      <c r="Q216" s="567"/>
      <c r="R216" s="567"/>
    </row>
    <row r="217" spans="1:19">
      <c r="A217" s="455"/>
      <c r="D217" s="150"/>
      <c r="M217" s="139" t="s">
        <v>593</v>
      </c>
      <c r="N217" s="140" t="s">
        <v>1552</v>
      </c>
      <c r="O217" s="140" t="s">
        <v>2406</v>
      </c>
      <c r="P217" s="455">
        <v>85000</v>
      </c>
      <c r="Q217" s="455">
        <v>85000</v>
      </c>
      <c r="R217" s="516">
        <v>47623</v>
      </c>
    </row>
    <row r="218" spans="1:19">
      <c r="A218" s="455"/>
      <c r="D218" s="150"/>
      <c r="M218" s="139" t="s">
        <v>594</v>
      </c>
      <c r="N218" s="140" t="s">
        <v>1552</v>
      </c>
      <c r="O218" s="140" t="s">
        <v>595</v>
      </c>
      <c r="P218" s="455">
        <v>23499</v>
      </c>
      <c r="Q218" s="455">
        <v>23499</v>
      </c>
      <c r="R218" s="516">
        <v>4845</v>
      </c>
    </row>
    <row r="219" spans="1:19">
      <c r="A219" s="455"/>
      <c r="D219" s="150"/>
      <c r="M219" s="139" t="s">
        <v>2682</v>
      </c>
      <c r="N219" s="140" t="s">
        <v>1552</v>
      </c>
      <c r="O219" s="140" t="s">
        <v>68</v>
      </c>
      <c r="P219" s="455">
        <v>1000000</v>
      </c>
      <c r="Q219" s="455">
        <v>1000000</v>
      </c>
      <c r="R219" s="516">
        <v>406130</v>
      </c>
    </row>
    <row r="220" spans="1:19">
      <c r="A220" s="455"/>
      <c r="D220" s="150"/>
      <c r="M220" s="139" t="s">
        <v>93</v>
      </c>
      <c r="N220" s="140" t="s">
        <v>1552</v>
      </c>
      <c r="O220" s="140" t="s">
        <v>595</v>
      </c>
      <c r="P220" s="455">
        <v>235</v>
      </c>
      <c r="Q220" s="455">
        <v>235</v>
      </c>
      <c r="R220" s="516">
        <v>0</v>
      </c>
    </row>
    <row r="221" spans="1:19">
      <c r="A221" s="455"/>
      <c r="D221" s="150">
        <f>SUM(D212:D220)</f>
        <v>0</v>
      </c>
      <c r="E221" s="150">
        <f>SUM(E212:E220)</f>
        <v>0</v>
      </c>
      <c r="F221" s="150">
        <f>SUM(F212:F220)</f>
        <v>-231262.92</v>
      </c>
      <c r="G221" s="150">
        <f>SUM(G212:G220)</f>
        <v>0</v>
      </c>
      <c r="M221" s="139" t="s">
        <v>94</v>
      </c>
      <c r="N221" s="140" t="s">
        <v>1552</v>
      </c>
      <c r="O221" s="140" t="s">
        <v>95</v>
      </c>
      <c r="P221" s="139"/>
      <c r="Q221" s="516"/>
      <c r="R221" s="516">
        <v>0</v>
      </c>
    </row>
    <row r="222" spans="1:19">
      <c r="A222" s="455"/>
      <c r="D222" s="150"/>
      <c r="M222" s="139" t="s">
        <v>148</v>
      </c>
      <c r="N222" s="140" t="s">
        <v>1552</v>
      </c>
      <c r="O222" s="140" t="s">
        <v>595</v>
      </c>
      <c r="P222" s="455">
        <v>118</v>
      </c>
      <c r="Q222" s="455">
        <v>118</v>
      </c>
      <c r="R222" s="516">
        <v>0</v>
      </c>
      <c r="S222" s="147"/>
    </row>
    <row r="223" spans="1:19">
      <c r="A223" s="455"/>
      <c r="D223" s="150"/>
      <c r="M223" s="139" t="s">
        <v>183</v>
      </c>
      <c r="N223" s="140" t="s">
        <v>1552</v>
      </c>
      <c r="O223" s="140" t="s">
        <v>595</v>
      </c>
      <c r="P223" s="455">
        <v>2311</v>
      </c>
      <c r="Q223" s="516"/>
      <c r="R223" s="516">
        <v>250</v>
      </c>
    </row>
    <row r="224" spans="1:19" s="147" customFormat="1">
      <c r="A224" s="455"/>
      <c r="B224" s="455"/>
      <c r="C224" s="168"/>
      <c r="D224" s="150"/>
      <c r="E224" s="456"/>
      <c r="F224" s="168"/>
      <c r="G224" s="168"/>
      <c r="H224" s="168"/>
      <c r="I224" s="168"/>
      <c r="J224" s="168"/>
      <c r="K224" s="168"/>
      <c r="L224" s="168"/>
      <c r="M224" s="139" t="s">
        <v>210</v>
      </c>
      <c r="N224" s="140" t="s">
        <v>1552</v>
      </c>
      <c r="O224" s="140" t="s">
        <v>2326</v>
      </c>
      <c r="P224" s="455">
        <v>1500</v>
      </c>
      <c r="Q224" s="455">
        <v>1103</v>
      </c>
      <c r="R224" s="516">
        <v>0</v>
      </c>
      <c r="S224" s="168"/>
    </row>
    <row r="225" spans="1:19" s="147" customFormat="1">
      <c r="A225" s="455"/>
      <c r="B225" s="455"/>
      <c r="C225" s="168"/>
      <c r="D225" s="150"/>
      <c r="E225" s="456"/>
      <c r="F225" s="168"/>
      <c r="G225" s="168"/>
      <c r="H225" s="168"/>
      <c r="I225" s="168"/>
      <c r="J225" s="168"/>
      <c r="K225" s="168"/>
      <c r="L225" s="168"/>
      <c r="M225" s="139" t="s">
        <v>211</v>
      </c>
      <c r="N225" s="140" t="s">
        <v>1552</v>
      </c>
      <c r="O225" s="140" t="s">
        <v>545</v>
      </c>
      <c r="P225" s="455">
        <v>1860</v>
      </c>
      <c r="Q225" s="455">
        <v>1367</v>
      </c>
      <c r="R225" s="516">
        <v>0</v>
      </c>
      <c r="S225" s="168"/>
    </row>
    <row r="226" spans="1:19">
      <c r="A226" s="455"/>
      <c r="D226" s="150"/>
      <c r="M226" s="139" t="s">
        <v>2699</v>
      </c>
      <c r="N226" s="140"/>
      <c r="O226" s="140"/>
      <c r="P226" s="455"/>
      <c r="Q226" s="455"/>
      <c r="R226" s="516">
        <v>0</v>
      </c>
    </row>
    <row r="227" spans="1:19">
      <c r="A227" s="455"/>
      <c r="D227" s="150"/>
      <c r="M227" s="139" t="s">
        <v>240</v>
      </c>
      <c r="N227" s="140" t="s">
        <v>1552</v>
      </c>
      <c r="O227" s="140" t="s">
        <v>2326</v>
      </c>
      <c r="P227" s="455"/>
      <c r="Q227" s="455">
        <v>28200</v>
      </c>
      <c r="R227" s="516">
        <v>3412</v>
      </c>
    </row>
    <row r="228" spans="1:19">
      <c r="A228" s="455"/>
      <c r="D228" s="150"/>
      <c r="M228" s="139" t="s">
        <v>1141</v>
      </c>
      <c r="N228" s="140" t="s">
        <v>1552</v>
      </c>
      <c r="O228" s="140" t="s">
        <v>1142</v>
      </c>
      <c r="P228" s="455">
        <v>18518</v>
      </c>
      <c r="Q228" s="455">
        <v>10000</v>
      </c>
      <c r="R228" s="516">
        <v>16283</v>
      </c>
    </row>
    <row r="229" spans="1:19">
      <c r="A229" s="455"/>
      <c r="D229" s="150"/>
      <c r="M229" s="139" t="s">
        <v>1309</v>
      </c>
      <c r="N229" s="140" t="s">
        <v>1552</v>
      </c>
      <c r="O229" s="140" t="s">
        <v>595</v>
      </c>
      <c r="P229" s="455">
        <v>4883</v>
      </c>
      <c r="Q229" s="455">
        <v>4883</v>
      </c>
      <c r="R229" s="516">
        <v>0</v>
      </c>
    </row>
    <row r="230" spans="1:19">
      <c r="A230" s="455"/>
      <c r="D230" s="150"/>
      <c r="M230" s="139" t="s">
        <v>1310</v>
      </c>
      <c r="N230" s="140" t="s">
        <v>1552</v>
      </c>
      <c r="O230" s="140" t="s">
        <v>545</v>
      </c>
      <c r="P230" s="455">
        <v>270</v>
      </c>
      <c r="Q230" s="455">
        <v>270</v>
      </c>
      <c r="R230" s="516">
        <v>0</v>
      </c>
    </row>
    <row r="231" spans="1:19">
      <c r="A231" s="455"/>
      <c r="D231" s="150"/>
      <c r="M231" s="139" t="s">
        <v>1355</v>
      </c>
      <c r="N231" s="140" t="s">
        <v>1552</v>
      </c>
      <c r="O231" s="140" t="s">
        <v>595</v>
      </c>
      <c r="P231" s="455">
        <v>95000</v>
      </c>
      <c r="Q231" s="455">
        <v>10718</v>
      </c>
      <c r="R231" s="516">
        <v>13992</v>
      </c>
    </row>
    <row r="232" spans="1:19">
      <c r="A232" s="455"/>
      <c r="D232" s="150"/>
      <c r="M232" s="139" t="s">
        <v>1356</v>
      </c>
      <c r="N232" s="140" t="s">
        <v>1552</v>
      </c>
      <c r="O232" s="140" t="s">
        <v>545</v>
      </c>
      <c r="P232" s="455">
        <v>15000</v>
      </c>
      <c r="Q232" s="455">
        <v>1000</v>
      </c>
      <c r="R232" s="516">
        <v>0</v>
      </c>
    </row>
    <row r="233" spans="1:19">
      <c r="A233" s="455"/>
      <c r="D233" s="150"/>
      <c r="M233" s="139" t="s">
        <v>1357</v>
      </c>
      <c r="N233" s="140" t="s">
        <v>1552</v>
      </c>
      <c r="O233" s="140" t="s">
        <v>545</v>
      </c>
      <c r="P233" s="455">
        <v>37500</v>
      </c>
      <c r="Q233" s="455">
        <v>5000</v>
      </c>
      <c r="R233" s="516">
        <v>320</v>
      </c>
    </row>
    <row r="234" spans="1:19">
      <c r="A234" s="455"/>
      <c r="D234" s="150"/>
      <c r="M234" s="139" t="s">
        <v>1378</v>
      </c>
      <c r="N234" s="140" t="s">
        <v>1552</v>
      </c>
      <c r="O234" s="140" t="s">
        <v>545</v>
      </c>
      <c r="P234" s="455">
        <v>2671</v>
      </c>
      <c r="Q234" s="455">
        <v>2671</v>
      </c>
      <c r="R234" s="516">
        <v>0</v>
      </c>
    </row>
    <row r="235" spans="1:19">
      <c r="A235" s="455"/>
      <c r="D235" s="150"/>
      <c r="M235" s="139" t="s">
        <v>2022</v>
      </c>
      <c r="N235" s="140" t="s">
        <v>1552</v>
      </c>
      <c r="O235" s="140" t="s">
        <v>595</v>
      </c>
      <c r="P235" s="455">
        <v>11122</v>
      </c>
      <c r="Q235" s="455">
        <v>11122</v>
      </c>
      <c r="R235" s="516">
        <v>13902</v>
      </c>
    </row>
    <row r="236" spans="1:19">
      <c r="A236" s="455"/>
      <c r="D236" s="150"/>
      <c r="M236" s="139" t="s">
        <v>1163</v>
      </c>
      <c r="N236" s="140" t="s">
        <v>1552</v>
      </c>
      <c r="O236" s="140" t="s">
        <v>1164</v>
      </c>
      <c r="P236" s="455">
        <v>10058</v>
      </c>
      <c r="Q236" s="455">
        <v>10058</v>
      </c>
      <c r="R236" s="516">
        <v>0</v>
      </c>
    </row>
    <row r="237" spans="1:19">
      <c r="A237" s="455"/>
      <c r="D237" s="150"/>
      <c r="M237" s="139" t="s">
        <v>1165</v>
      </c>
      <c r="N237" s="140" t="s">
        <v>1552</v>
      </c>
      <c r="O237" s="140" t="s">
        <v>1164</v>
      </c>
      <c r="P237" s="455">
        <v>60348</v>
      </c>
      <c r="Q237" s="455">
        <v>60348</v>
      </c>
      <c r="R237" s="516">
        <v>53521</v>
      </c>
    </row>
    <row r="238" spans="1:19">
      <c r="A238" s="455"/>
      <c r="D238" s="150"/>
      <c r="M238" s="139" t="s">
        <v>3472</v>
      </c>
      <c r="N238" s="140" t="s">
        <v>1552</v>
      </c>
      <c r="O238" s="140" t="s">
        <v>99</v>
      </c>
      <c r="P238" s="455">
        <v>1348014</v>
      </c>
      <c r="Q238" s="455">
        <v>1348014</v>
      </c>
      <c r="R238" s="516">
        <v>2472733</v>
      </c>
    </row>
    <row r="239" spans="1:19">
      <c r="A239" s="455"/>
      <c r="D239" s="150"/>
      <c r="M239" s="139" t="s">
        <v>2548</v>
      </c>
      <c r="N239" s="140" t="s">
        <v>1552</v>
      </c>
      <c r="O239" s="140" t="s">
        <v>2326</v>
      </c>
      <c r="P239" s="455">
        <v>9679</v>
      </c>
      <c r="Q239" s="455">
        <v>500</v>
      </c>
      <c r="R239" s="516">
        <v>0</v>
      </c>
    </row>
    <row r="240" spans="1:19">
      <c r="A240" s="455"/>
      <c r="D240" s="150"/>
      <c r="M240" s="139" t="s">
        <v>2549</v>
      </c>
      <c r="N240" s="140" t="s">
        <v>1552</v>
      </c>
      <c r="O240" s="140" t="s">
        <v>595</v>
      </c>
      <c r="P240" s="455">
        <v>3444</v>
      </c>
      <c r="Q240" s="455">
        <v>3444</v>
      </c>
      <c r="R240" s="516">
        <v>133</v>
      </c>
    </row>
    <row r="241" spans="1:18">
      <c r="A241" s="455"/>
      <c r="D241" s="150"/>
      <c r="M241" s="139" t="s">
        <v>2550</v>
      </c>
      <c r="N241" s="140" t="s">
        <v>1552</v>
      </c>
      <c r="O241" s="140" t="s">
        <v>545</v>
      </c>
      <c r="P241" s="455">
        <v>963250</v>
      </c>
      <c r="Q241" s="455">
        <v>963250</v>
      </c>
      <c r="R241" s="516">
        <v>252</v>
      </c>
    </row>
    <row r="242" spans="1:18">
      <c r="A242" s="455"/>
      <c r="D242" s="150"/>
      <c r="M242" s="168" t="s">
        <v>2550</v>
      </c>
      <c r="N242" s="455" t="s">
        <v>1552</v>
      </c>
      <c r="O242" s="455" t="s">
        <v>545</v>
      </c>
      <c r="P242" s="455">
        <v>8200</v>
      </c>
      <c r="Q242" s="455">
        <v>2500</v>
      </c>
      <c r="R242" s="516"/>
    </row>
    <row r="243" spans="1:18">
      <c r="A243" s="455"/>
      <c r="D243" s="150"/>
      <c r="M243" s="139" t="s">
        <v>2585</v>
      </c>
      <c r="N243" s="140" t="s">
        <v>1552</v>
      </c>
      <c r="O243" s="140" t="s">
        <v>595</v>
      </c>
      <c r="P243" s="455">
        <v>102582</v>
      </c>
      <c r="Q243" s="455">
        <v>58500</v>
      </c>
      <c r="R243" s="516">
        <v>60510</v>
      </c>
    </row>
    <row r="244" spans="1:18">
      <c r="A244" s="455"/>
      <c r="D244" s="150"/>
      <c r="M244" s="139" t="s">
        <v>2586</v>
      </c>
      <c r="N244" s="140" t="s">
        <v>1552</v>
      </c>
      <c r="O244" s="140" t="s">
        <v>2587</v>
      </c>
      <c r="P244" s="455">
        <v>227640</v>
      </c>
      <c r="Q244" s="455">
        <v>227640</v>
      </c>
      <c r="R244" s="516">
        <v>128136</v>
      </c>
    </row>
    <row r="245" spans="1:18" ht="15.75" thickBot="1">
      <c r="A245" s="455"/>
      <c r="D245" s="150"/>
      <c r="M245" s="139" t="s">
        <v>2588</v>
      </c>
      <c r="N245" s="140" t="s">
        <v>1552</v>
      </c>
      <c r="O245" s="140" t="s">
        <v>2589</v>
      </c>
      <c r="P245" s="455">
        <v>20618</v>
      </c>
      <c r="Q245" s="455">
        <v>20618</v>
      </c>
      <c r="R245" s="516">
        <v>6642</v>
      </c>
    </row>
    <row r="246" spans="1:18" ht="16.5" thickTop="1" thickBot="1">
      <c r="A246" s="555"/>
      <c r="B246" s="555"/>
      <c r="C246" s="556"/>
      <c r="D246" s="560"/>
      <c r="E246" s="558"/>
      <c r="F246" s="562"/>
      <c r="G246" s="562"/>
      <c r="H246" s="168">
        <f>SUM(H10:H245)</f>
        <v>0</v>
      </c>
      <c r="M246" s="139" t="s">
        <v>2590</v>
      </c>
      <c r="N246" s="140" t="s">
        <v>1552</v>
      </c>
      <c r="O246" s="140" t="s">
        <v>545</v>
      </c>
      <c r="P246" s="455">
        <v>5030</v>
      </c>
      <c r="Q246" s="455">
        <v>5030</v>
      </c>
      <c r="R246" s="516">
        <v>0</v>
      </c>
    </row>
    <row r="247" spans="1:18" ht="15.75" thickTop="1">
      <c r="A247" s="455"/>
      <c r="D247" s="456">
        <f>SUM(D5:D245)</f>
        <v>18156349.400000006</v>
      </c>
      <c r="F247" s="168">
        <f>SUM(F5:F246)/2</f>
        <v>10719794.544999998</v>
      </c>
      <c r="M247" s="139" t="s">
        <v>2591</v>
      </c>
      <c r="N247" s="140" t="s">
        <v>1552</v>
      </c>
      <c r="O247" s="140" t="s">
        <v>545</v>
      </c>
      <c r="P247" s="455">
        <v>17010</v>
      </c>
      <c r="Q247" s="455">
        <v>17010</v>
      </c>
      <c r="R247" s="516">
        <v>8120</v>
      </c>
    </row>
    <row r="248" spans="1:18">
      <c r="A248" s="455"/>
      <c r="D248" s="456">
        <v>7666459.5099999998</v>
      </c>
      <c r="M248" s="139" t="s">
        <v>2592</v>
      </c>
      <c r="N248" s="140" t="s">
        <v>1552</v>
      </c>
      <c r="O248" s="140" t="s">
        <v>95</v>
      </c>
      <c r="P248" s="139"/>
      <c r="Q248" s="516"/>
      <c r="R248" s="516">
        <v>0</v>
      </c>
    </row>
    <row r="249" spans="1:18">
      <c r="A249" s="455"/>
      <c r="D249" s="456">
        <f>SUM(D247:D248)</f>
        <v>25822808.910000004</v>
      </c>
      <c r="M249" s="139" t="s">
        <v>2056</v>
      </c>
      <c r="N249" s="140" t="s">
        <v>1552</v>
      </c>
      <c r="O249" s="140" t="s">
        <v>595</v>
      </c>
      <c r="P249" s="455">
        <v>100</v>
      </c>
      <c r="Q249" s="455">
        <v>0</v>
      </c>
      <c r="R249" s="516">
        <v>318</v>
      </c>
    </row>
    <row r="250" spans="1:18">
      <c r="A250" s="455"/>
      <c r="M250" s="139" t="s">
        <v>2057</v>
      </c>
      <c r="N250" s="140" t="s">
        <v>1552</v>
      </c>
      <c r="O250" s="140" t="s">
        <v>545</v>
      </c>
      <c r="P250" s="455">
        <v>205607</v>
      </c>
      <c r="Q250" s="455"/>
      <c r="R250" s="516">
        <v>190120</v>
      </c>
    </row>
    <row r="251" spans="1:18" ht="15.75" thickBot="1">
      <c r="A251" s="455"/>
      <c r="B251" s="455" t="s">
        <v>1368</v>
      </c>
      <c r="D251" s="456">
        <v>-844777.61</v>
      </c>
      <c r="E251" s="456">
        <v>-1813856</v>
      </c>
      <c r="M251" s="139" t="s">
        <v>336</v>
      </c>
      <c r="N251" s="140" t="s">
        <v>1552</v>
      </c>
      <c r="O251" s="140" t="s">
        <v>595</v>
      </c>
      <c r="P251" s="455">
        <v>15581</v>
      </c>
      <c r="Q251" s="455">
        <v>15581</v>
      </c>
      <c r="R251" s="516">
        <v>1740</v>
      </c>
    </row>
    <row r="252" spans="1:18" ht="16.5" thickTop="1" thickBot="1">
      <c r="A252" s="555"/>
      <c r="B252" s="555"/>
      <c r="C252" s="556"/>
      <c r="D252" s="558">
        <f>SUM(D251)</f>
        <v>-844777.61</v>
      </c>
      <c r="E252" s="558">
        <f>SUM(E251)</f>
        <v>-1813856</v>
      </c>
      <c r="F252" s="558">
        <f>SUM(F251)</f>
        <v>0</v>
      </c>
      <c r="G252" s="558">
        <f>SUM(G251)</f>
        <v>0</v>
      </c>
      <c r="M252" s="139" t="s">
        <v>337</v>
      </c>
      <c r="N252" s="140" t="s">
        <v>1552</v>
      </c>
      <c r="O252" s="140" t="s">
        <v>338</v>
      </c>
      <c r="P252" s="455">
        <v>1061682</v>
      </c>
      <c r="Q252" s="455">
        <v>780336</v>
      </c>
      <c r="R252" s="516">
        <v>1174558</v>
      </c>
    </row>
    <row r="253" spans="1:18" ht="15.75" thickTop="1">
      <c r="A253" s="455"/>
      <c r="M253" s="139" t="s">
        <v>339</v>
      </c>
      <c r="N253" s="140" t="s">
        <v>1552</v>
      </c>
      <c r="O253" s="140" t="s">
        <v>545</v>
      </c>
      <c r="P253" s="455">
        <v>1839</v>
      </c>
      <c r="Q253" s="455">
        <v>500</v>
      </c>
      <c r="R253" s="516">
        <v>0</v>
      </c>
    </row>
    <row r="254" spans="1:18">
      <c r="A254" s="455" t="s">
        <v>1552</v>
      </c>
      <c r="B254" s="455" t="s">
        <v>595</v>
      </c>
      <c r="D254" s="456">
        <v>21465.599999999999</v>
      </c>
      <c r="E254" s="456">
        <v>310500</v>
      </c>
      <c r="F254" s="168">
        <v>0</v>
      </c>
      <c r="G254" s="168">
        <v>0</v>
      </c>
      <c r="M254" s="139" t="s">
        <v>340</v>
      </c>
      <c r="N254" s="140" t="s">
        <v>1552</v>
      </c>
      <c r="O254" s="140" t="s">
        <v>545</v>
      </c>
      <c r="P254" s="455">
        <v>32590</v>
      </c>
      <c r="Q254" s="455">
        <v>32590</v>
      </c>
      <c r="R254" s="516">
        <v>39769</v>
      </c>
    </row>
    <row r="255" spans="1:18">
      <c r="A255" s="455" t="s">
        <v>1552</v>
      </c>
      <c r="B255" s="455" t="s">
        <v>338</v>
      </c>
      <c r="D255" s="456">
        <v>28038.16</v>
      </c>
      <c r="E255" s="456">
        <v>257500</v>
      </c>
      <c r="F255" s="168">
        <v>0</v>
      </c>
      <c r="G255" s="168">
        <v>0</v>
      </c>
      <c r="M255" s="139" t="s">
        <v>361</v>
      </c>
      <c r="N255" s="140" t="s">
        <v>1552</v>
      </c>
      <c r="O255" s="140" t="s">
        <v>595</v>
      </c>
      <c r="P255" s="455" t="s">
        <v>45</v>
      </c>
      <c r="Q255" s="455" t="s">
        <v>45</v>
      </c>
      <c r="R255" s="516">
        <v>0</v>
      </c>
    </row>
    <row r="256" spans="1:18">
      <c r="A256" s="455" t="s">
        <v>1552</v>
      </c>
      <c r="B256" s="455" t="s">
        <v>545</v>
      </c>
      <c r="D256" s="456">
        <v>20656.97</v>
      </c>
      <c r="E256" s="456">
        <v>43260</v>
      </c>
      <c r="F256" s="168">
        <v>0</v>
      </c>
      <c r="G256" s="168">
        <v>0</v>
      </c>
      <c r="M256" s="139" t="s">
        <v>362</v>
      </c>
      <c r="N256" s="140" t="s">
        <v>1552</v>
      </c>
      <c r="O256" s="140" t="s">
        <v>2331</v>
      </c>
      <c r="P256" s="455">
        <v>18647</v>
      </c>
      <c r="Q256" s="455">
        <v>18647</v>
      </c>
      <c r="R256" s="516">
        <v>0</v>
      </c>
    </row>
    <row r="257" spans="1:19">
      <c r="A257" s="455" t="s">
        <v>1552</v>
      </c>
      <c r="B257" s="455" t="s">
        <v>545</v>
      </c>
      <c r="D257" s="456">
        <v>15843.92</v>
      </c>
      <c r="E257" s="456">
        <v>43260</v>
      </c>
      <c r="F257" s="168">
        <v>0</v>
      </c>
      <c r="G257" s="168">
        <v>0</v>
      </c>
      <c r="M257" s="139" t="s">
        <v>369</v>
      </c>
      <c r="N257" s="140" t="s">
        <v>1552</v>
      </c>
      <c r="O257" s="140" t="s">
        <v>545</v>
      </c>
      <c r="P257" s="139"/>
      <c r="Q257" s="516"/>
      <c r="R257" s="516">
        <v>0</v>
      </c>
    </row>
    <row r="258" spans="1:19">
      <c r="A258" s="455" t="s">
        <v>1553</v>
      </c>
      <c r="B258" s="455" t="s">
        <v>612</v>
      </c>
      <c r="D258" s="456">
        <v>0</v>
      </c>
      <c r="E258" s="456">
        <v>28840</v>
      </c>
      <c r="F258" s="168">
        <v>0</v>
      </c>
      <c r="G258" s="168">
        <v>0</v>
      </c>
      <c r="M258" s="139" t="s">
        <v>1453</v>
      </c>
      <c r="N258" s="140" t="s">
        <v>1552</v>
      </c>
      <c r="O258" s="140" t="s">
        <v>595</v>
      </c>
      <c r="P258" s="455">
        <v>14259</v>
      </c>
      <c r="Q258" s="455">
        <v>14259</v>
      </c>
      <c r="R258" s="516">
        <v>12629</v>
      </c>
    </row>
    <row r="259" spans="1:19">
      <c r="A259" s="455" t="s">
        <v>1553</v>
      </c>
      <c r="B259" s="455" t="s">
        <v>616</v>
      </c>
      <c r="D259" s="456">
        <v>174.57</v>
      </c>
      <c r="E259" s="456">
        <v>46350</v>
      </c>
      <c r="F259" s="168">
        <v>0</v>
      </c>
      <c r="G259" s="168">
        <v>0</v>
      </c>
      <c r="M259" s="139" t="s">
        <v>1454</v>
      </c>
      <c r="N259" s="140" t="s">
        <v>1552</v>
      </c>
      <c r="O259" s="140" t="s">
        <v>1235</v>
      </c>
      <c r="P259" s="455">
        <v>33879</v>
      </c>
      <c r="Q259" s="455">
        <v>33879</v>
      </c>
      <c r="R259" s="516">
        <v>154176</v>
      </c>
    </row>
    <row r="260" spans="1:19">
      <c r="A260" s="455" t="s">
        <v>1553</v>
      </c>
      <c r="B260" s="455" t="s">
        <v>622</v>
      </c>
      <c r="D260" s="456">
        <v>5890.62</v>
      </c>
      <c r="E260" s="456">
        <v>21630</v>
      </c>
      <c r="F260" s="168">
        <v>0</v>
      </c>
      <c r="G260" s="168">
        <v>0</v>
      </c>
      <c r="M260" s="139" t="s">
        <v>1456</v>
      </c>
      <c r="N260" s="140" t="s">
        <v>1552</v>
      </c>
      <c r="O260" s="140" t="s">
        <v>545</v>
      </c>
      <c r="P260" s="455">
        <v>18554</v>
      </c>
      <c r="Q260" s="455">
        <v>18554</v>
      </c>
      <c r="R260" s="516">
        <v>3822</v>
      </c>
    </row>
    <row r="261" spans="1:19">
      <c r="A261" s="455" t="s">
        <v>1553</v>
      </c>
      <c r="B261" s="455" t="s">
        <v>2322</v>
      </c>
      <c r="D261" s="456">
        <v>0</v>
      </c>
      <c r="E261" s="456">
        <v>12394</v>
      </c>
      <c r="F261" s="168">
        <v>0</v>
      </c>
      <c r="G261" s="168">
        <v>0</v>
      </c>
      <c r="P261" s="168">
        <f>SUM(P217:P260)</f>
        <v>5478098</v>
      </c>
      <c r="Q261" s="168">
        <f>SUM(Q217:Q260)</f>
        <v>4816444</v>
      </c>
      <c r="R261" s="168">
        <f>SUM(R217:R260)</f>
        <v>4813936</v>
      </c>
    </row>
    <row r="262" spans="1:19">
      <c r="A262" s="455" t="s">
        <v>1553</v>
      </c>
      <c r="B262" s="455" t="s">
        <v>624</v>
      </c>
      <c r="D262" s="456">
        <v>2855</v>
      </c>
      <c r="E262" s="456">
        <v>4327</v>
      </c>
      <c r="F262" s="168">
        <v>0</v>
      </c>
      <c r="G262" s="168">
        <v>0</v>
      </c>
    </row>
    <row r="263" spans="1:19">
      <c r="A263" s="455" t="s">
        <v>1553</v>
      </c>
      <c r="B263" s="455" t="s">
        <v>854</v>
      </c>
      <c r="D263" s="456">
        <v>0</v>
      </c>
      <c r="E263" s="456">
        <v>154500</v>
      </c>
      <c r="F263" s="168">
        <v>0</v>
      </c>
      <c r="G263" s="168">
        <v>0</v>
      </c>
      <c r="M263" s="139" t="s">
        <v>596</v>
      </c>
      <c r="N263" s="140" t="s">
        <v>2469</v>
      </c>
      <c r="O263" s="140" t="s">
        <v>2315</v>
      </c>
      <c r="P263" s="139">
        <f>'TRAIL BALANCE'!Q47</f>
        <v>1028681</v>
      </c>
      <c r="Q263" s="139">
        <f>'TRAIL BALANCE'!R47</f>
        <v>1028681</v>
      </c>
      <c r="R263" s="516">
        <v>115971</v>
      </c>
    </row>
    <row r="264" spans="1:19">
      <c r="A264" s="455" t="s">
        <v>1553</v>
      </c>
      <c r="B264" s="455" t="s">
        <v>633</v>
      </c>
      <c r="D264" s="456">
        <v>1289.31</v>
      </c>
      <c r="E264" s="456">
        <v>16223</v>
      </c>
      <c r="F264" s="168">
        <v>0</v>
      </c>
      <c r="G264" s="168">
        <v>0</v>
      </c>
      <c r="M264" s="139" t="s">
        <v>1167</v>
      </c>
      <c r="N264" s="140" t="s">
        <v>2469</v>
      </c>
      <c r="O264" s="140" t="s">
        <v>2315</v>
      </c>
      <c r="P264" s="139">
        <f>'TRAIL BALANCE'!Q488</f>
        <v>302002</v>
      </c>
      <c r="Q264" s="139">
        <f>'TRAIL BALANCE'!R488</f>
        <v>302002</v>
      </c>
      <c r="R264" s="516">
        <v>43613</v>
      </c>
    </row>
    <row r="265" spans="1:19">
      <c r="A265" s="455" t="s">
        <v>1553</v>
      </c>
      <c r="B265" s="455" t="s">
        <v>253</v>
      </c>
      <c r="D265" s="456">
        <v>1620.3</v>
      </c>
      <c r="E265" s="456">
        <v>4867</v>
      </c>
      <c r="F265" s="168">
        <v>0</v>
      </c>
      <c r="G265" s="168">
        <v>0</v>
      </c>
      <c r="M265" s="139" t="s">
        <v>2593</v>
      </c>
      <c r="N265" s="140" t="s">
        <v>2469</v>
      </c>
      <c r="O265" s="140" t="s">
        <v>2315</v>
      </c>
      <c r="P265" s="139">
        <f>'TRAIL BALANCE'!Q571</f>
        <v>112028</v>
      </c>
      <c r="Q265" s="139">
        <f>'TRAIL BALANCE'!R571</f>
        <v>112028</v>
      </c>
      <c r="R265" s="516">
        <v>37310</v>
      </c>
    </row>
    <row r="266" spans="1:19">
      <c r="A266" s="455" t="s">
        <v>1553</v>
      </c>
      <c r="B266" s="455" t="s">
        <v>52</v>
      </c>
      <c r="D266" s="456">
        <v>1860.01</v>
      </c>
      <c r="E266" s="456">
        <v>10815</v>
      </c>
      <c r="F266" s="168">
        <v>0</v>
      </c>
      <c r="G266" s="168">
        <v>0</v>
      </c>
      <c r="M266" s="139" t="s">
        <v>2058</v>
      </c>
      <c r="N266" s="140" t="s">
        <v>2469</v>
      </c>
      <c r="O266" s="140" t="s">
        <v>2315</v>
      </c>
      <c r="P266" s="139">
        <f>'TRAIL BALANCE'!Q599</f>
        <v>1155026</v>
      </c>
      <c r="Q266" s="139">
        <f>'TRAIL BALANCE'!R599</f>
        <v>1155026</v>
      </c>
      <c r="R266" s="516">
        <v>1593158</v>
      </c>
    </row>
    <row r="267" spans="1:19">
      <c r="A267" s="455" t="s">
        <v>1553</v>
      </c>
      <c r="B267" s="455" t="s">
        <v>52</v>
      </c>
      <c r="D267" s="456">
        <v>0</v>
      </c>
      <c r="E267" s="456">
        <v>14400</v>
      </c>
      <c r="F267" s="168">
        <v>0</v>
      </c>
      <c r="G267" s="168">
        <v>0</v>
      </c>
      <c r="M267" s="139" t="s">
        <v>341</v>
      </c>
      <c r="N267" s="140" t="s">
        <v>2469</v>
      </c>
      <c r="O267" s="140" t="s">
        <v>2315</v>
      </c>
      <c r="P267" s="139">
        <f>'TRAIL BALANCE'!Q653</f>
        <v>369354</v>
      </c>
      <c r="Q267" s="139">
        <f>'TRAIL BALANCE'!R653</f>
        <v>369354</v>
      </c>
      <c r="R267" s="516">
        <v>251130</v>
      </c>
    </row>
    <row r="268" spans="1:19">
      <c r="A268" s="455" t="s">
        <v>1553</v>
      </c>
      <c r="B268" s="455" t="s">
        <v>261</v>
      </c>
      <c r="D268" s="456">
        <v>-1472199.21</v>
      </c>
      <c r="E268" s="456">
        <v>1223878</v>
      </c>
      <c r="F268" s="168">
        <v>0</v>
      </c>
      <c r="G268" s="168">
        <v>0</v>
      </c>
      <c r="M268" s="139" t="s">
        <v>1457</v>
      </c>
      <c r="N268" s="140" t="s">
        <v>2469</v>
      </c>
      <c r="O268" s="140" t="s">
        <v>2315</v>
      </c>
      <c r="P268" s="139">
        <f>'TRAIL BALANCE'!Q788</f>
        <v>84387</v>
      </c>
      <c r="Q268" s="139">
        <f>'TRAIL BALANCE'!R788</f>
        <v>84387</v>
      </c>
      <c r="R268" s="516">
        <v>33700</v>
      </c>
    </row>
    <row r="269" spans="1:19">
      <c r="A269" s="455"/>
      <c r="B269" s="455" t="s">
        <v>2328</v>
      </c>
      <c r="D269" s="456">
        <v>62451.92</v>
      </c>
      <c r="E269" s="456">
        <v>386000</v>
      </c>
      <c r="F269" s="168">
        <v>0</v>
      </c>
      <c r="G269" s="168">
        <v>0</v>
      </c>
      <c r="P269" s="168">
        <f>SUM(P263:P268)</f>
        <v>3051478</v>
      </c>
      <c r="Q269" s="168">
        <f>SUM(Q263:Q268)</f>
        <v>3051478</v>
      </c>
      <c r="R269" s="168">
        <f>SUM(R263:R268)</f>
        <v>2074882</v>
      </c>
    </row>
    <row r="270" spans="1:19">
      <c r="A270" s="455"/>
      <c r="B270" s="455" t="s">
        <v>2328</v>
      </c>
      <c r="D270" s="456">
        <v>0</v>
      </c>
      <c r="E270" s="456">
        <v>660000</v>
      </c>
      <c r="F270" s="168">
        <v>0</v>
      </c>
      <c r="G270" s="168">
        <v>0</v>
      </c>
    </row>
    <row r="271" spans="1:19">
      <c r="A271" s="455"/>
      <c r="B271" s="455" t="s">
        <v>2328</v>
      </c>
      <c r="D271" s="456">
        <v>0</v>
      </c>
      <c r="E271" s="456">
        <v>-660000</v>
      </c>
      <c r="F271" s="168">
        <v>0</v>
      </c>
      <c r="G271" s="168">
        <v>0</v>
      </c>
    </row>
    <row r="272" spans="1:19" ht="15.75" thickBot="1">
      <c r="A272" s="455"/>
      <c r="B272" s="455" t="s">
        <v>2328</v>
      </c>
      <c r="D272" s="456">
        <v>0</v>
      </c>
      <c r="E272" s="456">
        <v>-386000</v>
      </c>
      <c r="F272" s="168">
        <v>0</v>
      </c>
      <c r="G272" s="168">
        <v>0</v>
      </c>
      <c r="M272" s="168" t="s">
        <v>267</v>
      </c>
      <c r="N272" s="455" t="s">
        <v>1553</v>
      </c>
      <c r="O272" s="455" t="s">
        <v>592</v>
      </c>
      <c r="P272" s="455">
        <v>119270</v>
      </c>
      <c r="Q272" s="455">
        <v>119270</v>
      </c>
      <c r="R272" s="523">
        <v>155227</v>
      </c>
      <c r="S272" s="523"/>
    </row>
    <row r="273" spans="1:32" ht="16.5" thickTop="1" thickBot="1">
      <c r="A273" s="555"/>
      <c r="B273" s="555"/>
      <c r="C273" s="556"/>
      <c r="D273" s="558">
        <f>SUM(D254:D272)</f>
        <v>-1310052.83</v>
      </c>
      <c r="E273" s="558">
        <f>SUM(E254:E272)</f>
        <v>2192744</v>
      </c>
      <c r="F273" s="558">
        <f>SUM(F254:F272)</f>
        <v>0</v>
      </c>
      <c r="G273" s="558">
        <f>SUM(G254:G272)</f>
        <v>0</v>
      </c>
      <c r="M273" s="168" t="s">
        <v>268</v>
      </c>
      <c r="N273" s="455" t="s">
        <v>1553</v>
      </c>
      <c r="O273" s="455" t="s">
        <v>592</v>
      </c>
      <c r="P273" s="455">
        <v>239431</v>
      </c>
      <c r="Q273" s="455">
        <v>239431</v>
      </c>
      <c r="R273" s="523">
        <v>258065</v>
      </c>
      <c r="S273" s="523"/>
    </row>
    <row r="274" spans="1:32" ht="15.75" thickTop="1">
      <c r="A274" s="455"/>
      <c r="M274" s="168" t="s">
        <v>3392</v>
      </c>
      <c r="N274" s="455" t="s">
        <v>1553</v>
      </c>
      <c r="O274" s="455"/>
      <c r="P274" s="455"/>
      <c r="Q274" s="455"/>
      <c r="R274" s="523"/>
      <c r="S274" s="523"/>
    </row>
    <row r="275" spans="1:32">
      <c r="A275" s="455" t="s">
        <v>1241</v>
      </c>
      <c r="B275" s="455" t="s">
        <v>1368</v>
      </c>
      <c r="D275" s="456">
        <v>-8390025.7200000007</v>
      </c>
      <c r="E275" s="456">
        <v>-13972544</v>
      </c>
      <c r="F275" s="168">
        <v>0</v>
      </c>
      <c r="G275" s="168">
        <v>0</v>
      </c>
      <c r="M275" s="147" t="s">
        <v>269</v>
      </c>
      <c r="N275" s="148" t="s">
        <v>1553</v>
      </c>
      <c r="O275" s="148" t="s">
        <v>575</v>
      </c>
      <c r="P275" s="148">
        <v>1500000</v>
      </c>
      <c r="Q275" s="148">
        <v>1000000</v>
      </c>
      <c r="R275" s="523">
        <v>552227</v>
      </c>
      <c r="S275" s="523"/>
    </row>
    <row r="276" spans="1:32">
      <c r="A276" s="455" t="s">
        <v>1241</v>
      </c>
      <c r="B276" s="455" t="s">
        <v>1368</v>
      </c>
      <c r="D276" s="456">
        <v>0</v>
      </c>
      <c r="E276" s="456">
        <v>0</v>
      </c>
      <c r="F276" s="168">
        <v>0</v>
      </c>
      <c r="G276" s="168">
        <v>0</v>
      </c>
      <c r="P276" s="457">
        <f>SUM(P272:P275)</f>
        <v>1858701</v>
      </c>
      <c r="Q276" s="457">
        <f>SUM(Q272:Q275)</f>
        <v>1358701</v>
      </c>
      <c r="R276" s="457">
        <f>SUM(R272:R275)</f>
        <v>965519</v>
      </c>
    </row>
    <row r="277" spans="1:32">
      <c r="A277" s="455" t="s">
        <v>1241</v>
      </c>
      <c r="B277" s="455" t="s">
        <v>1368</v>
      </c>
      <c r="D277" s="456">
        <v>-620221.30000000005</v>
      </c>
      <c r="E277" s="456">
        <v>-1280711</v>
      </c>
      <c r="F277" s="168">
        <v>0</v>
      </c>
      <c r="G277" s="168">
        <v>0</v>
      </c>
    </row>
    <row r="278" spans="1:32">
      <c r="A278" s="455" t="s">
        <v>1241</v>
      </c>
      <c r="B278" s="455" t="s">
        <v>1368</v>
      </c>
      <c r="D278" s="456">
        <v>0</v>
      </c>
      <c r="E278" s="456">
        <v>0</v>
      </c>
      <c r="F278" s="168">
        <v>0</v>
      </c>
      <c r="G278" s="168">
        <v>0</v>
      </c>
      <c r="P278" s="168" t="s">
        <v>3744</v>
      </c>
      <c r="Q278" s="168" t="s">
        <v>3745</v>
      </c>
      <c r="R278" s="456" t="s">
        <v>3486</v>
      </c>
      <c r="S278" s="456"/>
      <c r="T278" s="456"/>
      <c r="AC278" s="168" t="s">
        <v>3744</v>
      </c>
      <c r="AD278" s="168" t="s">
        <v>3745</v>
      </c>
      <c r="AE278" s="456" t="s">
        <v>3485</v>
      </c>
      <c r="AF278" s="456" t="s">
        <v>3486</v>
      </c>
    </row>
    <row r="279" spans="1:32">
      <c r="A279" s="455" t="s">
        <v>1241</v>
      </c>
      <c r="B279" s="455" t="s">
        <v>1485</v>
      </c>
      <c r="D279" s="456">
        <v>-208817.34</v>
      </c>
      <c r="E279" s="456">
        <v>0</v>
      </c>
      <c r="F279" s="168">
        <v>0</v>
      </c>
      <c r="G279" s="168">
        <v>0</v>
      </c>
      <c r="M279" s="168" t="s">
        <v>601</v>
      </c>
      <c r="N279" s="455" t="s">
        <v>1553</v>
      </c>
      <c r="O279" s="455" t="s">
        <v>602</v>
      </c>
      <c r="P279" s="455">
        <v>60000</v>
      </c>
      <c r="Q279" s="455">
        <v>45000</v>
      </c>
      <c r="R279" s="523">
        <v>38091</v>
      </c>
      <c r="S279" s="523"/>
      <c r="Z279" s="168" t="s">
        <v>601</v>
      </c>
      <c r="AA279" s="455" t="s">
        <v>1553</v>
      </c>
      <c r="AB279" s="455" t="s">
        <v>602</v>
      </c>
      <c r="AC279" s="455">
        <v>60000</v>
      </c>
      <c r="AD279" s="455">
        <v>45000</v>
      </c>
      <c r="AE279" s="168">
        <v>38090.57</v>
      </c>
      <c r="AF279" s="523">
        <v>38091</v>
      </c>
    </row>
    <row r="280" spans="1:32" ht="15.75" thickBot="1">
      <c r="A280" s="455" t="s">
        <v>1241</v>
      </c>
      <c r="B280" s="455" t="s">
        <v>560</v>
      </c>
      <c r="D280" s="456">
        <v>0</v>
      </c>
      <c r="E280" s="456">
        <v>0</v>
      </c>
      <c r="F280" s="168">
        <v>0</v>
      </c>
      <c r="G280" s="168">
        <v>0</v>
      </c>
      <c r="M280" s="168" t="s">
        <v>604</v>
      </c>
      <c r="N280" s="455" t="s">
        <v>1553</v>
      </c>
      <c r="O280" s="455" t="s">
        <v>605</v>
      </c>
      <c r="P280" s="455">
        <v>266152</v>
      </c>
      <c r="Q280" s="455">
        <v>199614</v>
      </c>
      <c r="R280" s="523">
        <v>410264</v>
      </c>
      <c r="S280" s="523"/>
      <c r="Z280" s="168" t="s">
        <v>604</v>
      </c>
      <c r="AA280" s="455" t="s">
        <v>1553</v>
      </c>
      <c r="AB280" s="455" t="s">
        <v>605</v>
      </c>
      <c r="AC280" s="455">
        <v>266152</v>
      </c>
      <c r="AD280" s="455">
        <v>199614</v>
      </c>
      <c r="AE280" s="168">
        <v>410264.81</v>
      </c>
      <c r="AF280" s="523">
        <v>410264</v>
      </c>
    </row>
    <row r="281" spans="1:32" ht="16.5" thickTop="1" thickBot="1">
      <c r="A281" s="555"/>
      <c r="B281" s="555"/>
      <c r="C281" s="556"/>
      <c r="D281" s="558">
        <f>SUM(D275:D280)</f>
        <v>-9219064.3600000013</v>
      </c>
      <c r="E281" s="558">
        <f>SUM(E275:E280)</f>
        <v>-15253255</v>
      </c>
      <c r="F281" s="558">
        <f>SUM(F275:F280)</f>
        <v>0</v>
      </c>
      <c r="G281" s="558">
        <f>SUM(G275:G280)</f>
        <v>0</v>
      </c>
      <c r="M281" s="168" t="s">
        <v>606</v>
      </c>
      <c r="N281" s="455" t="s">
        <v>1553</v>
      </c>
      <c r="O281" s="455" t="s">
        <v>605</v>
      </c>
      <c r="P281" s="455"/>
      <c r="Q281" s="455"/>
      <c r="R281" s="523">
        <v>0</v>
      </c>
      <c r="S281" s="523"/>
      <c r="Z281" s="168" t="s">
        <v>606</v>
      </c>
      <c r="AA281" s="455" t="s">
        <v>1553</v>
      </c>
      <c r="AB281" s="455" t="s">
        <v>605</v>
      </c>
      <c r="AC281" s="455"/>
      <c r="AD281" s="455"/>
      <c r="AE281" s="168">
        <v>0</v>
      </c>
      <c r="AF281" s="523">
        <v>0</v>
      </c>
    </row>
    <row r="282" spans="1:32" ht="15.75" thickTop="1">
      <c r="A282" s="455"/>
      <c r="M282" s="168" t="s">
        <v>607</v>
      </c>
      <c r="N282" s="455" t="s">
        <v>1553</v>
      </c>
      <c r="O282" s="455" t="s">
        <v>608</v>
      </c>
      <c r="P282" s="455"/>
      <c r="Q282" s="455"/>
      <c r="R282" s="523">
        <v>0</v>
      </c>
      <c r="S282" s="523"/>
      <c r="Z282" s="168" t="s">
        <v>607</v>
      </c>
      <c r="AA282" s="455" t="s">
        <v>1553</v>
      </c>
      <c r="AB282" s="455" t="s">
        <v>608</v>
      </c>
      <c r="AC282" s="455"/>
      <c r="AD282" s="455"/>
      <c r="AE282" s="168">
        <v>0</v>
      </c>
      <c r="AF282" s="523">
        <v>0</v>
      </c>
    </row>
    <row r="283" spans="1:32">
      <c r="A283" s="455" t="s">
        <v>1549</v>
      </c>
      <c r="B283" s="455" t="s">
        <v>75</v>
      </c>
      <c r="D283" s="456">
        <v>4191400.13</v>
      </c>
      <c r="E283" s="456">
        <v>4324304</v>
      </c>
      <c r="F283" s="168">
        <v>0</v>
      </c>
      <c r="G283" s="168">
        <v>0</v>
      </c>
      <c r="M283" s="168" t="s">
        <v>609</v>
      </c>
      <c r="N283" s="455" t="s">
        <v>1553</v>
      </c>
      <c r="O283" s="455" t="s">
        <v>610</v>
      </c>
      <c r="P283" s="455">
        <v>40226</v>
      </c>
      <c r="Q283" s="455">
        <v>30170</v>
      </c>
      <c r="R283" s="523">
        <v>94206</v>
      </c>
      <c r="S283" s="523"/>
      <c r="Z283" s="168" t="s">
        <v>609</v>
      </c>
      <c r="AA283" s="455" t="s">
        <v>1553</v>
      </c>
      <c r="AB283" s="455" t="s">
        <v>610</v>
      </c>
      <c r="AC283" s="455">
        <v>40226</v>
      </c>
      <c r="AD283" s="455">
        <v>30170</v>
      </c>
      <c r="AE283" s="168">
        <v>94206.39</v>
      </c>
      <c r="AF283" s="523">
        <v>94206</v>
      </c>
    </row>
    <row r="284" spans="1:32">
      <c r="A284" s="455" t="s">
        <v>1549</v>
      </c>
      <c r="B284" s="455" t="s">
        <v>77</v>
      </c>
      <c r="D284" s="456">
        <v>475797.19</v>
      </c>
      <c r="E284" s="456">
        <v>417541</v>
      </c>
      <c r="F284" s="168">
        <v>0</v>
      </c>
      <c r="G284" s="168">
        <v>0</v>
      </c>
      <c r="M284" s="168" t="s">
        <v>611</v>
      </c>
      <c r="N284" s="455" t="s">
        <v>1553</v>
      </c>
      <c r="O284" s="455" t="s">
        <v>612</v>
      </c>
      <c r="P284" s="455">
        <v>108135</v>
      </c>
      <c r="Q284" s="455">
        <v>81101</v>
      </c>
      <c r="R284" s="523">
        <v>61116</v>
      </c>
      <c r="S284" s="523"/>
      <c r="Z284" s="168" t="s">
        <v>611</v>
      </c>
      <c r="AA284" s="455" t="s">
        <v>1553</v>
      </c>
      <c r="AB284" s="455" t="s">
        <v>612</v>
      </c>
      <c r="AC284" s="455">
        <v>108135</v>
      </c>
      <c r="AD284" s="455">
        <v>81101</v>
      </c>
      <c r="AE284" s="168">
        <v>61115.45</v>
      </c>
      <c r="AF284" s="523">
        <v>61116</v>
      </c>
    </row>
    <row r="285" spans="1:32">
      <c r="A285" s="455" t="s">
        <v>1549</v>
      </c>
      <c r="B285" s="455" t="s">
        <v>60</v>
      </c>
      <c r="D285" s="456">
        <v>140237.56</v>
      </c>
      <c r="E285" s="456">
        <v>300238</v>
      </c>
      <c r="F285" s="168">
        <v>0</v>
      </c>
      <c r="G285" s="168">
        <v>0</v>
      </c>
      <c r="M285" s="168" t="s">
        <v>2683</v>
      </c>
      <c r="N285" s="455" t="s">
        <v>1553</v>
      </c>
      <c r="O285" s="455" t="s">
        <v>2691</v>
      </c>
      <c r="P285" s="455"/>
      <c r="Q285" s="455">
        <v>697150</v>
      </c>
      <c r="R285" s="523">
        <v>304406</v>
      </c>
      <c r="S285" s="523"/>
      <c r="Z285" s="168" t="s">
        <v>2683</v>
      </c>
      <c r="AA285" s="455" t="s">
        <v>1553</v>
      </c>
      <c r="AB285" s="455" t="s">
        <v>2691</v>
      </c>
      <c r="AC285" s="455"/>
      <c r="AD285" s="455">
        <v>697150</v>
      </c>
      <c r="AE285" s="168">
        <v>304405.32</v>
      </c>
      <c r="AF285" s="523">
        <v>304406</v>
      </c>
    </row>
    <row r="286" spans="1:32">
      <c r="A286" s="455" t="s">
        <v>1549</v>
      </c>
      <c r="B286" s="455" t="s">
        <v>1395</v>
      </c>
      <c r="D286" s="456">
        <v>142571.1</v>
      </c>
      <c r="E286" s="456">
        <v>177633</v>
      </c>
      <c r="F286" s="168">
        <v>0</v>
      </c>
      <c r="G286" s="168">
        <v>0</v>
      </c>
      <c r="M286" s="168" t="s">
        <v>613</v>
      </c>
      <c r="N286" s="455" t="s">
        <v>1553</v>
      </c>
      <c r="O286" s="455" t="s">
        <v>614</v>
      </c>
      <c r="P286" s="455">
        <v>929533</v>
      </c>
      <c r="Q286" s="455"/>
      <c r="R286" s="523">
        <v>0</v>
      </c>
      <c r="S286" s="523"/>
      <c r="Z286" s="168" t="s">
        <v>613</v>
      </c>
      <c r="AA286" s="455" t="s">
        <v>1553</v>
      </c>
      <c r="AB286" s="455" t="s">
        <v>614</v>
      </c>
      <c r="AC286" s="455">
        <v>929533</v>
      </c>
      <c r="AD286" s="455"/>
      <c r="AE286" s="168">
        <v>0</v>
      </c>
      <c r="AF286" s="523">
        <v>0</v>
      </c>
    </row>
    <row r="287" spans="1:32">
      <c r="A287" s="455" t="s">
        <v>1549</v>
      </c>
      <c r="B287" s="455" t="s">
        <v>572</v>
      </c>
      <c r="D287" s="456">
        <v>39600</v>
      </c>
      <c r="E287" s="456">
        <v>35572</v>
      </c>
      <c r="F287" s="168">
        <v>0</v>
      </c>
      <c r="G287" s="168">
        <v>0</v>
      </c>
      <c r="M287" s="168" t="s">
        <v>615</v>
      </c>
      <c r="N287" s="455" t="s">
        <v>1553</v>
      </c>
      <c r="O287" s="455" t="s">
        <v>616</v>
      </c>
      <c r="P287" s="455">
        <v>7209</v>
      </c>
      <c r="Q287" s="455">
        <v>7350</v>
      </c>
      <c r="R287" s="523">
        <v>34133</v>
      </c>
      <c r="S287" s="523"/>
      <c r="Z287" s="168" t="s">
        <v>615</v>
      </c>
      <c r="AA287" s="455" t="s">
        <v>1553</v>
      </c>
      <c r="AB287" s="455" t="s">
        <v>616</v>
      </c>
      <c r="AC287" s="455">
        <v>7209</v>
      </c>
      <c r="AD287" s="455">
        <v>7350</v>
      </c>
      <c r="AE287" s="168">
        <v>34133.5</v>
      </c>
      <c r="AF287" s="523">
        <v>34133</v>
      </c>
    </row>
    <row r="288" spans="1:32">
      <c r="A288" s="455" t="s">
        <v>1549</v>
      </c>
      <c r="B288" s="455" t="s">
        <v>515</v>
      </c>
      <c r="D288" s="456">
        <v>38703.760000000002</v>
      </c>
      <c r="E288" s="456">
        <v>17917</v>
      </c>
      <c r="F288" s="168">
        <v>0</v>
      </c>
      <c r="G288" s="168">
        <v>0</v>
      </c>
      <c r="M288" s="168" t="s">
        <v>617</v>
      </c>
      <c r="N288" s="455" t="s">
        <v>1553</v>
      </c>
      <c r="O288" s="455" t="s">
        <v>618</v>
      </c>
      <c r="P288" s="455">
        <v>72090</v>
      </c>
      <c r="Q288" s="455">
        <v>73500</v>
      </c>
      <c r="R288" s="523">
        <v>214416</v>
      </c>
      <c r="S288" s="523"/>
      <c r="Z288" s="168" t="s">
        <v>617</v>
      </c>
      <c r="AA288" s="455" t="s">
        <v>1553</v>
      </c>
      <c r="AB288" s="455" t="s">
        <v>618</v>
      </c>
      <c r="AC288" s="455">
        <v>72090</v>
      </c>
      <c r="AD288" s="455">
        <v>73500</v>
      </c>
      <c r="AE288" s="168">
        <v>214416.86</v>
      </c>
      <c r="AF288" s="523">
        <v>214416</v>
      </c>
    </row>
    <row r="289" spans="1:32">
      <c r="A289" s="455" t="s">
        <v>1549</v>
      </c>
      <c r="B289" s="455" t="s">
        <v>660</v>
      </c>
      <c r="D289" s="456">
        <v>93786.13</v>
      </c>
      <c r="E289" s="456">
        <v>27283</v>
      </c>
      <c r="F289" s="168">
        <v>0</v>
      </c>
      <c r="G289" s="168">
        <v>0</v>
      </c>
      <c r="M289" s="168" t="s">
        <v>619</v>
      </c>
      <c r="N289" s="455" t="s">
        <v>1553</v>
      </c>
      <c r="O289" s="455" t="s">
        <v>620</v>
      </c>
      <c r="P289" s="455">
        <v>20113</v>
      </c>
      <c r="Q289" s="455">
        <v>60113</v>
      </c>
      <c r="R289" s="523">
        <v>242179</v>
      </c>
      <c r="S289" s="523"/>
      <c r="Z289" s="168" t="s">
        <v>619</v>
      </c>
      <c r="AA289" s="455" t="s">
        <v>1553</v>
      </c>
      <c r="AB289" s="455" t="s">
        <v>620</v>
      </c>
      <c r="AC289" s="455">
        <v>20113</v>
      </c>
      <c r="AD289" s="455">
        <v>60113</v>
      </c>
      <c r="AE289" s="168">
        <v>242179.95</v>
      </c>
      <c r="AF289" s="523">
        <v>242179</v>
      </c>
    </row>
    <row r="290" spans="1:32">
      <c r="A290" s="455" t="s">
        <v>1549</v>
      </c>
      <c r="B290" s="455" t="s">
        <v>767</v>
      </c>
      <c r="D290" s="456">
        <v>4572</v>
      </c>
      <c r="E290" s="456">
        <v>45679</v>
      </c>
      <c r="F290" s="168">
        <v>0</v>
      </c>
      <c r="G290" s="168">
        <v>0</v>
      </c>
      <c r="M290" s="168" t="s">
        <v>621</v>
      </c>
      <c r="N290" s="455" t="s">
        <v>1553</v>
      </c>
      <c r="O290" s="455" t="s">
        <v>622</v>
      </c>
      <c r="P290" s="455">
        <v>167610</v>
      </c>
      <c r="Q290" s="455">
        <v>85362</v>
      </c>
      <c r="R290" s="523">
        <v>69386</v>
      </c>
      <c r="S290" s="523"/>
      <c r="Z290" s="168" t="s">
        <v>621</v>
      </c>
      <c r="AA290" s="455" t="s">
        <v>1553</v>
      </c>
      <c r="AB290" s="455" t="s">
        <v>622</v>
      </c>
      <c r="AC290" s="455">
        <v>167610</v>
      </c>
      <c r="AD290" s="455">
        <v>85362</v>
      </c>
      <c r="AE290" s="168">
        <v>69385.95</v>
      </c>
      <c r="AF290" s="523">
        <v>69386</v>
      </c>
    </row>
    <row r="291" spans="1:32">
      <c r="A291" s="455" t="s">
        <v>1549</v>
      </c>
      <c r="B291" s="455" t="s">
        <v>84</v>
      </c>
      <c r="D291" s="456">
        <v>0</v>
      </c>
      <c r="E291" s="456">
        <v>211594</v>
      </c>
      <c r="F291" s="168">
        <v>0</v>
      </c>
      <c r="G291" s="168">
        <v>0</v>
      </c>
      <c r="M291" s="168" t="s">
        <v>623</v>
      </c>
      <c r="N291" s="455" t="s">
        <v>1553</v>
      </c>
      <c r="O291" s="455" t="s">
        <v>624</v>
      </c>
      <c r="P291" s="455">
        <v>844</v>
      </c>
      <c r="Q291" s="455">
        <v>1200</v>
      </c>
      <c r="R291" s="523">
        <v>1145</v>
      </c>
      <c r="S291" s="523"/>
      <c r="Z291" s="168" t="s">
        <v>623</v>
      </c>
      <c r="AA291" s="455" t="s">
        <v>1553</v>
      </c>
      <c r="AB291" s="455" t="s">
        <v>624</v>
      </c>
      <c r="AC291" s="455">
        <v>844</v>
      </c>
      <c r="AD291" s="455">
        <v>1200</v>
      </c>
      <c r="AE291" s="168">
        <v>1144.5999999999999</v>
      </c>
      <c r="AF291" s="523">
        <v>1145</v>
      </c>
    </row>
    <row r="292" spans="1:32">
      <c r="A292" s="455" t="s">
        <v>1549</v>
      </c>
      <c r="B292" s="455" t="s">
        <v>575</v>
      </c>
      <c r="D292" s="456">
        <v>19057.52</v>
      </c>
      <c r="E292" s="456">
        <v>419833</v>
      </c>
      <c r="F292" s="168">
        <v>0</v>
      </c>
      <c r="G292" s="168">
        <v>0</v>
      </c>
      <c r="M292" s="168" t="s">
        <v>625</v>
      </c>
      <c r="N292" s="455" t="s">
        <v>1553</v>
      </c>
      <c r="O292" s="455" t="s">
        <v>626</v>
      </c>
      <c r="P292" s="455">
        <v>18900</v>
      </c>
      <c r="Q292" s="455">
        <v>3940</v>
      </c>
      <c r="R292" s="523">
        <v>16706</v>
      </c>
      <c r="S292" s="523"/>
      <c r="Z292" s="168" t="s">
        <v>625</v>
      </c>
      <c r="AA292" s="455" t="s">
        <v>1553</v>
      </c>
      <c r="AB292" s="455" t="s">
        <v>626</v>
      </c>
      <c r="AC292" s="455">
        <v>18900</v>
      </c>
      <c r="AD292" s="455">
        <v>3940</v>
      </c>
      <c r="AE292" s="168">
        <v>16706.169999999998</v>
      </c>
      <c r="AF292" s="523">
        <v>16706</v>
      </c>
    </row>
    <row r="293" spans="1:32">
      <c r="A293" s="455" t="s">
        <v>1549</v>
      </c>
      <c r="B293" s="455" t="s">
        <v>575</v>
      </c>
      <c r="D293" s="456">
        <v>370043.19</v>
      </c>
      <c r="E293" s="456">
        <v>787637</v>
      </c>
      <c r="F293" s="168">
        <v>0</v>
      </c>
      <c r="G293" s="168">
        <v>0</v>
      </c>
      <c r="M293" s="168" t="s">
        <v>627</v>
      </c>
      <c r="N293" s="455" t="s">
        <v>1553</v>
      </c>
      <c r="O293" s="455" t="s">
        <v>628</v>
      </c>
      <c r="P293" s="455">
        <v>89765</v>
      </c>
      <c r="Q293" s="455">
        <v>89765</v>
      </c>
      <c r="R293" s="523">
        <v>262197</v>
      </c>
      <c r="S293" s="523"/>
      <c r="Z293" s="168" t="s">
        <v>627</v>
      </c>
      <c r="AA293" s="455" t="s">
        <v>1553</v>
      </c>
      <c r="AB293" s="455" t="s">
        <v>628</v>
      </c>
      <c r="AC293" s="455">
        <v>89765</v>
      </c>
      <c r="AD293" s="455">
        <v>89765</v>
      </c>
      <c r="AE293" s="168">
        <v>262197.42</v>
      </c>
      <c r="AF293" s="523">
        <v>262197</v>
      </c>
    </row>
    <row r="294" spans="1:32">
      <c r="A294" s="455" t="s">
        <v>1549</v>
      </c>
      <c r="B294" s="455" t="s">
        <v>575</v>
      </c>
      <c r="D294" s="456">
        <v>24313.279999999999</v>
      </c>
      <c r="E294" s="456">
        <v>39148</v>
      </c>
      <c r="F294" s="168">
        <v>0</v>
      </c>
      <c r="G294" s="168">
        <v>0</v>
      </c>
      <c r="M294" s="168" t="s">
        <v>629</v>
      </c>
      <c r="N294" s="455" t="s">
        <v>1553</v>
      </c>
      <c r="O294" s="455" t="s">
        <v>2326</v>
      </c>
      <c r="P294" s="455">
        <v>20000</v>
      </c>
      <c r="Q294" s="455"/>
      <c r="R294" s="523">
        <v>0</v>
      </c>
      <c r="S294" s="523"/>
      <c r="Z294" s="168" t="s">
        <v>629</v>
      </c>
      <c r="AA294" s="455" t="s">
        <v>1553</v>
      </c>
      <c r="AB294" s="455" t="s">
        <v>2326</v>
      </c>
      <c r="AC294" s="455">
        <v>20000</v>
      </c>
      <c r="AD294" s="455"/>
      <c r="AE294" s="168">
        <v>0</v>
      </c>
      <c r="AF294" s="523">
        <v>0</v>
      </c>
    </row>
    <row r="295" spans="1:32">
      <c r="A295" s="455" t="s">
        <v>1549</v>
      </c>
      <c r="B295" s="455" t="s">
        <v>575</v>
      </c>
      <c r="D295" s="456">
        <v>10150.16</v>
      </c>
      <c r="E295" s="456">
        <v>71603</v>
      </c>
      <c r="F295" s="168">
        <v>0</v>
      </c>
      <c r="G295" s="168">
        <v>0</v>
      </c>
      <c r="M295" s="168" t="s">
        <v>630</v>
      </c>
      <c r="N295" s="455" t="s">
        <v>1553</v>
      </c>
      <c r="O295" s="455" t="s">
        <v>631</v>
      </c>
      <c r="P295" s="455">
        <v>1499</v>
      </c>
      <c r="Q295" s="455">
        <v>1125</v>
      </c>
      <c r="R295" s="523">
        <v>3658</v>
      </c>
      <c r="S295" s="523"/>
      <c r="Z295" s="168" t="s">
        <v>630</v>
      </c>
      <c r="AA295" s="455" t="s">
        <v>1553</v>
      </c>
      <c r="AB295" s="455" t="s">
        <v>631</v>
      </c>
      <c r="AC295" s="455">
        <v>1499</v>
      </c>
      <c r="AD295" s="455">
        <v>1125</v>
      </c>
      <c r="AE295" s="168">
        <v>3658.46</v>
      </c>
      <c r="AF295" s="523">
        <v>3658</v>
      </c>
    </row>
    <row r="296" spans="1:32">
      <c r="A296" s="455" t="s">
        <v>1549</v>
      </c>
      <c r="B296" s="455" t="s">
        <v>1807</v>
      </c>
      <c r="D296" s="456">
        <v>1488</v>
      </c>
      <c r="E296" s="456">
        <v>2625</v>
      </c>
      <c r="F296" s="168">
        <v>0</v>
      </c>
      <c r="G296" s="168">
        <v>0</v>
      </c>
      <c r="M296" s="168" t="s">
        <v>632</v>
      </c>
      <c r="N296" s="455" t="s">
        <v>1553</v>
      </c>
      <c r="O296" s="455" t="s">
        <v>633</v>
      </c>
      <c r="P296" s="455">
        <v>82950</v>
      </c>
      <c r="Q296" s="455">
        <v>57766</v>
      </c>
      <c r="R296" s="523">
        <v>169441</v>
      </c>
      <c r="S296" s="523"/>
      <c r="Z296" s="168" t="s">
        <v>632</v>
      </c>
      <c r="AA296" s="455" t="s">
        <v>1553</v>
      </c>
      <c r="AB296" s="455" t="s">
        <v>633</v>
      </c>
      <c r="AC296" s="455">
        <v>82950</v>
      </c>
      <c r="AD296" s="455">
        <v>57766</v>
      </c>
      <c r="AE296" s="168">
        <v>169441.96</v>
      </c>
      <c r="AF296" s="523">
        <v>169441</v>
      </c>
    </row>
    <row r="297" spans="1:32">
      <c r="A297" s="455"/>
      <c r="B297" s="455" t="s">
        <v>592</v>
      </c>
      <c r="D297" s="456">
        <v>0</v>
      </c>
      <c r="E297" s="456">
        <v>2979463</v>
      </c>
      <c r="F297" s="168">
        <v>0</v>
      </c>
      <c r="G297" s="168">
        <v>0</v>
      </c>
      <c r="M297" s="168" t="s">
        <v>2684</v>
      </c>
      <c r="N297" s="455" t="s">
        <v>1553</v>
      </c>
      <c r="O297" s="455" t="s">
        <v>3767</v>
      </c>
      <c r="P297" s="455">
        <v>13860</v>
      </c>
      <c r="Q297" s="455">
        <v>36000</v>
      </c>
      <c r="R297" s="523">
        <v>39000</v>
      </c>
      <c r="S297" s="523"/>
      <c r="Z297" s="168" t="s">
        <v>2684</v>
      </c>
      <c r="AA297" s="455" t="s">
        <v>1553</v>
      </c>
      <c r="AB297" s="455"/>
      <c r="AC297" s="455">
        <v>13860</v>
      </c>
      <c r="AD297" s="455">
        <v>36000</v>
      </c>
      <c r="AE297" s="168">
        <v>39000</v>
      </c>
      <c r="AF297" s="523">
        <v>39000</v>
      </c>
    </row>
    <row r="298" spans="1:32">
      <c r="A298" s="455" t="s">
        <v>1552</v>
      </c>
      <c r="B298" s="455" t="s">
        <v>595</v>
      </c>
      <c r="D298" s="456">
        <v>403899.69</v>
      </c>
      <c r="E298" s="456">
        <v>576000</v>
      </c>
      <c r="F298" s="168">
        <v>0</v>
      </c>
      <c r="G298" s="168">
        <v>0</v>
      </c>
      <c r="M298" s="168" t="s">
        <v>634</v>
      </c>
      <c r="N298" s="455" t="s">
        <v>1553</v>
      </c>
      <c r="O298" s="455" t="s">
        <v>50</v>
      </c>
      <c r="P298" s="455">
        <v>744000</v>
      </c>
      <c r="Q298" s="455">
        <v>774000</v>
      </c>
      <c r="R298" s="523">
        <v>1320556</v>
      </c>
      <c r="S298" s="523"/>
      <c r="Z298" s="168" t="s">
        <v>634</v>
      </c>
      <c r="AA298" s="455" t="s">
        <v>1553</v>
      </c>
      <c r="AB298" s="455" t="s">
        <v>50</v>
      </c>
      <c r="AC298" s="455">
        <v>744000</v>
      </c>
      <c r="AD298" s="455">
        <v>774000</v>
      </c>
      <c r="AE298" s="168">
        <v>1320556.69</v>
      </c>
      <c r="AF298" s="523">
        <v>1320556</v>
      </c>
    </row>
    <row r="299" spans="1:32">
      <c r="A299" s="455" t="s">
        <v>1552</v>
      </c>
      <c r="B299" s="455" t="s">
        <v>338</v>
      </c>
      <c r="D299" s="456">
        <v>521837.96</v>
      </c>
      <c r="E299" s="456">
        <v>1022300</v>
      </c>
      <c r="F299" s="168">
        <v>0</v>
      </c>
      <c r="G299" s="168">
        <v>0</v>
      </c>
      <c r="M299" s="168" t="s">
        <v>51</v>
      </c>
      <c r="N299" s="455" t="s">
        <v>1553</v>
      </c>
      <c r="O299" s="455" t="s">
        <v>52</v>
      </c>
      <c r="P299" s="455">
        <v>274692</v>
      </c>
      <c r="Q299" s="455">
        <v>274692</v>
      </c>
      <c r="R299" s="523">
        <v>617355</v>
      </c>
      <c r="S299" s="523"/>
      <c r="Z299" s="168" t="s">
        <v>51</v>
      </c>
      <c r="AA299" s="455" t="s">
        <v>1553</v>
      </c>
      <c r="AB299" s="455" t="s">
        <v>52</v>
      </c>
      <c r="AC299" s="455">
        <v>274692</v>
      </c>
      <c r="AD299" s="455">
        <v>274692</v>
      </c>
      <c r="AE299" s="168">
        <v>617355.99</v>
      </c>
      <c r="AF299" s="523">
        <v>617355</v>
      </c>
    </row>
    <row r="300" spans="1:32">
      <c r="A300" s="455" t="s">
        <v>1552</v>
      </c>
      <c r="B300" s="455" t="s">
        <v>545</v>
      </c>
      <c r="D300" s="456">
        <v>6121.41</v>
      </c>
      <c r="E300" s="456">
        <v>82400</v>
      </c>
      <c r="F300" s="168">
        <v>0</v>
      </c>
      <c r="G300" s="168">
        <v>0</v>
      </c>
      <c r="M300" s="168" t="s">
        <v>53</v>
      </c>
      <c r="N300" s="455" t="s">
        <v>1553</v>
      </c>
      <c r="O300" s="455" t="s">
        <v>52</v>
      </c>
      <c r="P300" s="455">
        <v>99603</v>
      </c>
      <c r="Q300" s="455">
        <v>99603</v>
      </c>
      <c r="R300" s="523">
        <v>615257</v>
      </c>
      <c r="S300" s="523"/>
      <c r="Z300" s="168" t="s">
        <v>53</v>
      </c>
      <c r="AA300" s="455" t="s">
        <v>1553</v>
      </c>
      <c r="AB300" s="455" t="s">
        <v>52</v>
      </c>
      <c r="AC300" s="455">
        <v>99603</v>
      </c>
      <c r="AD300" s="455">
        <v>99603</v>
      </c>
      <c r="AE300" s="168">
        <v>615256.63</v>
      </c>
      <c r="AF300" s="523">
        <v>615257</v>
      </c>
    </row>
    <row r="301" spans="1:32">
      <c r="A301" s="455" t="s">
        <v>1552</v>
      </c>
      <c r="B301" s="455" t="s">
        <v>545</v>
      </c>
      <c r="D301" s="456">
        <v>135920.68</v>
      </c>
      <c r="E301" s="456">
        <v>151410</v>
      </c>
      <c r="F301" s="168">
        <v>0</v>
      </c>
      <c r="G301" s="168">
        <v>0</v>
      </c>
      <c r="M301" s="168" t="s">
        <v>54</v>
      </c>
      <c r="N301" s="455" t="s">
        <v>1553</v>
      </c>
      <c r="O301" s="455" t="s">
        <v>55</v>
      </c>
      <c r="P301" s="455">
        <v>97650</v>
      </c>
      <c r="Q301" s="455">
        <v>51815</v>
      </c>
      <c r="R301" s="523">
        <v>37669</v>
      </c>
      <c r="S301" s="523"/>
      <c r="Z301" s="168" t="s">
        <v>54</v>
      </c>
      <c r="AA301" s="455" t="s">
        <v>1553</v>
      </c>
      <c r="AB301" s="455" t="s">
        <v>55</v>
      </c>
      <c r="AC301" s="455">
        <v>97650</v>
      </c>
      <c r="AD301" s="455">
        <v>51815</v>
      </c>
      <c r="AE301" s="168">
        <v>37668.94</v>
      </c>
      <c r="AF301" s="523">
        <v>37669</v>
      </c>
    </row>
    <row r="302" spans="1:32">
      <c r="A302" s="455" t="s">
        <v>1552</v>
      </c>
      <c r="B302" s="455" t="s">
        <v>1507</v>
      </c>
      <c r="D302" s="456">
        <v>23016.75</v>
      </c>
      <c r="E302" s="456">
        <v>97000</v>
      </c>
      <c r="F302" s="168">
        <v>0</v>
      </c>
      <c r="G302" s="168">
        <v>0</v>
      </c>
      <c r="M302" s="168" t="s">
        <v>56</v>
      </c>
      <c r="N302" s="455" t="s">
        <v>1553</v>
      </c>
      <c r="O302" s="455" t="s">
        <v>57</v>
      </c>
      <c r="P302" s="455">
        <v>84000</v>
      </c>
      <c r="Q302" s="455">
        <v>100000</v>
      </c>
      <c r="R302" s="523">
        <v>97881</v>
      </c>
      <c r="S302" s="523"/>
      <c r="Z302" s="168" t="s">
        <v>56</v>
      </c>
      <c r="AA302" s="455" t="s">
        <v>1553</v>
      </c>
      <c r="AB302" s="455" t="s">
        <v>57</v>
      </c>
      <c r="AC302" s="455">
        <v>84000</v>
      </c>
      <c r="AD302" s="455">
        <v>100000</v>
      </c>
      <c r="AE302" s="168">
        <v>97880.15</v>
      </c>
      <c r="AF302" s="523">
        <v>97881</v>
      </c>
    </row>
    <row r="303" spans="1:32">
      <c r="A303" s="455" t="s">
        <v>2469</v>
      </c>
      <c r="B303" s="455" t="s">
        <v>2315</v>
      </c>
      <c r="D303" s="456">
        <v>228428.12</v>
      </c>
      <c r="E303" s="456">
        <v>364816</v>
      </c>
      <c r="F303" s="168">
        <v>0</v>
      </c>
      <c r="G303" s="168">
        <v>0</v>
      </c>
      <c r="M303" s="561" t="s">
        <v>3715</v>
      </c>
      <c r="N303" s="455" t="s">
        <v>1553</v>
      </c>
      <c r="O303" s="455" t="s">
        <v>3768</v>
      </c>
      <c r="P303" s="455">
        <v>230689</v>
      </c>
      <c r="Q303" s="455">
        <v>173017</v>
      </c>
      <c r="R303" s="523"/>
      <c r="S303" s="523"/>
      <c r="Z303" s="561" t="s">
        <v>3715</v>
      </c>
      <c r="AA303" s="455"/>
      <c r="AB303" s="455"/>
      <c r="AC303" s="455">
        <v>230689</v>
      </c>
      <c r="AD303" s="455">
        <v>173017</v>
      </c>
      <c r="AF303" s="523"/>
    </row>
    <row r="304" spans="1:32">
      <c r="A304" s="455" t="s">
        <v>2469</v>
      </c>
      <c r="B304" s="455" t="s">
        <v>2333</v>
      </c>
      <c r="D304" s="456">
        <v>0</v>
      </c>
      <c r="E304" s="456">
        <v>0</v>
      </c>
      <c r="F304" s="168">
        <v>0</v>
      </c>
      <c r="G304" s="168">
        <v>0</v>
      </c>
      <c r="M304" s="168" t="s">
        <v>58</v>
      </c>
      <c r="N304" s="455" t="s">
        <v>1553</v>
      </c>
      <c r="O304" s="455" t="s">
        <v>59</v>
      </c>
      <c r="P304" s="455">
        <v>150000</v>
      </c>
      <c r="Q304" s="455">
        <v>150000</v>
      </c>
      <c r="R304" s="523">
        <v>575410</v>
      </c>
      <c r="S304" s="523"/>
      <c r="Z304" s="168" t="s">
        <v>58</v>
      </c>
      <c r="AA304" s="455" t="s">
        <v>1553</v>
      </c>
      <c r="AB304" s="455" t="s">
        <v>59</v>
      </c>
      <c r="AC304" s="455">
        <v>150000</v>
      </c>
      <c r="AD304" s="455">
        <v>150000</v>
      </c>
      <c r="AE304" s="168">
        <v>575410.6</v>
      </c>
      <c r="AF304" s="523">
        <v>575410</v>
      </c>
    </row>
    <row r="305" spans="1:32">
      <c r="A305" s="455" t="s">
        <v>2469</v>
      </c>
      <c r="B305" s="455" t="s">
        <v>2333</v>
      </c>
      <c r="D305" s="456">
        <v>256444.29</v>
      </c>
      <c r="E305" s="456">
        <v>221810</v>
      </c>
      <c r="F305" s="168">
        <v>0</v>
      </c>
      <c r="G305" s="168">
        <v>0</v>
      </c>
      <c r="M305" s="168" t="s">
        <v>2685</v>
      </c>
      <c r="N305" s="455" t="s">
        <v>1553</v>
      </c>
      <c r="O305" s="455" t="s">
        <v>2732</v>
      </c>
      <c r="P305" s="455"/>
      <c r="Q305" s="455"/>
      <c r="R305" s="523">
        <v>28317</v>
      </c>
      <c r="S305" s="523"/>
      <c r="Z305" s="168" t="s">
        <v>2685</v>
      </c>
      <c r="AA305" s="455" t="s">
        <v>1553</v>
      </c>
      <c r="AB305" s="455"/>
      <c r="AC305" s="455"/>
      <c r="AD305" s="455"/>
      <c r="AE305" s="168">
        <v>28317.360000000001</v>
      </c>
      <c r="AF305" s="523">
        <v>28317</v>
      </c>
    </row>
    <row r="306" spans="1:32">
      <c r="A306" s="455" t="s">
        <v>2469</v>
      </c>
      <c r="B306" s="455" t="s">
        <v>600</v>
      </c>
      <c r="D306" s="456">
        <v>678239.47</v>
      </c>
      <c r="E306" s="456">
        <v>720000</v>
      </c>
      <c r="F306" s="168">
        <v>0</v>
      </c>
      <c r="G306" s="168">
        <v>0</v>
      </c>
      <c r="M306" s="168" t="s">
        <v>61</v>
      </c>
      <c r="N306" s="455" t="s">
        <v>1553</v>
      </c>
      <c r="O306" s="455" t="s">
        <v>62</v>
      </c>
      <c r="P306" s="455">
        <v>31500</v>
      </c>
      <c r="Q306" s="455"/>
      <c r="R306" s="523">
        <v>0</v>
      </c>
      <c r="S306" s="523"/>
      <c r="Z306" s="168" t="s">
        <v>61</v>
      </c>
      <c r="AA306" s="455" t="s">
        <v>1553</v>
      </c>
      <c r="AB306" s="455" t="s">
        <v>62</v>
      </c>
      <c r="AC306" s="455">
        <v>31500</v>
      </c>
      <c r="AD306" s="455"/>
      <c r="AE306" s="168">
        <v>0</v>
      </c>
      <c r="AF306" s="523">
        <v>0</v>
      </c>
    </row>
    <row r="307" spans="1:32">
      <c r="A307" s="455" t="s">
        <v>1553</v>
      </c>
      <c r="B307" s="455" t="s">
        <v>111</v>
      </c>
      <c r="D307" s="456">
        <v>421221.7</v>
      </c>
      <c r="E307" s="456">
        <v>250000</v>
      </c>
      <c r="F307" s="168">
        <v>0</v>
      </c>
      <c r="G307" s="168">
        <v>0</v>
      </c>
      <c r="M307" s="168" t="s">
        <v>63</v>
      </c>
      <c r="N307" s="455" t="s">
        <v>1553</v>
      </c>
      <c r="O307" s="455" t="s">
        <v>64</v>
      </c>
      <c r="P307" s="455">
        <v>31500</v>
      </c>
      <c r="Q307" s="455"/>
      <c r="R307" s="523">
        <v>0</v>
      </c>
      <c r="S307" s="523"/>
      <c r="Z307" s="168" t="s">
        <v>63</v>
      </c>
      <c r="AA307" s="455" t="s">
        <v>1553</v>
      </c>
      <c r="AB307" s="455" t="s">
        <v>64</v>
      </c>
      <c r="AC307" s="455">
        <v>31500</v>
      </c>
      <c r="AD307" s="455"/>
      <c r="AE307" s="168">
        <v>0</v>
      </c>
      <c r="AF307" s="523">
        <v>0</v>
      </c>
    </row>
    <row r="308" spans="1:32">
      <c r="A308" s="455" t="s">
        <v>1553</v>
      </c>
      <c r="B308" s="455" t="s">
        <v>2450</v>
      </c>
      <c r="D308" s="456">
        <v>152312.39000000001</v>
      </c>
      <c r="E308" s="456">
        <v>125000</v>
      </c>
      <c r="F308" s="168">
        <v>0</v>
      </c>
      <c r="G308" s="168">
        <v>0</v>
      </c>
      <c r="M308" s="168" t="s">
        <v>65</v>
      </c>
      <c r="N308" s="455" t="s">
        <v>1553</v>
      </c>
      <c r="O308" s="455" t="s">
        <v>2317</v>
      </c>
      <c r="P308" s="455"/>
      <c r="Q308" s="455"/>
      <c r="R308" s="523">
        <v>261424</v>
      </c>
      <c r="S308" s="523"/>
      <c r="Z308" s="168" t="s">
        <v>65</v>
      </c>
      <c r="AA308" s="455" t="s">
        <v>1553</v>
      </c>
      <c r="AB308" s="455" t="s">
        <v>2317</v>
      </c>
      <c r="AC308" s="455"/>
      <c r="AD308" s="455"/>
      <c r="AE308" s="168">
        <v>261424.98</v>
      </c>
      <c r="AF308" s="523">
        <v>261424</v>
      </c>
    </row>
    <row r="309" spans="1:32">
      <c r="A309" s="455" t="s">
        <v>1553</v>
      </c>
      <c r="B309" s="455" t="s">
        <v>612</v>
      </c>
      <c r="D309" s="456">
        <v>0</v>
      </c>
      <c r="E309" s="456">
        <v>16850</v>
      </c>
      <c r="F309" s="168">
        <v>0</v>
      </c>
      <c r="G309" s="168">
        <v>0</v>
      </c>
      <c r="M309" s="168" t="s">
        <v>66</v>
      </c>
      <c r="N309" s="455" t="s">
        <v>1553</v>
      </c>
      <c r="O309" s="455" t="s">
        <v>578</v>
      </c>
      <c r="P309" s="455">
        <v>41433</v>
      </c>
      <c r="Q309" s="455">
        <v>5000</v>
      </c>
      <c r="R309" s="523">
        <v>43762</v>
      </c>
      <c r="S309" s="523"/>
      <c r="Z309" s="168" t="s">
        <v>66</v>
      </c>
      <c r="AA309" s="455" t="s">
        <v>1553</v>
      </c>
      <c r="AB309" s="455" t="s">
        <v>578</v>
      </c>
      <c r="AC309" s="455">
        <v>41433</v>
      </c>
      <c r="AD309" s="455">
        <v>5000</v>
      </c>
      <c r="AE309" s="168">
        <v>43762.52</v>
      </c>
      <c r="AF309" s="523">
        <v>43762</v>
      </c>
    </row>
    <row r="310" spans="1:32">
      <c r="A310" s="455" t="s">
        <v>1553</v>
      </c>
      <c r="B310" s="455" t="s">
        <v>284</v>
      </c>
      <c r="D310" s="456">
        <v>471463.39</v>
      </c>
      <c r="E310" s="456">
        <v>0</v>
      </c>
      <c r="F310" s="168">
        <v>0</v>
      </c>
      <c r="G310" s="168">
        <v>0</v>
      </c>
      <c r="M310" s="168" t="s">
        <v>67</v>
      </c>
      <c r="N310" s="455" t="s">
        <v>1553</v>
      </c>
      <c r="O310" s="455" t="s">
        <v>68</v>
      </c>
      <c r="P310" s="455"/>
      <c r="Q310" s="455"/>
      <c r="R310" s="523">
        <v>0</v>
      </c>
      <c r="S310" s="523"/>
      <c r="Z310" s="168" t="s">
        <v>67</v>
      </c>
      <c r="AA310" s="455" t="s">
        <v>1553</v>
      </c>
      <c r="AB310" s="455" t="s">
        <v>68</v>
      </c>
      <c r="AC310" s="455"/>
      <c r="AD310" s="455"/>
      <c r="AE310" s="168">
        <v>0</v>
      </c>
      <c r="AF310" s="523">
        <v>0</v>
      </c>
    </row>
    <row r="311" spans="1:32">
      <c r="A311" s="455" t="s">
        <v>1553</v>
      </c>
      <c r="B311" s="455" t="s">
        <v>616</v>
      </c>
      <c r="D311" s="456">
        <v>102611.9</v>
      </c>
      <c r="E311" s="456">
        <v>103000</v>
      </c>
      <c r="F311" s="168">
        <v>0</v>
      </c>
      <c r="G311" s="168">
        <v>0</v>
      </c>
      <c r="M311" s="168" t="s">
        <v>2686</v>
      </c>
      <c r="N311" s="455" t="s">
        <v>1553</v>
      </c>
      <c r="O311" s="455" t="s">
        <v>2689</v>
      </c>
      <c r="P311" s="455">
        <v>300000</v>
      </c>
      <c r="Q311" s="455">
        <v>225000</v>
      </c>
      <c r="R311" s="523">
        <v>0</v>
      </c>
      <c r="S311" s="523"/>
      <c r="Z311" s="168" t="s">
        <v>2686</v>
      </c>
      <c r="AA311" s="455" t="s">
        <v>1553</v>
      </c>
      <c r="AB311" s="455" t="s">
        <v>2689</v>
      </c>
      <c r="AC311" s="455">
        <v>300000</v>
      </c>
      <c r="AD311" s="455">
        <v>225000</v>
      </c>
      <c r="AE311" s="168">
        <v>0</v>
      </c>
      <c r="AF311" s="523">
        <v>0</v>
      </c>
    </row>
    <row r="312" spans="1:32">
      <c r="A312" s="455" t="s">
        <v>1553</v>
      </c>
      <c r="B312" s="455" t="s">
        <v>622</v>
      </c>
      <c r="D312" s="456">
        <v>164677.06</v>
      </c>
      <c r="E312" s="456">
        <v>70297</v>
      </c>
      <c r="F312" s="168">
        <v>0</v>
      </c>
      <c r="G312" s="168">
        <v>0</v>
      </c>
      <c r="M312" s="168" t="s">
        <v>2687</v>
      </c>
      <c r="N312" s="455" t="s">
        <v>1553</v>
      </c>
      <c r="O312" s="455" t="s">
        <v>2690</v>
      </c>
      <c r="P312" s="455"/>
      <c r="Q312" s="455"/>
      <c r="R312" s="523">
        <v>0</v>
      </c>
      <c r="S312" s="523"/>
      <c r="Z312" s="168" t="s">
        <v>2687</v>
      </c>
      <c r="AA312" s="455" t="s">
        <v>1553</v>
      </c>
      <c r="AB312" s="455" t="s">
        <v>2690</v>
      </c>
      <c r="AC312" s="455"/>
      <c r="AD312" s="455"/>
      <c r="AE312" s="168">
        <v>0</v>
      </c>
      <c r="AF312" s="523">
        <v>0</v>
      </c>
    </row>
    <row r="313" spans="1:32">
      <c r="A313" s="455" t="s">
        <v>1553</v>
      </c>
      <c r="B313" s="455" t="s">
        <v>2322</v>
      </c>
      <c r="D313" s="456">
        <v>0</v>
      </c>
      <c r="E313" s="456">
        <v>37801</v>
      </c>
      <c r="F313" s="168">
        <v>0</v>
      </c>
      <c r="G313" s="168">
        <v>0</v>
      </c>
      <c r="M313" s="168" t="s">
        <v>2688</v>
      </c>
      <c r="N313" s="455" t="s">
        <v>1553</v>
      </c>
      <c r="O313" s="455" t="s">
        <v>2318</v>
      </c>
      <c r="P313" s="455"/>
      <c r="Q313" s="455">
        <v>2580000</v>
      </c>
      <c r="R313" s="523">
        <v>0</v>
      </c>
      <c r="S313" s="523"/>
      <c r="Z313" s="168" t="s">
        <v>2688</v>
      </c>
      <c r="AA313" s="455" t="s">
        <v>1553</v>
      </c>
      <c r="AB313" s="455" t="s">
        <v>2318</v>
      </c>
      <c r="AC313" s="455"/>
      <c r="AD313" s="455">
        <v>2580000</v>
      </c>
      <c r="AE313" s="168">
        <v>0</v>
      </c>
      <c r="AF313" s="523">
        <v>0</v>
      </c>
    </row>
    <row r="314" spans="1:32">
      <c r="A314" s="455" t="s">
        <v>1553</v>
      </c>
      <c r="B314" s="455" t="s">
        <v>1668</v>
      </c>
      <c r="D314" s="456">
        <v>2808.09</v>
      </c>
      <c r="E314" s="456">
        <v>57695</v>
      </c>
      <c r="F314" s="168">
        <v>0</v>
      </c>
      <c r="G314" s="168">
        <v>0</v>
      </c>
      <c r="M314" s="168" t="s">
        <v>96</v>
      </c>
      <c r="N314" s="455" t="s">
        <v>19</v>
      </c>
      <c r="O314" s="455" t="s">
        <v>600</v>
      </c>
      <c r="P314" s="455"/>
      <c r="Q314" s="455"/>
      <c r="R314" s="523">
        <v>0</v>
      </c>
      <c r="S314" s="523"/>
      <c r="Z314" s="168" t="s">
        <v>96</v>
      </c>
      <c r="AA314" s="455" t="s">
        <v>19</v>
      </c>
      <c r="AB314" s="455" t="s">
        <v>600</v>
      </c>
      <c r="AC314" s="455"/>
      <c r="AD314" s="455"/>
      <c r="AE314" s="168">
        <v>0</v>
      </c>
      <c r="AF314" s="523">
        <v>0</v>
      </c>
    </row>
    <row r="315" spans="1:32">
      <c r="A315" s="455" t="s">
        <v>1553</v>
      </c>
      <c r="B315" s="455" t="s">
        <v>624</v>
      </c>
      <c r="D315" s="456">
        <v>2855</v>
      </c>
      <c r="E315" s="456">
        <v>10300</v>
      </c>
      <c r="F315" s="168">
        <v>0</v>
      </c>
      <c r="G315" s="168">
        <v>0</v>
      </c>
      <c r="M315" s="168" t="s">
        <v>3460</v>
      </c>
      <c r="N315" s="455" t="s">
        <v>1553</v>
      </c>
      <c r="O315" s="455" t="s">
        <v>610</v>
      </c>
      <c r="P315" s="455">
        <v>19480</v>
      </c>
      <c r="Q315" s="455">
        <v>72000</v>
      </c>
      <c r="R315" s="523">
        <v>96800</v>
      </c>
      <c r="S315" s="523"/>
      <c r="Z315" s="168" t="s">
        <v>3460</v>
      </c>
      <c r="AA315" s="455"/>
      <c r="AB315" s="455"/>
      <c r="AC315" s="455">
        <v>19480</v>
      </c>
      <c r="AD315" s="455">
        <v>72000</v>
      </c>
      <c r="AE315" s="168">
        <v>96800</v>
      </c>
      <c r="AF315" s="523">
        <v>96800</v>
      </c>
    </row>
    <row r="316" spans="1:32">
      <c r="A316" s="455" t="s">
        <v>1553</v>
      </c>
      <c r="B316" s="455" t="s">
        <v>631</v>
      </c>
      <c r="D316" s="456">
        <v>88836.84</v>
      </c>
      <c r="E316" s="456">
        <v>62000</v>
      </c>
      <c r="F316" s="168">
        <v>0</v>
      </c>
      <c r="G316" s="168">
        <v>0</v>
      </c>
      <c r="M316" s="168" t="s">
        <v>97</v>
      </c>
      <c r="N316" s="455" t="s">
        <v>1553</v>
      </c>
      <c r="O316" s="455" t="s">
        <v>612</v>
      </c>
      <c r="P316" s="455">
        <v>437472</v>
      </c>
      <c r="Q316" s="455">
        <v>328104</v>
      </c>
      <c r="R316" s="523">
        <v>51617</v>
      </c>
      <c r="S316" s="523"/>
      <c r="Z316" s="168" t="s">
        <v>97</v>
      </c>
      <c r="AA316" s="455" t="s">
        <v>1553</v>
      </c>
      <c r="AB316" s="455" t="s">
        <v>612</v>
      </c>
      <c r="AC316" s="455">
        <v>437472</v>
      </c>
      <c r="AD316" s="455">
        <v>328104</v>
      </c>
      <c r="AE316" s="168">
        <v>51616</v>
      </c>
      <c r="AF316" s="523">
        <v>51617</v>
      </c>
    </row>
    <row r="317" spans="1:32">
      <c r="A317" s="455" t="s">
        <v>1553</v>
      </c>
      <c r="B317" s="455" t="s">
        <v>633</v>
      </c>
      <c r="D317" s="456">
        <v>9211.39</v>
      </c>
      <c r="E317" s="456">
        <v>16223</v>
      </c>
      <c r="F317" s="168">
        <v>0</v>
      </c>
      <c r="G317" s="168">
        <v>0</v>
      </c>
      <c r="M317" s="168" t="s">
        <v>98</v>
      </c>
      <c r="N317" s="455" t="s">
        <v>1553</v>
      </c>
      <c r="O317" s="455" t="s">
        <v>99</v>
      </c>
      <c r="P317" s="455">
        <v>3082016</v>
      </c>
      <c r="Q317" s="455">
        <v>3082016</v>
      </c>
      <c r="R317" s="523">
        <v>2224963</v>
      </c>
      <c r="S317" s="523"/>
      <c r="Z317" s="168" t="s">
        <v>98</v>
      </c>
      <c r="AA317" s="455" t="s">
        <v>1553</v>
      </c>
      <c r="AB317" s="455" t="s">
        <v>99</v>
      </c>
      <c r="AC317" s="455">
        <v>3082016</v>
      </c>
      <c r="AD317" s="455">
        <v>3082016</v>
      </c>
      <c r="AE317" s="168">
        <v>2224962.79</v>
      </c>
      <c r="AF317" s="523">
        <v>2224963</v>
      </c>
    </row>
    <row r="318" spans="1:32">
      <c r="A318" s="455" t="s">
        <v>1553</v>
      </c>
      <c r="B318" s="455" t="s">
        <v>253</v>
      </c>
      <c r="D318" s="456">
        <v>55312.03</v>
      </c>
      <c r="E318" s="456">
        <v>16223</v>
      </c>
      <c r="F318" s="168">
        <v>0</v>
      </c>
      <c r="G318" s="168">
        <v>0</v>
      </c>
      <c r="M318" s="168" t="s">
        <v>100</v>
      </c>
      <c r="N318" s="455" t="s">
        <v>1553</v>
      </c>
      <c r="O318" s="455" t="s">
        <v>616</v>
      </c>
      <c r="P318" s="455">
        <v>2500</v>
      </c>
      <c r="Q318" s="455">
        <v>596</v>
      </c>
      <c r="R318" s="523">
        <v>594</v>
      </c>
      <c r="S318" s="523"/>
      <c r="Z318" s="168" t="s">
        <v>100</v>
      </c>
      <c r="AA318" s="455" t="s">
        <v>1553</v>
      </c>
      <c r="AB318" s="455" t="s">
        <v>616</v>
      </c>
      <c r="AC318" s="455">
        <v>2500</v>
      </c>
      <c r="AD318" s="455">
        <v>596</v>
      </c>
      <c r="AE318" s="168">
        <v>593.46</v>
      </c>
      <c r="AF318" s="523">
        <v>594</v>
      </c>
    </row>
    <row r="319" spans="1:32">
      <c r="A319" s="455" t="s">
        <v>1553</v>
      </c>
      <c r="B319" s="455" t="s">
        <v>1525</v>
      </c>
      <c r="D319" s="456">
        <v>0</v>
      </c>
      <c r="E319" s="456">
        <v>0</v>
      </c>
      <c r="F319" s="168">
        <v>0</v>
      </c>
      <c r="G319" s="168">
        <v>0</v>
      </c>
      <c r="M319" s="168" t="s">
        <v>101</v>
      </c>
      <c r="N319" s="455" t="s">
        <v>1553</v>
      </c>
      <c r="O319" s="455" t="s">
        <v>620</v>
      </c>
      <c r="P319" s="455">
        <v>20026</v>
      </c>
      <c r="Q319" s="455">
        <v>37883</v>
      </c>
      <c r="R319" s="523">
        <v>27740</v>
      </c>
      <c r="S319" s="523"/>
      <c r="Z319" s="168" t="s">
        <v>101</v>
      </c>
      <c r="AA319" s="455" t="s">
        <v>1553</v>
      </c>
      <c r="AB319" s="455" t="s">
        <v>620</v>
      </c>
      <c r="AC319" s="455">
        <v>20026</v>
      </c>
      <c r="AD319" s="455">
        <v>37883</v>
      </c>
      <c r="AE319" s="168">
        <v>27739</v>
      </c>
      <c r="AF319" s="523">
        <v>27740</v>
      </c>
    </row>
    <row r="320" spans="1:32">
      <c r="A320" s="455" t="s">
        <v>1553</v>
      </c>
      <c r="B320" s="455" t="s">
        <v>50</v>
      </c>
      <c r="D320" s="456">
        <v>0</v>
      </c>
      <c r="E320" s="456">
        <v>19200</v>
      </c>
      <c r="F320" s="168">
        <v>0</v>
      </c>
      <c r="G320" s="168">
        <v>0</v>
      </c>
      <c r="M320" s="168" t="s">
        <v>102</v>
      </c>
      <c r="N320" s="455" t="s">
        <v>1553</v>
      </c>
      <c r="O320" s="455" t="s">
        <v>2322</v>
      </c>
      <c r="P320" s="455">
        <v>28573</v>
      </c>
      <c r="Q320" s="455">
        <v>21430</v>
      </c>
      <c r="R320" s="523">
        <v>354</v>
      </c>
      <c r="S320" s="523"/>
      <c r="Z320" s="168" t="s">
        <v>102</v>
      </c>
      <c r="AA320" s="455" t="s">
        <v>1553</v>
      </c>
      <c r="AB320" s="455" t="s">
        <v>2322</v>
      </c>
      <c r="AC320" s="455">
        <v>28573</v>
      </c>
      <c r="AD320" s="455">
        <v>21430</v>
      </c>
      <c r="AE320" s="168">
        <v>353.91</v>
      </c>
      <c r="AF320" s="523">
        <v>354</v>
      </c>
    </row>
    <row r="321" spans="1:32">
      <c r="A321" s="455" t="s">
        <v>1553</v>
      </c>
      <c r="B321" s="455" t="s">
        <v>52</v>
      </c>
      <c r="D321" s="456">
        <v>0</v>
      </c>
      <c r="E321" s="456">
        <v>9330</v>
      </c>
      <c r="F321" s="168">
        <v>0</v>
      </c>
      <c r="G321" s="168">
        <v>0</v>
      </c>
      <c r="M321" s="168" t="s">
        <v>103</v>
      </c>
      <c r="N321" s="455" t="s">
        <v>1553</v>
      </c>
      <c r="O321" s="455" t="s">
        <v>631</v>
      </c>
      <c r="P321" s="455">
        <v>1006</v>
      </c>
      <c r="Q321" s="455">
        <v>350</v>
      </c>
      <c r="R321" s="523">
        <v>4624</v>
      </c>
      <c r="S321" s="523"/>
      <c r="Z321" s="168" t="s">
        <v>103</v>
      </c>
      <c r="AA321" s="455" t="s">
        <v>1553</v>
      </c>
      <c r="AB321" s="455" t="s">
        <v>631</v>
      </c>
      <c r="AC321" s="455">
        <v>1006</v>
      </c>
      <c r="AD321" s="455">
        <v>350</v>
      </c>
      <c r="AE321" s="168">
        <v>4624.3999999999996</v>
      </c>
      <c r="AF321" s="523">
        <v>4624</v>
      </c>
    </row>
    <row r="322" spans="1:32">
      <c r="A322" s="455" t="s">
        <v>1553</v>
      </c>
      <c r="B322" s="455" t="s">
        <v>52</v>
      </c>
      <c r="D322" s="456">
        <v>4678.1400000000003</v>
      </c>
      <c r="E322" s="456">
        <v>1581439</v>
      </c>
      <c r="F322" s="168">
        <v>0</v>
      </c>
      <c r="G322" s="168">
        <v>0</v>
      </c>
      <c r="M322" s="168" t="s">
        <v>104</v>
      </c>
      <c r="N322" s="455" t="s">
        <v>1553</v>
      </c>
      <c r="O322" s="455" t="s">
        <v>633</v>
      </c>
      <c r="P322" s="455">
        <v>8221</v>
      </c>
      <c r="Q322" s="455">
        <v>23204</v>
      </c>
      <c r="R322" s="523">
        <v>16261</v>
      </c>
      <c r="S322" s="523"/>
      <c r="Z322" s="168" t="s">
        <v>104</v>
      </c>
      <c r="AA322" s="455" t="s">
        <v>1553</v>
      </c>
      <c r="AB322" s="455" t="s">
        <v>633</v>
      </c>
      <c r="AC322" s="455">
        <v>8221</v>
      </c>
      <c r="AD322" s="455">
        <v>23204</v>
      </c>
      <c r="AE322" s="168">
        <v>16260.74</v>
      </c>
      <c r="AF322" s="523">
        <v>16261</v>
      </c>
    </row>
    <row r="323" spans="1:32">
      <c r="A323" s="455" t="s">
        <v>1553</v>
      </c>
      <c r="B323" s="455" t="s">
        <v>261</v>
      </c>
      <c r="D323" s="456">
        <v>-300544.13</v>
      </c>
      <c r="E323" s="456">
        <v>463558</v>
      </c>
      <c r="F323" s="168">
        <v>0</v>
      </c>
      <c r="G323" s="168">
        <v>0</v>
      </c>
      <c r="M323" s="168" t="s">
        <v>105</v>
      </c>
      <c r="N323" s="455" t="s">
        <v>1553</v>
      </c>
      <c r="O323" s="455" t="s">
        <v>50</v>
      </c>
      <c r="P323" s="455">
        <v>307803</v>
      </c>
      <c r="Q323" s="455">
        <v>425034</v>
      </c>
      <c r="R323" s="523">
        <v>577873</v>
      </c>
      <c r="S323" s="523"/>
      <c r="Z323" s="168" t="s">
        <v>105</v>
      </c>
      <c r="AA323" s="455" t="s">
        <v>1553</v>
      </c>
      <c r="AB323" s="455" t="s">
        <v>50</v>
      </c>
      <c r="AC323" s="455">
        <v>307803</v>
      </c>
      <c r="AD323" s="455">
        <v>425034</v>
      </c>
      <c r="AE323" s="168">
        <v>577873.99</v>
      </c>
      <c r="AF323" s="523">
        <v>577873</v>
      </c>
    </row>
    <row r="324" spans="1:32">
      <c r="A324" s="455" t="s">
        <v>1553</v>
      </c>
      <c r="B324" s="455" t="s">
        <v>565</v>
      </c>
      <c r="D324" s="456">
        <v>198876.14</v>
      </c>
      <c r="E324" s="456">
        <v>0</v>
      </c>
      <c r="F324" s="168">
        <v>0</v>
      </c>
      <c r="G324" s="168">
        <v>0</v>
      </c>
      <c r="M324" s="168" t="s">
        <v>106</v>
      </c>
      <c r="N324" s="455" t="s">
        <v>1553</v>
      </c>
      <c r="O324" s="455" t="s">
        <v>52</v>
      </c>
      <c r="P324" s="455">
        <v>4897</v>
      </c>
      <c r="Q324" s="455">
        <v>19895</v>
      </c>
      <c r="R324" s="523">
        <v>3588</v>
      </c>
      <c r="S324" s="523"/>
      <c r="Z324" s="168" t="s">
        <v>106</v>
      </c>
      <c r="AA324" s="455" t="s">
        <v>1553</v>
      </c>
      <c r="AB324" s="455" t="s">
        <v>52</v>
      </c>
      <c r="AC324" s="455">
        <v>4897</v>
      </c>
      <c r="AD324" s="455">
        <v>19895</v>
      </c>
      <c r="AE324" s="168">
        <v>3587.85</v>
      </c>
      <c r="AF324" s="523">
        <v>3588</v>
      </c>
    </row>
    <row r="325" spans="1:32">
      <c r="A325" s="455" t="s">
        <v>1553</v>
      </c>
      <c r="B325" s="455" t="s">
        <v>565</v>
      </c>
      <c r="D325" s="456">
        <v>985502.46</v>
      </c>
      <c r="E325" s="456">
        <v>0</v>
      </c>
      <c r="F325" s="168">
        <v>0</v>
      </c>
      <c r="G325" s="168">
        <v>0</v>
      </c>
      <c r="M325" s="168" t="s">
        <v>107</v>
      </c>
      <c r="N325" s="455" t="s">
        <v>1553</v>
      </c>
      <c r="O325" s="455" t="s">
        <v>52</v>
      </c>
      <c r="P325" s="455">
        <v>35990</v>
      </c>
      <c r="Q325" s="455">
        <v>26993</v>
      </c>
      <c r="R325" s="523">
        <v>111929</v>
      </c>
      <c r="S325" s="523"/>
      <c r="Z325" s="168" t="s">
        <v>107</v>
      </c>
      <c r="AA325" s="455" t="s">
        <v>1553</v>
      </c>
      <c r="AB325" s="455" t="s">
        <v>52</v>
      </c>
      <c r="AC325" s="455">
        <v>35990</v>
      </c>
      <c r="AD325" s="455">
        <v>26993</v>
      </c>
      <c r="AE325" s="168">
        <v>111929.72</v>
      </c>
      <c r="AF325" s="523">
        <v>111929</v>
      </c>
    </row>
    <row r="326" spans="1:32">
      <c r="A326" s="455" t="s">
        <v>1553</v>
      </c>
      <c r="B326" s="455" t="s">
        <v>854</v>
      </c>
      <c r="D326" s="456">
        <v>4659.17</v>
      </c>
      <c r="E326" s="456">
        <v>154500</v>
      </c>
      <c r="F326" s="168">
        <v>0</v>
      </c>
      <c r="G326" s="168">
        <v>0</v>
      </c>
      <c r="M326" s="168" t="s">
        <v>119</v>
      </c>
      <c r="N326" s="455" t="s">
        <v>1553</v>
      </c>
      <c r="O326" s="455" t="s">
        <v>612</v>
      </c>
      <c r="P326" s="455"/>
      <c r="Q326" s="455"/>
      <c r="R326" s="523">
        <v>0</v>
      </c>
      <c r="S326" s="523"/>
      <c r="Z326" s="168" t="s">
        <v>119</v>
      </c>
      <c r="AA326" s="455" t="s">
        <v>1553</v>
      </c>
      <c r="AB326" s="455" t="s">
        <v>612</v>
      </c>
      <c r="AC326" s="455"/>
      <c r="AD326" s="455"/>
      <c r="AE326" s="168">
        <v>0</v>
      </c>
      <c r="AF326" s="523">
        <v>0</v>
      </c>
    </row>
    <row r="327" spans="1:32">
      <c r="A327" s="455" t="s">
        <v>1553</v>
      </c>
      <c r="B327" s="455" t="s">
        <v>263</v>
      </c>
      <c r="D327" s="456">
        <v>-2302981.2000000002</v>
      </c>
      <c r="E327" s="456">
        <v>500386</v>
      </c>
      <c r="F327" s="168">
        <v>0</v>
      </c>
      <c r="G327" s="168">
        <v>0</v>
      </c>
      <c r="M327" s="168" t="s">
        <v>120</v>
      </c>
      <c r="N327" s="455" t="s">
        <v>1553</v>
      </c>
      <c r="O327" s="455" t="s">
        <v>99</v>
      </c>
      <c r="P327" s="455"/>
      <c r="Q327" s="455"/>
      <c r="R327" s="523">
        <v>0</v>
      </c>
      <c r="S327" s="523"/>
      <c r="Z327" s="168" t="s">
        <v>120</v>
      </c>
      <c r="AA327" s="455" t="s">
        <v>1553</v>
      </c>
      <c r="AB327" s="455" t="s">
        <v>99</v>
      </c>
      <c r="AC327" s="455"/>
      <c r="AD327" s="455"/>
      <c r="AE327" s="168">
        <v>0</v>
      </c>
      <c r="AF327" s="523">
        <v>0</v>
      </c>
    </row>
    <row r="328" spans="1:32">
      <c r="A328" s="455" t="s">
        <v>1553</v>
      </c>
      <c r="B328" s="455" t="s">
        <v>1535</v>
      </c>
      <c r="D328" s="456">
        <v>1234738.18</v>
      </c>
      <c r="E328" s="456">
        <v>1225000</v>
      </c>
      <c r="F328" s="168">
        <v>0</v>
      </c>
      <c r="G328" s="168">
        <v>0</v>
      </c>
      <c r="M328" s="168" t="s">
        <v>121</v>
      </c>
      <c r="N328" s="455" t="s">
        <v>1553</v>
      </c>
      <c r="O328" s="455" t="s">
        <v>628</v>
      </c>
      <c r="P328" s="455"/>
      <c r="Q328" s="455"/>
      <c r="R328" s="523">
        <v>0</v>
      </c>
      <c r="S328" s="523"/>
      <c r="Z328" s="168" t="s">
        <v>121</v>
      </c>
      <c r="AA328" s="455" t="s">
        <v>1553</v>
      </c>
      <c r="AB328" s="455" t="s">
        <v>628</v>
      </c>
      <c r="AC328" s="455"/>
      <c r="AD328" s="455"/>
      <c r="AE328" s="168">
        <v>0</v>
      </c>
      <c r="AF328" s="523">
        <v>0</v>
      </c>
    </row>
    <row r="329" spans="1:32">
      <c r="A329" s="455" t="s">
        <v>1553</v>
      </c>
      <c r="B329" s="455" t="s">
        <v>2338</v>
      </c>
      <c r="D329" s="456">
        <v>569167.57999999996</v>
      </c>
      <c r="E329" s="456">
        <v>72000</v>
      </c>
      <c r="F329" s="168">
        <v>0</v>
      </c>
      <c r="G329" s="168">
        <v>0</v>
      </c>
      <c r="M329" s="168" t="s">
        <v>122</v>
      </c>
      <c r="N329" s="455" t="s">
        <v>1553</v>
      </c>
      <c r="O329" s="455" t="s">
        <v>631</v>
      </c>
      <c r="P329" s="455"/>
      <c r="Q329" s="455"/>
      <c r="R329" s="523">
        <v>0</v>
      </c>
      <c r="S329" s="523"/>
      <c r="Z329" s="168" t="s">
        <v>122</v>
      </c>
      <c r="AA329" s="455" t="s">
        <v>1553</v>
      </c>
      <c r="AB329" s="455" t="s">
        <v>631</v>
      </c>
      <c r="AC329" s="455"/>
      <c r="AD329" s="455"/>
      <c r="AE329" s="168">
        <v>0</v>
      </c>
      <c r="AF329" s="523">
        <v>0</v>
      </c>
    </row>
    <row r="330" spans="1:32">
      <c r="A330" s="455"/>
      <c r="B330" s="455" t="s">
        <v>575</v>
      </c>
      <c r="D330" s="456">
        <v>100283.87</v>
      </c>
      <c r="E330" s="456">
        <v>473034</v>
      </c>
      <c r="F330" s="168">
        <v>0</v>
      </c>
      <c r="G330" s="168">
        <v>0</v>
      </c>
      <c r="M330" s="168" t="s">
        <v>123</v>
      </c>
      <c r="N330" s="455" t="s">
        <v>1553</v>
      </c>
      <c r="O330" s="455" t="s">
        <v>633</v>
      </c>
      <c r="P330" s="455"/>
      <c r="Q330" s="455"/>
      <c r="R330" s="523">
        <v>0</v>
      </c>
      <c r="S330" s="523"/>
      <c r="Z330" s="168" t="s">
        <v>123</v>
      </c>
      <c r="AA330" s="455" t="s">
        <v>1553</v>
      </c>
      <c r="AB330" s="455" t="s">
        <v>633</v>
      </c>
      <c r="AC330" s="455"/>
      <c r="AD330" s="455"/>
      <c r="AE330" s="168">
        <v>0</v>
      </c>
      <c r="AF330" s="523">
        <v>0</v>
      </c>
    </row>
    <row r="331" spans="1:32">
      <c r="A331" s="455"/>
      <c r="B331" s="455" t="s">
        <v>1117</v>
      </c>
      <c r="D331" s="456">
        <v>0</v>
      </c>
      <c r="E331" s="456">
        <v>742000</v>
      </c>
      <c r="F331" s="168">
        <v>0</v>
      </c>
      <c r="G331" s="168">
        <v>0</v>
      </c>
      <c r="M331" s="168" t="s">
        <v>124</v>
      </c>
      <c r="N331" s="455" t="s">
        <v>1553</v>
      </c>
      <c r="O331" s="455" t="s">
        <v>50</v>
      </c>
      <c r="P331" s="455"/>
      <c r="Q331" s="455"/>
      <c r="R331" s="523">
        <v>0</v>
      </c>
      <c r="S331" s="523"/>
      <c r="Z331" s="168" t="s">
        <v>124</v>
      </c>
      <c r="AA331" s="455" t="s">
        <v>1553</v>
      </c>
      <c r="AB331" s="455" t="s">
        <v>50</v>
      </c>
      <c r="AC331" s="455"/>
      <c r="AD331" s="455"/>
      <c r="AE331" s="168">
        <v>0</v>
      </c>
      <c r="AF331" s="523">
        <v>0</v>
      </c>
    </row>
    <row r="332" spans="1:32">
      <c r="A332" s="455"/>
      <c r="B332" s="455" t="s">
        <v>1117</v>
      </c>
      <c r="D332" s="456">
        <v>0</v>
      </c>
      <c r="E332" s="456">
        <v>360000</v>
      </c>
      <c r="F332" s="168">
        <v>0</v>
      </c>
      <c r="G332" s="168">
        <v>0</v>
      </c>
      <c r="M332" s="168" t="s">
        <v>125</v>
      </c>
      <c r="N332" s="455" t="s">
        <v>1553</v>
      </c>
      <c r="O332" s="455" t="s">
        <v>52</v>
      </c>
      <c r="P332" s="455"/>
      <c r="Q332" s="455"/>
      <c r="R332" s="523">
        <v>0</v>
      </c>
      <c r="S332" s="523"/>
      <c r="Z332" s="168" t="s">
        <v>125</v>
      </c>
      <c r="AA332" s="455" t="s">
        <v>1553</v>
      </c>
      <c r="AB332" s="455" t="s">
        <v>52</v>
      </c>
      <c r="AC332" s="455"/>
      <c r="AD332" s="455"/>
      <c r="AE332" s="168">
        <v>0</v>
      </c>
      <c r="AF332" s="523">
        <v>0</v>
      </c>
    </row>
    <row r="333" spans="1:32">
      <c r="A333" s="455"/>
      <c r="B333" s="455" t="s">
        <v>1117</v>
      </c>
      <c r="D333" s="456">
        <v>0</v>
      </c>
      <c r="E333" s="456">
        <v>-360000</v>
      </c>
      <c r="F333" s="168">
        <v>0</v>
      </c>
      <c r="G333" s="168">
        <v>0</v>
      </c>
      <c r="M333" s="168" t="s">
        <v>126</v>
      </c>
      <c r="N333" s="455" t="s">
        <v>1553</v>
      </c>
      <c r="O333" s="455" t="s">
        <v>52</v>
      </c>
      <c r="P333" s="455"/>
      <c r="Q333" s="455"/>
      <c r="R333" s="523">
        <v>0</v>
      </c>
      <c r="S333" s="523"/>
      <c r="Z333" s="168" t="s">
        <v>126</v>
      </c>
      <c r="AA333" s="455" t="s">
        <v>1553</v>
      </c>
      <c r="AB333" s="455" t="s">
        <v>52</v>
      </c>
      <c r="AC333" s="455"/>
      <c r="AD333" s="455"/>
      <c r="AE333" s="168">
        <v>0</v>
      </c>
      <c r="AF333" s="523">
        <v>0</v>
      </c>
    </row>
    <row r="334" spans="1:32" ht="15.75" thickBot="1">
      <c r="A334" s="455"/>
      <c r="B334" s="455" t="s">
        <v>1117</v>
      </c>
      <c r="D334" s="456">
        <v>0</v>
      </c>
      <c r="E334" s="456">
        <v>-742000</v>
      </c>
      <c r="F334" s="168">
        <v>0</v>
      </c>
      <c r="G334" s="168">
        <v>0</v>
      </c>
      <c r="M334" s="561" t="s">
        <v>3717</v>
      </c>
      <c r="N334" s="455" t="s">
        <v>1553</v>
      </c>
      <c r="O334" s="455" t="s">
        <v>610</v>
      </c>
      <c r="P334" s="455">
        <v>1802</v>
      </c>
      <c r="Q334" s="455">
        <v>300</v>
      </c>
      <c r="R334" s="523"/>
      <c r="S334" s="523"/>
      <c r="Z334" s="561" t="s">
        <v>3717</v>
      </c>
      <c r="AA334" s="455"/>
      <c r="AB334" s="455"/>
      <c r="AC334" s="455">
        <v>1802</v>
      </c>
      <c r="AD334" s="455">
        <v>300</v>
      </c>
      <c r="AF334" s="523"/>
    </row>
    <row r="335" spans="1:32" ht="16.5" thickTop="1" thickBot="1">
      <c r="A335" s="555"/>
      <c r="B335" s="555"/>
      <c r="C335" s="556"/>
      <c r="D335" s="558">
        <f>SUM(D283:D334)</f>
        <v>9771318.3899999987</v>
      </c>
      <c r="E335" s="558">
        <f>SUM(E283:E334)</f>
        <v>18357642</v>
      </c>
      <c r="F335" s="558">
        <f>SUM(F283:F334)</f>
        <v>0</v>
      </c>
      <c r="G335" s="558">
        <f>SUM(G283:G334)</f>
        <v>0</v>
      </c>
      <c r="M335" s="168" t="s">
        <v>131</v>
      </c>
      <c r="N335" s="455" t="s">
        <v>1553</v>
      </c>
      <c r="O335" s="455" t="s">
        <v>612</v>
      </c>
      <c r="P335" s="455">
        <v>27622</v>
      </c>
      <c r="Q335" s="455">
        <v>4604</v>
      </c>
      <c r="R335" s="523">
        <v>0</v>
      </c>
      <c r="S335" s="523"/>
      <c r="Z335" s="168" t="s">
        <v>131</v>
      </c>
      <c r="AA335" s="455" t="s">
        <v>1553</v>
      </c>
      <c r="AB335" s="455" t="s">
        <v>612</v>
      </c>
      <c r="AC335" s="455">
        <v>27622</v>
      </c>
      <c r="AD335" s="455">
        <v>4604</v>
      </c>
      <c r="AE335" s="168">
        <v>0</v>
      </c>
      <c r="AF335" s="523">
        <v>0</v>
      </c>
    </row>
    <row r="336" spans="1:32" ht="15.75" thickTop="1">
      <c r="A336" s="455"/>
      <c r="M336" s="168" t="s">
        <v>1653</v>
      </c>
      <c r="N336" s="455" t="s">
        <v>1553</v>
      </c>
      <c r="O336" s="455" t="s">
        <v>99</v>
      </c>
      <c r="P336" s="455">
        <v>520436</v>
      </c>
      <c r="Q336" s="455">
        <v>86739</v>
      </c>
      <c r="R336" s="523">
        <v>0</v>
      </c>
      <c r="S336" s="523"/>
      <c r="Z336" s="168" t="s">
        <v>1653</v>
      </c>
      <c r="AA336" s="455" t="s">
        <v>1553</v>
      </c>
      <c r="AB336" s="455" t="s">
        <v>99</v>
      </c>
      <c r="AC336" s="455">
        <v>520436</v>
      </c>
      <c r="AD336" s="455">
        <v>86739</v>
      </c>
      <c r="AE336" s="168">
        <v>0</v>
      </c>
      <c r="AF336" s="523">
        <v>0</v>
      </c>
    </row>
    <row r="337" spans="1:32">
      <c r="A337" s="455"/>
      <c r="M337" s="168" t="s">
        <v>1654</v>
      </c>
      <c r="N337" s="455" t="s">
        <v>1553</v>
      </c>
      <c r="O337" s="455" t="s">
        <v>616</v>
      </c>
      <c r="P337" s="455">
        <v>5030</v>
      </c>
      <c r="Q337" s="455">
        <v>838</v>
      </c>
      <c r="R337" s="523">
        <v>0</v>
      </c>
      <c r="S337" s="523"/>
      <c r="Z337" s="168" t="s">
        <v>1654</v>
      </c>
      <c r="AA337" s="455" t="s">
        <v>1553</v>
      </c>
      <c r="AB337" s="455" t="s">
        <v>616</v>
      </c>
      <c r="AC337" s="455">
        <v>5030</v>
      </c>
      <c r="AD337" s="455">
        <v>838</v>
      </c>
      <c r="AE337" s="168">
        <v>0</v>
      </c>
      <c r="AF337" s="523">
        <v>0</v>
      </c>
    </row>
    <row r="338" spans="1:32">
      <c r="A338" s="455" t="s">
        <v>2346</v>
      </c>
      <c r="D338" s="456">
        <v>0</v>
      </c>
      <c r="E338" s="456">
        <v>0</v>
      </c>
      <c r="M338" s="168" t="s">
        <v>1655</v>
      </c>
      <c r="N338" s="455" t="s">
        <v>1553</v>
      </c>
      <c r="O338" s="455" t="s">
        <v>631</v>
      </c>
      <c r="P338" s="455">
        <v>8046</v>
      </c>
      <c r="Q338" s="455">
        <v>1341</v>
      </c>
      <c r="R338" s="523">
        <v>0</v>
      </c>
      <c r="S338" s="523"/>
      <c r="Z338" s="168" t="s">
        <v>1655</v>
      </c>
      <c r="AA338" s="455" t="s">
        <v>1553</v>
      </c>
      <c r="AB338" s="455" t="s">
        <v>631</v>
      </c>
      <c r="AC338" s="455">
        <v>8046</v>
      </c>
      <c r="AD338" s="455">
        <v>1341</v>
      </c>
      <c r="AE338" s="168">
        <v>0</v>
      </c>
      <c r="AF338" s="523">
        <v>0</v>
      </c>
    </row>
    <row r="339" spans="1:32">
      <c r="A339" s="455" t="s">
        <v>2346</v>
      </c>
      <c r="D339" s="456">
        <v>0</v>
      </c>
      <c r="E339" s="456">
        <v>0</v>
      </c>
      <c r="M339" s="168" t="s">
        <v>1656</v>
      </c>
      <c r="N339" s="455" t="s">
        <v>1553</v>
      </c>
      <c r="O339" s="455" t="s">
        <v>633</v>
      </c>
      <c r="P339" s="455">
        <v>30174</v>
      </c>
      <c r="Q339" s="455">
        <v>5029</v>
      </c>
      <c r="R339" s="523">
        <v>0</v>
      </c>
      <c r="S339" s="523"/>
      <c r="Z339" s="168" t="s">
        <v>1656</v>
      </c>
      <c r="AA339" s="455" t="s">
        <v>1553</v>
      </c>
      <c r="AB339" s="455" t="s">
        <v>633</v>
      </c>
      <c r="AC339" s="455">
        <v>30174</v>
      </c>
      <c r="AD339" s="455">
        <v>5029</v>
      </c>
      <c r="AE339" s="168">
        <v>0</v>
      </c>
      <c r="AF339" s="523">
        <v>0</v>
      </c>
    </row>
    <row r="340" spans="1:32">
      <c r="A340" s="455" t="s">
        <v>2350</v>
      </c>
      <c r="D340" s="456">
        <v>0</v>
      </c>
      <c r="E340" s="456">
        <v>0</v>
      </c>
      <c r="M340" s="168" t="s">
        <v>1657</v>
      </c>
      <c r="N340" s="455" t="s">
        <v>1553</v>
      </c>
      <c r="O340" s="455" t="s">
        <v>50</v>
      </c>
      <c r="P340" s="455">
        <v>55319</v>
      </c>
      <c r="Q340" s="455">
        <v>9220</v>
      </c>
      <c r="R340" s="523">
        <v>0</v>
      </c>
      <c r="S340" s="523"/>
      <c r="Z340" s="168" t="s">
        <v>1657</v>
      </c>
      <c r="AA340" s="455" t="s">
        <v>1553</v>
      </c>
      <c r="AB340" s="455" t="s">
        <v>50</v>
      </c>
      <c r="AC340" s="455">
        <v>55319</v>
      </c>
      <c r="AD340" s="455">
        <v>9220</v>
      </c>
      <c r="AE340" s="168">
        <v>0</v>
      </c>
      <c r="AF340" s="523">
        <v>0</v>
      </c>
    </row>
    <row r="341" spans="1:32">
      <c r="A341" s="455" t="s">
        <v>2344</v>
      </c>
      <c r="D341" s="456">
        <v>0</v>
      </c>
      <c r="E341" s="456">
        <v>0</v>
      </c>
      <c r="M341" s="168" t="s">
        <v>1658</v>
      </c>
      <c r="N341" s="455" t="s">
        <v>1553</v>
      </c>
      <c r="O341" s="455" t="s">
        <v>52</v>
      </c>
      <c r="P341" s="455">
        <v>10058</v>
      </c>
      <c r="Q341" s="455">
        <v>1676</v>
      </c>
      <c r="R341" s="523">
        <v>0</v>
      </c>
      <c r="S341" s="523"/>
      <c r="Z341" s="168" t="s">
        <v>1658</v>
      </c>
      <c r="AA341" s="455" t="s">
        <v>1553</v>
      </c>
      <c r="AB341" s="455" t="s">
        <v>52</v>
      </c>
      <c r="AC341" s="455">
        <v>10058</v>
      </c>
      <c r="AD341" s="455">
        <v>1676</v>
      </c>
      <c r="AE341" s="168">
        <v>0</v>
      </c>
      <c r="AF341" s="523">
        <v>0</v>
      </c>
    </row>
    <row r="342" spans="1:32">
      <c r="A342" s="455" t="s">
        <v>2353</v>
      </c>
      <c r="D342" s="456">
        <v>0</v>
      </c>
      <c r="E342" s="456">
        <v>0</v>
      </c>
      <c r="M342" s="168" t="s">
        <v>1659</v>
      </c>
      <c r="N342" s="455" t="s">
        <v>1553</v>
      </c>
      <c r="O342" s="455" t="s">
        <v>52</v>
      </c>
      <c r="P342" s="455">
        <v>35154</v>
      </c>
      <c r="Q342" s="455">
        <v>5859</v>
      </c>
      <c r="R342" s="523">
        <v>0</v>
      </c>
      <c r="S342" s="523"/>
      <c r="Z342" s="168" t="s">
        <v>1659</v>
      </c>
      <c r="AA342" s="455" t="s">
        <v>1553</v>
      </c>
      <c r="AB342" s="455" t="s">
        <v>52</v>
      </c>
      <c r="AC342" s="455">
        <v>35154</v>
      </c>
      <c r="AD342" s="455">
        <v>5859</v>
      </c>
      <c r="AE342" s="168">
        <v>0</v>
      </c>
      <c r="AF342" s="523">
        <v>0</v>
      </c>
    </row>
    <row r="343" spans="1:32">
      <c r="A343" s="455" t="s">
        <v>1709</v>
      </c>
      <c r="D343" s="456">
        <v>0</v>
      </c>
      <c r="E343" s="456">
        <v>0</v>
      </c>
      <c r="M343" s="168" t="s">
        <v>1662</v>
      </c>
      <c r="N343" s="455" t="s">
        <v>1553</v>
      </c>
      <c r="O343" s="455" t="s">
        <v>592</v>
      </c>
      <c r="P343" s="455"/>
      <c r="Q343" s="455"/>
      <c r="R343" s="523">
        <v>0</v>
      </c>
      <c r="S343" s="523"/>
      <c r="Z343" s="168" t="s">
        <v>1662</v>
      </c>
      <c r="AA343" s="455" t="s">
        <v>1553</v>
      </c>
      <c r="AB343" s="455" t="s">
        <v>592</v>
      </c>
      <c r="AC343" s="455"/>
      <c r="AD343" s="455"/>
      <c r="AE343" s="168">
        <v>0</v>
      </c>
      <c r="AF343" s="523">
        <v>0</v>
      </c>
    </row>
    <row r="344" spans="1:32">
      <c r="A344" s="455" t="s">
        <v>864</v>
      </c>
      <c r="D344" s="456">
        <v>152212</v>
      </c>
      <c r="E344" s="456">
        <v>0</v>
      </c>
      <c r="M344" s="168" t="s">
        <v>1663</v>
      </c>
      <c r="N344" s="455" t="s">
        <v>1553</v>
      </c>
      <c r="O344" s="455" t="s">
        <v>610</v>
      </c>
      <c r="P344" s="455">
        <v>12150</v>
      </c>
      <c r="Q344" s="455">
        <v>4840</v>
      </c>
      <c r="R344" s="523">
        <v>7519</v>
      </c>
      <c r="S344" s="523"/>
      <c r="Z344" s="168" t="s">
        <v>1663</v>
      </c>
      <c r="AA344" s="455" t="s">
        <v>1553</v>
      </c>
      <c r="AB344" s="455" t="s">
        <v>610</v>
      </c>
      <c r="AC344" s="455">
        <v>12150</v>
      </c>
      <c r="AD344" s="455">
        <v>4840</v>
      </c>
      <c r="AE344" s="168">
        <v>7519</v>
      </c>
      <c r="AF344" s="523">
        <v>7519</v>
      </c>
    </row>
    <row r="345" spans="1:32">
      <c r="A345" s="455" t="s">
        <v>2357</v>
      </c>
      <c r="D345" s="456">
        <v>0</v>
      </c>
      <c r="E345" s="456">
        <v>0</v>
      </c>
      <c r="M345" s="168" t="s">
        <v>1664</v>
      </c>
      <c r="N345" s="455" t="s">
        <v>1553</v>
      </c>
      <c r="O345" s="455" t="s">
        <v>612</v>
      </c>
      <c r="P345" s="455">
        <v>7720</v>
      </c>
      <c r="Q345" s="455">
        <v>4256</v>
      </c>
      <c r="R345" s="523">
        <v>0</v>
      </c>
      <c r="S345" s="523"/>
      <c r="Z345" s="168" t="s">
        <v>1664</v>
      </c>
      <c r="AA345" s="455" t="s">
        <v>1553</v>
      </c>
      <c r="AB345" s="455" t="s">
        <v>612</v>
      </c>
      <c r="AC345" s="455">
        <v>7720</v>
      </c>
      <c r="AD345" s="455">
        <v>4256</v>
      </c>
      <c r="AE345" s="168">
        <v>0</v>
      </c>
      <c r="AF345" s="523">
        <v>0</v>
      </c>
    </row>
    <row r="346" spans="1:32">
      <c r="A346" s="455" t="s">
        <v>603</v>
      </c>
      <c r="D346" s="456">
        <v>0</v>
      </c>
      <c r="E346" s="456">
        <v>0</v>
      </c>
      <c r="M346" s="168" t="s">
        <v>1665</v>
      </c>
      <c r="N346" s="455" t="s">
        <v>1553</v>
      </c>
      <c r="O346" s="455" t="s">
        <v>99</v>
      </c>
      <c r="P346" s="455">
        <v>332304</v>
      </c>
      <c r="Q346" s="455">
        <v>113789</v>
      </c>
      <c r="R346" s="523">
        <v>280704</v>
      </c>
      <c r="S346" s="523"/>
      <c r="Z346" s="168" t="s">
        <v>1665</v>
      </c>
      <c r="AA346" s="455" t="s">
        <v>1553</v>
      </c>
      <c r="AB346" s="455" t="s">
        <v>99</v>
      </c>
      <c r="AC346" s="455">
        <v>332304</v>
      </c>
      <c r="AD346" s="455">
        <v>113789</v>
      </c>
      <c r="AE346" s="168">
        <v>280704.07</v>
      </c>
      <c r="AF346" s="523">
        <v>280704</v>
      </c>
    </row>
    <row r="347" spans="1:32">
      <c r="A347" s="455" t="s">
        <v>2360</v>
      </c>
      <c r="D347" s="456">
        <v>-201980.16</v>
      </c>
      <c r="E347" s="456">
        <v>0</v>
      </c>
      <c r="M347" s="168" t="s">
        <v>1666</v>
      </c>
      <c r="N347" s="455" t="s">
        <v>1553</v>
      </c>
      <c r="O347" s="455" t="s">
        <v>1660</v>
      </c>
      <c r="P347" s="455">
        <v>189380</v>
      </c>
      <c r="Q347" s="455">
        <v>93505</v>
      </c>
      <c r="R347" s="523">
        <v>140541</v>
      </c>
      <c r="S347" s="523"/>
      <c r="Z347" s="168" t="s">
        <v>1666</v>
      </c>
      <c r="AA347" s="455" t="s">
        <v>1553</v>
      </c>
      <c r="AB347" s="455" t="s">
        <v>1660</v>
      </c>
      <c r="AC347" s="455">
        <v>189380</v>
      </c>
      <c r="AD347" s="455">
        <v>93505</v>
      </c>
      <c r="AE347" s="168">
        <v>140540.84</v>
      </c>
      <c r="AF347" s="523">
        <v>140541</v>
      </c>
    </row>
    <row r="348" spans="1:32">
      <c r="A348" s="455" t="s">
        <v>2362</v>
      </c>
      <c r="D348" s="456">
        <v>0</v>
      </c>
      <c r="E348" s="456">
        <v>0</v>
      </c>
      <c r="M348" s="168" t="s">
        <v>1667</v>
      </c>
      <c r="N348" s="455" t="s">
        <v>20</v>
      </c>
      <c r="O348" s="455" t="s">
        <v>1668</v>
      </c>
      <c r="P348" s="455"/>
      <c r="Q348" s="455"/>
      <c r="R348" s="523">
        <v>0</v>
      </c>
      <c r="S348" s="523"/>
      <c r="Z348" s="168" t="s">
        <v>1667</v>
      </c>
      <c r="AA348" s="455" t="s">
        <v>20</v>
      </c>
      <c r="AB348" s="455" t="s">
        <v>1668</v>
      </c>
      <c r="AC348" s="455"/>
      <c r="AD348" s="455"/>
      <c r="AE348" s="168">
        <v>0</v>
      </c>
      <c r="AF348" s="523">
        <v>0</v>
      </c>
    </row>
    <row r="349" spans="1:32">
      <c r="A349" s="455" t="s">
        <v>2344</v>
      </c>
      <c r="D349" s="456">
        <v>0</v>
      </c>
      <c r="E349" s="456">
        <v>0</v>
      </c>
      <c r="M349" s="168" t="s">
        <v>1669</v>
      </c>
      <c r="N349" s="455" t="s">
        <v>1553</v>
      </c>
      <c r="O349" s="455" t="s">
        <v>631</v>
      </c>
      <c r="P349" s="455">
        <v>288</v>
      </c>
      <c r="Q349" s="455">
        <v>288</v>
      </c>
      <c r="R349" s="523">
        <v>0</v>
      </c>
      <c r="S349" s="523"/>
      <c r="Z349" s="168" t="s">
        <v>1669</v>
      </c>
      <c r="AA349" s="455" t="s">
        <v>1553</v>
      </c>
      <c r="AB349" s="455" t="s">
        <v>631</v>
      </c>
      <c r="AC349" s="455">
        <v>288</v>
      </c>
      <c r="AD349" s="455">
        <v>288</v>
      </c>
      <c r="AE349" s="168">
        <v>0</v>
      </c>
      <c r="AF349" s="523">
        <v>0</v>
      </c>
    </row>
    <row r="350" spans="1:32">
      <c r="A350" s="455" t="s">
        <v>2365</v>
      </c>
      <c r="D350" s="456">
        <v>0</v>
      </c>
      <c r="E350" s="456">
        <v>0</v>
      </c>
      <c r="M350" s="168" t="s">
        <v>1670</v>
      </c>
      <c r="N350" s="455" t="s">
        <v>1553</v>
      </c>
      <c r="O350" s="455" t="s">
        <v>633</v>
      </c>
      <c r="P350" s="455">
        <v>13985</v>
      </c>
      <c r="Q350" s="455">
        <v>7709</v>
      </c>
      <c r="R350" s="523">
        <v>6824</v>
      </c>
      <c r="S350" s="523"/>
      <c r="Z350" s="168" t="s">
        <v>1670</v>
      </c>
      <c r="AA350" s="455" t="s">
        <v>1553</v>
      </c>
      <c r="AB350" s="455" t="s">
        <v>633</v>
      </c>
      <c r="AC350" s="455">
        <v>13985</v>
      </c>
      <c r="AD350" s="455">
        <v>7709</v>
      </c>
      <c r="AE350" s="168">
        <v>6823.59</v>
      </c>
      <c r="AF350" s="523">
        <v>6824</v>
      </c>
    </row>
    <row r="351" spans="1:32">
      <c r="A351" s="455" t="s">
        <v>569</v>
      </c>
      <c r="B351" s="455" t="s">
        <v>2367</v>
      </c>
      <c r="D351" s="456">
        <v>6074211.4800000004</v>
      </c>
      <c r="E351" s="456">
        <v>0</v>
      </c>
      <c r="M351" s="168" t="s">
        <v>1671</v>
      </c>
      <c r="N351" s="455" t="s">
        <v>1553</v>
      </c>
      <c r="O351" s="455" t="s">
        <v>50</v>
      </c>
      <c r="P351" s="455">
        <v>45203</v>
      </c>
      <c r="Q351" s="455">
        <v>33902</v>
      </c>
      <c r="R351" s="523">
        <v>39573</v>
      </c>
      <c r="S351" s="523"/>
      <c r="Z351" s="168" t="s">
        <v>1671</v>
      </c>
      <c r="AA351" s="455" t="s">
        <v>1553</v>
      </c>
      <c r="AB351" s="455" t="s">
        <v>50</v>
      </c>
      <c r="AC351" s="455">
        <v>45203</v>
      </c>
      <c r="AD351" s="455">
        <v>33902</v>
      </c>
      <c r="AE351" s="168">
        <v>39573.919999999998</v>
      </c>
      <c r="AF351" s="523">
        <v>39573</v>
      </c>
    </row>
    <row r="352" spans="1:32">
      <c r="A352" s="455" t="s">
        <v>2562</v>
      </c>
      <c r="D352" s="456">
        <v>-603.88</v>
      </c>
      <c r="E352" s="456">
        <v>0</v>
      </c>
      <c r="M352" s="168" t="s">
        <v>1672</v>
      </c>
      <c r="N352" s="455" t="s">
        <v>1553</v>
      </c>
      <c r="O352" s="455" t="s">
        <v>52</v>
      </c>
      <c r="P352" s="455">
        <v>18773</v>
      </c>
      <c r="Q352" s="455">
        <v>14080</v>
      </c>
      <c r="R352" s="523">
        <v>0</v>
      </c>
      <c r="S352" s="523"/>
      <c r="Z352" s="168" t="s">
        <v>1672</v>
      </c>
      <c r="AA352" s="455" t="s">
        <v>1553</v>
      </c>
      <c r="AB352" s="455" t="s">
        <v>52</v>
      </c>
      <c r="AC352" s="455">
        <v>18773</v>
      </c>
      <c r="AD352" s="455">
        <v>14080</v>
      </c>
      <c r="AE352" s="168">
        <v>0</v>
      </c>
      <c r="AF352" s="523">
        <v>0</v>
      </c>
    </row>
    <row r="353" spans="1:32">
      <c r="A353" s="455" t="s">
        <v>2370</v>
      </c>
      <c r="D353" s="456">
        <v>0</v>
      </c>
      <c r="E353" s="456">
        <v>0</v>
      </c>
      <c r="M353" s="168" t="s">
        <v>1673</v>
      </c>
      <c r="N353" s="455" t="s">
        <v>1553</v>
      </c>
      <c r="O353" s="455" t="s">
        <v>52</v>
      </c>
      <c r="P353" s="455">
        <v>5671</v>
      </c>
      <c r="Q353" s="455">
        <v>4253</v>
      </c>
      <c r="R353" s="523">
        <v>0</v>
      </c>
      <c r="S353" s="523"/>
      <c r="Z353" s="168" t="s">
        <v>1673</v>
      </c>
      <c r="AA353" s="455" t="s">
        <v>1553</v>
      </c>
      <c r="AB353" s="455" t="s">
        <v>52</v>
      </c>
      <c r="AC353" s="455">
        <v>5671</v>
      </c>
      <c r="AD353" s="455">
        <v>4253</v>
      </c>
      <c r="AE353" s="168">
        <v>0</v>
      </c>
      <c r="AF353" s="523">
        <v>0</v>
      </c>
    </row>
    <row r="354" spans="1:32">
      <c r="A354" s="455" t="s">
        <v>2370</v>
      </c>
      <c r="D354" s="456">
        <v>0</v>
      </c>
      <c r="E354" s="456">
        <v>0</v>
      </c>
      <c r="M354" s="168" t="s">
        <v>3718</v>
      </c>
      <c r="N354" s="455" t="s">
        <v>1553</v>
      </c>
      <c r="O354" s="455" t="s">
        <v>3719</v>
      </c>
      <c r="P354" s="455">
        <v>2500000</v>
      </c>
      <c r="Q354" s="455">
        <v>500000</v>
      </c>
      <c r="R354" s="523"/>
      <c r="S354" s="523"/>
      <c r="Z354" s="168" t="s">
        <v>3718</v>
      </c>
      <c r="AA354" s="455"/>
      <c r="AB354" s="455" t="s">
        <v>3719</v>
      </c>
      <c r="AC354" s="455">
        <v>2500000</v>
      </c>
      <c r="AD354" s="455">
        <v>500000</v>
      </c>
      <c r="AF354" s="523"/>
    </row>
    <row r="355" spans="1:32">
      <c r="A355" s="455" t="s">
        <v>2370</v>
      </c>
      <c r="D355" s="456">
        <v>131578.95000000001</v>
      </c>
      <c r="E355" s="456">
        <v>0</v>
      </c>
      <c r="M355" s="168" t="s">
        <v>149</v>
      </c>
      <c r="N355" s="455" t="s">
        <v>1553</v>
      </c>
      <c r="O355" s="455" t="s">
        <v>610</v>
      </c>
      <c r="P355" s="455">
        <v>25150</v>
      </c>
      <c r="Q355" s="455">
        <v>4200</v>
      </c>
      <c r="R355" s="523">
        <v>0</v>
      </c>
      <c r="S355" s="523"/>
      <c r="Z355" s="168" t="s">
        <v>149</v>
      </c>
      <c r="AA355" s="455" t="s">
        <v>1553</v>
      </c>
      <c r="AB355" s="455" t="s">
        <v>610</v>
      </c>
      <c r="AC355" s="455">
        <v>25150</v>
      </c>
      <c r="AD355" s="455">
        <v>4200</v>
      </c>
      <c r="AE355" s="168">
        <v>0</v>
      </c>
      <c r="AF355" s="523">
        <v>0</v>
      </c>
    </row>
    <row r="356" spans="1:32">
      <c r="A356" s="455" t="s">
        <v>2370</v>
      </c>
      <c r="D356" s="456">
        <v>0</v>
      </c>
      <c r="E356" s="456">
        <v>0</v>
      </c>
      <c r="M356" s="168" t="s">
        <v>150</v>
      </c>
      <c r="N356" s="455" t="s">
        <v>1553</v>
      </c>
      <c r="O356" s="455" t="s">
        <v>612</v>
      </c>
      <c r="P356" s="455">
        <v>19060</v>
      </c>
      <c r="Q356" s="455">
        <v>6970</v>
      </c>
      <c r="R356" s="523">
        <v>3485</v>
      </c>
      <c r="S356" s="523"/>
      <c r="Z356" s="168" t="s">
        <v>150</v>
      </c>
      <c r="AA356" s="455" t="s">
        <v>1553</v>
      </c>
      <c r="AB356" s="455" t="s">
        <v>612</v>
      </c>
      <c r="AC356" s="455">
        <v>19060</v>
      </c>
      <c r="AD356" s="455">
        <v>6970</v>
      </c>
      <c r="AE356" s="168">
        <v>3484.63</v>
      </c>
      <c r="AF356" s="523">
        <v>3485</v>
      </c>
    </row>
    <row r="357" spans="1:32">
      <c r="A357" s="455" t="s">
        <v>2370</v>
      </c>
      <c r="D357" s="456">
        <v>0</v>
      </c>
      <c r="E357" s="456">
        <v>0</v>
      </c>
      <c r="M357" s="168" t="s">
        <v>151</v>
      </c>
      <c r="N357" s="455" t="s">
        <v>1553</v>
      </c>
      <c r="O357" s="455" t="s">
        <v>99</v>
      </c>
      <c r="P357" s="455">
        <v>2710</v>
      </c>
      <c r="Q357" s="455">
        <v>2033</v>
      </c>
      <c r="R357" s="523">
        <v>0</v>
      </c>
      <c r="S357" s="523"/>
      <c r="Z357" s="168" t="s">
        <v>151</v>
      </c>
      <c r="AA357" s="455" t="s">
        <v>1553</v>
      </c>
      <c r="AB357" s="455" t="s">
        <v>99</v>
      </c>
      <c r="AC357" s="455">
        <v>2710</v>
      </c>
      <c r="AD357" s="455">
        <v>2033</v>
      </c>
      <c r="AE357" s="168">
        <v>0</v>
      </c>
      <c r="AF357" s="523">
        <v>0</v>
      </c>
    </row>
    <row r="358" spans="1:32">
      <c r="A358" s="455" t="s">
        <v>2370</v>
      </c>
      <c r="D358" s="456">
        <v>0</v>
      </c>
      <c r="E358" s="456">
        <v>0</v>
      </c>
      <c r="M358" s="168" t="s">
        <v>152</v>
      </c>
      <c r="N358" s="455" t="s">
        <v>1553</v>
      </c>
      <c r="O358" s="455" t="s">
        <v>616</v>
      </c>
      <c r="P358" s="455">
        <v>43041</v>
      </c>
      <c r="Q358" s="455">
        <v>23726</v>
      </c>
      <c r="R358" s="523">
        <v>1608</v>
      </c>
      <c r="S358" s="523"/>
      <c r="Z358" s="168" t="s">
        <v>152</v>
      </c>
      <c r="AA358" s="455" t="s">
        <v>1553</v>
      </c>
      <c r="AB358" s="455" t="s">
        <v>616</v>
      </c>
      <c r="AC358" s="455">
        <v>43041</v>
      </c>
      <c r="AD358" s="455">
        <v>23726</v>
      </c>
      <c r="AE358" s="168">
        <v>1607.36</v>
      </c>
      <c r="AF358" s="523">
        <v>1608</v>
      </c>
    </row>
    <row r="359" spans="1:32">
      <c r="A359" s="455" t="s">
        <v>2370</v>
      </c>
      <c r="D359" s="456">
        <v>0</v>
      </c>
      <c r="E359" s="456">
        <v>0</v>
      </c>
      <c r="M359" s="168" t="s">
        <v>153</v>
      </c>
      <c r="N359" s="455" t="s">
        <v>1553</v>
      </c>
      <c r="O359" s="455" t="s">
        <v>2322</v>
      </c>
      <c r="P359" s="455">
        <v>15823</v>
      </c>
      <c r="Q359" s="455">
        <v>15823</v>
      </c>
      <c r="R359" s="523">
        <v>4504</v>
      </c>
      <c r="S359" s="523"/>
      <c r="Z359" s="168" t="s">
        <v>153</v>
      </c>
      <c r="AA359" s="455" t="s">
        <v>1553</v>
      </c>
      <c r="AB359" s="455" t="s">
        <v>2322</v>
      </c>
      <c r="AC359" s="455">
        <v>15823</v>
      </c>
      <c r="AD359" s="455">
        <v>15823</v>
      </c>
      <c r="AE359" s="168">
        <v>4503.2700000000004</v>
      </c>
      <c r="AF359" s="523">
        <v>4504</v>
      </c>
    </row>
    <row r="360" spans="1:32">
      <c r="A360" s="455" t="s">
        <v>2370</v>
      </c>
      <c r="D360" s="456">
        <v>27555.78</v>
      </c>
      <c r="E360" s="456">
        <v>0</v>
      </c>
      <c r="M360" s="168" t="s">
        <v>154</v>
      </c>
      <c r="N360" s="455" t="s">
        <v>1553</v>
      </c>
      <c r="O360" s="455" t="s">
        <v>631</v>
      </c>
      <c r="P360" s="455">
        <v>306</v>
      </c>
      <c r="Q360" s="455">
        <v>169</v>
      </c>
      <c r="R360" s="523">
        <v>166</v>
      </c>
      <c r="S360" s="523"/>
      <c r="Z360" s="168" t="s">
        <v>154</v>
      </c>
      <c r="AA360" s="455" t="s">
        <v>1553</v>
      </c>
      <c r="AB360" s="455" t="s">
        <v>631</v>
      </c>
      <c r="AC360" s="455">
        <v>306</v>
      </c>
      <c r="AD360" s="455">
        <v>169</v>
      </c>
      <c r="AE360" s="168">
        <v>165.87</v>
      </c>
      <c r="AF360" s="523">
        <v>166</v>
      </c>
    </row>
    <row r="361" spans="1:32">
      <c r="A361" s="455" t="s">
        <v>2370</v>
      </c>
      <c r="D361" s="456">
        <v>0</v>
      </c>
      <c r="E361" s="456">
        <v>0</v>
      </c>
      <c r="M361" s="168" t="s">
        <v>155</v>
      </c>
      <c r="N361" s="455" t="s">
        <v>1553</v>
      </c>
      <c r="O361" s="455" t="s">
        <v>633</v>
      </c>
      <c r="P361" s="455">
        <v>57758</v>
      </c>
      <c r="Q361" s="455">
        <v>31839</v>
      </c>
      <c r="R361" s="523">
        <v>136355</v>
      </c>
      <c r="S361" s="523"/>
      <c r="Z361" s="168" t="s">
        <v>155</v>
      </c>
      <c r="AA361" s="455" t="s">
        <v>1553</v>
      </c>
      <c r="AB361" s="455" t="s">
        <v>633</v>
      </c>
      <c r="AC361" s="455">
        <v>57758</v>
      </c>
      <c r="AD361" s="455">
        <v>31839</v>
      </c>
      <c r="AE361" s="168">
        <v>136355.01999999999</v>
      </c>
      <c r="AF361" s="523">
        <v>136355</v>
      </c>
    </row>
    <row r="362" spans="1:32">
      <c r="A362" s="455" t="s">
        <v>2085</v>
      </c>
      <c r="D362" s="456">
        <v>0</v>
      </c>
      <c r="E362" s="456">
        <v>0</v>
      </c>
      <c r="M362" s="168" t="s">
        <v>3461</v>
      </c>
      <c r="N362" s="455" t="s">
        <v>1553</v>
      </c>
      <c r="O362" s="455" t="s">
        <v>3769</v>
      </c>
      <c r="P362" s="455">
        <v>9800</v>
      </c>
      <c r="Q362" s="455">
        <v>900</v>
      </c>
      <c r="R362" s="523">
        <v>2126</v>
      </c>
      <c r="S362" s="523"/>
      <c r="Z362" s="168" t="s">
        <v>3461</v>
      </c>
      <c r="AA362" s="455"/>
      <c r="AB362" s="455"/>
      <c r="AC362" s="455">
        <v>9800</v>
      </c>
      <c r="AD362" s="455">
        <v>900</v>
      </c>
      <c r="AE362" s="168">
        <v>2126.31</v>
      </c>
      <c r="AF362" s="523">
        <v>2126</v>
      </c>
    </row>
    <row r="363" spans="1:32">
      <c r="A363" s="455" t="s">
        <v>2370</v>
      </c>
      <c r="D363" s="456">
        <v>21731.25</v>
      </c>
      <c r="E363" s="456">
        <v>0</v>
      </c>
      <c r="M363" s="168" t="s">
        <v>156</v>
      </c>
      <c r="N363" s="455" t="s">
        <v>1553</v>
      </c>
      <c r="O363" s="455" t="s">
        <v>50</v>
      </c>
      <c r="P363" s="455">
        <v>204364</v>
      </c>
      <c r="Q363" s="455">
        <v>79725</v>
      </c>
      <c r="R363" s="523">
        <v>69148</v>
      </c>
      <c r="S363" s="523"/>
      <c r="Z363" s="168" t="s">
        <v>156</v>
      </c>
      <c r="AA363" s="455" t="s">
        <v>1553</v>
      </c>
      <c r="AB363" s="455" t="s">
        <v>50</v>
      </c>
      <c r="AC363" s="455">
        <v>204364</v>
      </c>
      <c r="AD363" s="455">
        <v>79725</v>
      </c>
      <c r="AE363" s="168">
        <v>69147.899999999994</v>
      </c>
      <c r="AF363" s="523">
        <v>69148</v>
      </c>
    </row>
    <row r="364" spans="1:32">
      <c r="A364" s="455" t="s">
        <v>2370</v>
      </c>
      <c r="D364" s="456">
        <v>271731.25</v>
      </c>
      <c r="E364" s="456">
        <v>0</v>
      </c>
      <c r="M364" s="168" t="s">
        <v>157</v>
      </c>
      <c r="N364" s="455" t="s">
        <v>1553</v>
      </c>
      <c r="O364" s="455" t="s">
        <v>52</v>
      </c>
      <c r="P364" s="455">
        <v>7755</v>
      </c>
      <c r="Q364" s="455">
        <v>5816</v>
      </c>
      <c r="R364" s="523">
        <v>9220</v>
      </c>
      <c r="S364" s="523"/>
      <c r="Z364" s="168" t="s">
        <v>157</v>
      </c>
      <c r="AA364" s="455" t="s">
        <v>1553</v>
      </c>
      <c r="AB364" s="455" t="s">
        <v>52</v>
      </c>
      <c r="AC364" s="455">
        <v>7755</v>
      </c>
      <c r="AD364" s="455">
        <v>5816</v>
      </c>
      <c r="AE364" s="168">
        <v>9220.0499999999993</v>
      </c>
      <c r="AF364" s="523">
        <v>9220</v>
      </c>
    </row>
    <row r="365" spans="1:32">
      <c r="A365" s="455" t="s">
        <v>2370</v>
      </c>
      <c r="D365" s="456">
        <v>271731.25</v>
      </c>
      <c r="E365" s="456">
        <v>0</v>
      </c>
      <c r="M365" s="168" t="s">
        <v>158</v>
      </c>
      <c r="N365" s="455" t="s">
        <v>1553</v>
      </c>
      <c r="O365" s="455" t="s">
        <v>52</v>
      </c>
      <c r="P365" s="455">
        <v>1624</v>
      </c>
      <c r="Q365" s="455">
        <v>1624</v>
      </c>
      <c r="R365" s="523">
        <v>895</v>
      </c>
      <c r="S365" s="523"/>
      <c r="Z365" s="168" t="s">
        <v>158</v>
      </c>
      <c r="AA365" s="455" t="s">
        <v>1553</v>
      </c>
      <c r="AB365" s="455" t="s">
        <v>52</v>
      </c>
      <c r="AC365" s="455">
        <v>1624</v>
      </c>
      <c r="AD365" s="455">
        <v>1624</v>
      </c>
      <c r="AE365" s="168">
        <v>894.35</v>
      </c>
      <c r="AF365" s="523">
        <v>895</v>
      </c>
    </row>
    <row r="366" spans="1:32">
      <c r="A366" s="455" t="s">
        <v>2370</v>
      </c>
      <c r="D366" s="456">
        <v>0</v>
      </c>
      <c r="E366" s="456">
        <v>0</v>
      </c>
      <c r="M366" s="168" t="s">
        <v>159</v>
      </c>
      <c r="N366" s="455" t="s">
        <v>1553</v>
      </c>
      <c r="O366" s="455" t="s">
        <v>160</v>
      </c>
      <c r="P366" s="455"/>
      <c r="Q366" s="455"/>
      <c r="R366" s="523">
        <v>0</v>
      </c>
      <c r="S366" s="523"/>
      <c r="Z366" s="168" t="s">
        <v>159</v>
      </c>
      <c r="AA366" s="455" t="s">
        <v>1553</v>
      </c>
      <c r="AB366" s="455" t="s">
        <v>160</v>
      </c>
      <c r="AC366" s="455"/>
      <c r="AD366" s="455"/>
      <c r="AE366" s="168">
        <v>0</v>
      </c>
      <c r="AF366" s="523">
        <v>0</v>
      </c>
    </row>
    <row r="367" spans="1:32">
      <c r="A367" s="455" t="s">
        <v>2370</v>
      </c>
      <c r="D367" s="456">
        <v>0</v>
      </c>
      <c r="E367" s="456">
        <v>0</v>
      </c>
      <c r="M367" s="168" t="s">
        <v>3462</v>
      </c>
      <c r="N367" s="455" t="s">
        <v>1553</v>
      </c>
      <c r="O367" s="455" t="s">
        <v>610</v>
      </c>
      <c r="P367" s="455">
        <v>31423</v>
      </c>
      <c r="Q367" s="455">
        <v>10000</v>
      </c>
      <c r="R367" s="523">
        <v>3109</v>
      </c>
      <c r="S367" s="523"/>
      <c r="Z367" s="168" t="s">
        <v>3462</v>
      </c>
      <c r="AA367" s="455"/>
      <c r="AB367" s="455"/>
      <c r="AC367" s="455">
        <v>31423</v>
      </c>
      <c r="AD367" s="455">
        <v>10000</v>
      </c>
      <c r="AE367" s="168">
        <v>3108.7</v>
      </c>
      <c r="AF367" s="523">
        <v>3109</v>
      </c>
    </row>
    <row r="368" spans="1:32">
      <c r="A368" s="455" t="s">
        <v>2370</v>
      </c>
      <c r="D368" s="456">
        <v>103510.86</v>
      </c>
      <c r="E368" s="456">
        <v>0</v>
      </c>
      <c r="M368" s="168" t="s">
        <v>2692</v>
      </c>
      <c r="N368" s="455" t="s">
        <v>1553</v>
      </c>
      <c r="O368" s="455" t="s">
        <v>610</v>
      </c>
      <c r="P368" s="455"/>
      <c r="Q368" s="455"/>
      <c r="R368" s="523">
        <v>0</v>
      </c>
      <c r="S368" s="523"/>
      <c r="Z368" s="168" t="s">
        <v>2692</v>
      </c>
      <c r="AA368" s="455" t="s">
        <v>1553</v>
      </c>
      <c r="AB368" s="455" t="s">
        <v>610</v>
      </c>
      <c r="AC368" s="455"/>
      <c r="AD368" s="455"/>
      <c r="AE368" s="168">
        <v>0</v>
      </c>
      <c r="AF368" s="523">
        <v>0</v>
      </c>
    </row>
    <row r="369" spans="1:32">
      <c r="A369" s="455" t="s">
        <v>2370</v>
      </c>
      <c r="D369" s="456">
        <v>66715.08</v>
      </c>
      <c r="E369" s="456">
        <v>0</v>
      </c>
      <c r="M369" s="168" t="s">
        <v>163</v>
      </c>
      <c r="N369" s="455" t="s">
        <v>1553</v>
      </c>
      <c r="O369" s="455" t="s">
        <v>612</v>
      </c>
      <c r="P369" s="455">
        <v>2874</v>
      </c>
      <c r="Q369" s="455">
        <v>2874</v>
      </c>
      <c r="R369" s="523">
        <v>229</v>
      </c>
      <c r="S369" s="523"/>
      <c r="Z369" s="168" t="s">
        <v>163</v>
      </c>
      <c r="AA369" s="455" t="s">
        <v>1553</v>
      </c>
      <c r="AB369" s="455" t="s">
        <v>612</v>
      </c>
      <c r="AC369" s="455">
        <v>2874</v>
      </c>
      <c r="AD369" s="455">
        <v>2874</v>
      </c>
      <c r="AE369" s="168">
        <v>228.57</v>
      </c>
      <c r="AF369" s="523">
        <v>229</v>
      </c>
    </row>
    <row r="370" spans="1:32">
      <c r="A370" s="455" t="s">
        <v>2370</v>
      </c>
      <c r="D370" s="456">
        <v>21731.25</v>
      </c>
      <c r="E370" s="456">
        <v>0</v>
      </c>
      <c r="M370" s="168" t="s">
        <v>164</v>
      </c>
      <c r="N370" s="455" t="s">
        <v>1553</v>
      </c>
      <c r="O370" s="455" t="s">
        <v>99</v>
      </c>
      <c r="P370" s="455">
        <v>35000</v>
      </c>
      <c r="Q370" s="455">
        <v>35000</v>
      </c>
      <c r="R370" s="523">
        <v>180533</v>
      </c>
      <c r="S370" s="523"/>
      <c r="Z370" s="168" t="s">
        <v>164</v>
      </c>
      <c r="AA370" s="455" t="s">
        <v>1553</v>
      </c>
      <c r="AB370" s="455" t="s">
        <v>99</v>
      </c>
      <c r="AC370" s="455">
        <v>35000</v>
      </c>
      <c r="AD370" s="455">
        <v>35000</v>
      </c>
      <c r="AE370" s="168">
        <v>180533.55</v>
      </c>
      <c r="AF370" s="523">
        <v>180533</v>
      </c>
    </row>
    <row r="371" spans="1:32">
      <c r="A371" s="455" t="s">
        <v>2095</v>
      </c>
      <c r="D371" s="456">
        <v>0</v>
      </c>
      <c r="E371" s="456">
        <v>0</v>
      </c>
      <c r="M371" s="168" t="s">
        <v>165</v>
      </c>
      <c r="N371" s="455" t="s">
        <v>1553</v>
      </c>
      <c r="O371" s="455" t="s">
        <v>631</v>
      </c>
      <c r="P371" s="455">
        <v>340</v>
      </c>
      <c r="Q371" s="455">
        <v>187</v>
      </c>
      <c r="R371" s="523">
        <v>0</v>
      </c>
      <c r="S371" s="523"/>
      <c r="Z371" s="168" t="s">
        <v>165</v>
      </c>
      <c r="AA371" s="455" t="s">
        <v>1553</v>
      </c>
      <c r="AB371" s="455" t="s">
        <v>631</v>
      </c>
      <c r="AC371" s="455">
        <v>340</v>
      </c>
      <c r="AD371" s="455">
        <v>187</v>
      </c>
      <c r="AE371" s="168">
        <v>0</v>
      </c>
      <c r="AF371" s="523">
        <v>0</v>
      </c>
    </row>
    <row r="372" spans="1:32">
      <c r="A372" s="455" t="s">
        <v>2370</v>
      </c>
      <c r="D372" s="456">
        <v>0</v>
      </c>
      <c r="E372" s="456">
        <v>0</v>
      </c>
      <c r="M372" s="168" t="s">
        <v>166</v>
      </c>
      <c r="N372" s="455" t="s">
        <v>1553</v>
      </c>
      <c r="O372" s="455" t="s">
        <v>633</v>
      </c>
      <c r="P372" s="455">
        <v>14499</v>
      </c>
      <c r="Q372" s="455">
        <v>7000</v>
      </c>
      <c r="R372" s="523">
        <v>17029</v>
      </c>
      <c r="S372" s="523"/>
      <c r="Z372" s="168" t="s">
        <v>166</v>
      </c>
      <c r="AA372" s="455" t="s">
        <v>1553</v>
      </c>
      <c r="AB372" s="455" t="s">
        <v>633</v>
      </c>
      <c r="AC372" s="455">
        <v>14499</v>
      </c>
      <c r="AD372" s="455">
        <v>7000</v>
      </c>
      <c r="AE372" s="168">
        <v>17029.05</v>
      </c>
      <c r="AF372" s="523">
        <v>17029</v>
      </c>
    </row>
    <row r="373" spans="1:32">
      <c r="A373" s="455" t="s">
        <v>2370</v>
      </c>
      <c r="D373" s="456">
        <v>-43859.65</v>
      </c>
      <c r="E373" s="456">
        <v>0</v>
      </c>
      <c r="M373" s="168" t="s">
        <v>167</v>
      </c>
      <c r="N373" s="455" t="s">
        <v>1553</v>
      </c>
      <c r="O373" s="455" t="s">
        <v>50</v>
      </c>
      <c r="P373" s="455">
        <v>50799</v>
      </c>
      <c r="Q373" s="455">
        <v>50799</v>
      </c>
      <c r="R373" s="523">
        <v>65829</v>
      </c>
      <c r="S373" s="523"/>
      <c r="Z373" s="168" t="s">
        <v>167</v>
      </c>
      <c r="AA373" s="455" t="s">
        <v>1553</v>
      </c>
      <c r="AB373" s="455" t="s">
        <v>50</v>
      </c>
      <c r="AC373" s="455">
        <v>50799</v>
      </c>
      <c r="AD373" s="455">
        <v>50799</v>
      </c>
      <c r="AE373" s="168">
        <v>65829.59</v>
      </c>
      <c r="AF373" s="523">
        <v>65829</v>
      </c>
    </row>
    <row r="374" spans="1:32">
      <c r="A374" s="455" t="s">
        <v>2370</v>
      </c>
      <c r="D374" s="456">
        <v>0</v>
      </c>
      <c r="E374" s="456">
        <v>0</v>
      </c>
      <c r="M374" s="168" t="s">
        <v>168</v>
      </c>
      <c r="N374" s="455" t="s">
        <v>1553</v>
      </c>
      <c r="O374" s="455" t="s">
        <v>52</v>
      </c>
      <c r="P374" s="455">
        <v>16706</v>
      </c>
      <c r="Q374" s="455">
        <v>9209</v>
      </c>
      <c r="R374" s="523">
        <v>0</v>
      </c>
      <c r="S374" s="523"/>
      <c r="Z374" s="168" t="s">
        <v>168</v>
      </c>
      <c r="AA374" s="455" t="s">
        <v>1553</v>
      </c>
      <c r="AB374" s="455" t="s">
        <v>52</v>
      </c>
      <c r="AC374" s="455">
        <v>16706</v>
      </c>
      <c r="AD374" s="455">
        <v>9209</v>
      </c>
      <c r="AE374" s="168">
        <v>0</v>
      </c>
      <c r="AF374" s="523">
        <v>0</v>
      </c>
    </row>
    <row r="375" spans="1:32">
      <c r="A375" s="455" t="s">
        <v>2370</v>
      </c>
      <c r="D375" s="456">
        <v>0</v>
      </c>
      <c r="E375" s="456">
        <v>0</v>
      </c>
      <c r="M375" s="168" t="s">
        <v>2693</v>
      </c>
      <c r="N375" s="455" t="s">
        <v>1553</v>
      </c>
      <c r="O375" s="455" t="s">
        <v>52</v>
      </c>
      <c r="P375" s="455">
        <v>5879</v>
      </c>
      <c r="Q375" s="455">
        <v>3241</v>
      </c>
      <c r="R375" s="523">
        <v>0</v>
      </c>
      <c r="S375" s="523"/>
      <c r="Z375" s="168" t="s">
        <v>2693</v>
      </c>
      <c r="AA375" s="455"/>
      <c r="AB375" s="455"/>
      <c r="AC375" s="455">
        <v>5879</v>
      </c>
      <c r="AD375" s="455">
        <v>3241</v>
      </c>
      <c r="AE375" s="168">
        <v>0</v>
      </c>
      <c r="AF375" s="523">
        <v>0</v>
      </c>
    </row>
    <row r="376" spans="1:32">
      <c r="A376" s="455" t="s">
        <v>2370</v>
      </c>
      <c r="D376" s="456">
        <v>-222081.58</v>
      </c>
      <c r="E376" s="456">
        <v>0</v>
      </c>
      <c r="M376" s="168" t="s">
        <v>169</v>
      </c>
      <c r="N376" s="455" t="s">
        <v>1553</v>
      </c>
      <c r="O376" s="455" t="s">
        <v>160</v>
      </c>
      <c r="P376" s="455">
        <v>250000</v>
      </c>
      <c r="Q376" s="455">
        <v>250000</v>
      </c>
      <c r="R376" s="523">
        <v>272074</v>
      </c>
      <c r="S376" s="523"/>
      <c r="Z376" s="168" t="s">
        <v>169</v>
      </c>
      <c r="AA376" s="455" t="s">
        <v>1553</v>
      </c>
      <c r="AB376" s="455" t="s">
        <v>160</v>
      </c>
      <c r="AC376" s="455">
        <v>250000</v>
      </c>
      <c r="AD376" s="455">
        <v>250000</v>
      </c>
      <c r="AE376" s="168">
        <v>272074.90999999997</v>
      </c>
      <c r="AF376" s="523">
        <v>272074</v>
      </c>
    </row>
    <row r="377" spans="1:32">
      <c r="A377" s="455" t="s">
        <v>2370</v>
      </c>
      <c r="D377" s="456">
        <v>-1403.5</v>
      </c>
      <c r="E377" s="456">
        <v>0</v>
      </c>
      <c r="M377" s="168" t="s">
        <v>2694</v>
      </c>
      <c r="N377" s="455" t="s">
        <v>1553</v>
      </c>
      <c r="O377" s="455" t="s">
        <v>160</v>
      </c>
      <c r="P377" s="455"/>
      <c r="Q377" s="455"/>
      <c r="R377" s="523">
        <v>0</v>
      </c>
      <c r="S377" s="523"/>
      <c r="Z377" s="168" t="s">
        <v>2694</v>
      </c>
      <c r="AA377" s="455"/>
      <c r="AB377" s="455"/>
      <c r="AC377" s="455"/>
      <c r="AD377" s="455"/>
      <c r="AE377" s="168">
        <v>0</v>
      </c>
      <c r="AF377" s="523">
        <v>0</v>
      </c>
    </row>
    <row r="378" spans="1:32">
      <c r="A378" s="455" t="s">
        <v>2370</v>
      </c>
      <c r="D378" s="456">
        <v>0</v>
      </c>
      <c r="E378" s="456">
        <v>0</v>
      </c>
      <c r="M378" s="168" t="s">
        <v>170</v>
      </c>
      <c r="N378" s="455" t="s">
        <v>1553</v>
      </c>
      <c r="O378" s="455" t="s">
        <v>171</v>
      </c>
      <c r="P378" s="455">
        <v>88293</v>
      </c>
      <c r="Q378" s="455">
        <v>30000</v>
      </c>
      <c r="R378" s="523">
        <v>2162</v>
      </c>
      <c r="S378" s="523"/>
      <c r="Z378" s="168" t="s">
        <v>170</v>
      </c>
      <c r="AA378" s="455" t="s">
        <v>1553</v>
      </c>
      <c r="AB378" s="455" t="s">
        <v>171</v>
      </c>
      <c r="AC378" s="455">
        <v>88293</v>
      </c>
      <c r="AD378" s="455">
        <v>30000</v>
      </c>
      <c r="AE378" s="168">
        <v>2161.92</v>
      </c>
      <c r="AF378" s="523">
        <v>2162</v>
      </c>
    </row>
    <row r="379" spans="1:32">
      <c r="A379" s="455" t="s">
        <v>2370</v>
      </c>
      <c r="D379" s="456">
        <v>-11200</v>
      </c>
      <c r="E379" s="456">
        <v>0</v>
      </c>
      <c r="M379" s="168" t="s">
        <v>3728</v>
      </c>
      <c r="N379" s="455" t="s">
        <v>1553</v>
      </c>
      <c r="O379" s="455" t="s">
        <v>610</v>
      </c>
      <c r="P379" s="455">
        <v>2625</v>
      </c>
      <c r="Q379" s="455">
        <v>1500</v>
      </c>
      <c r="R379" s="523"/>
      <c r="S379" s="523"/>
      <c r="Z379" s="168" t="s">
        <v>3728</v>
      </c>
      <c r="AA379" s="455"/>
      <c r="AB379" s="455"/>
      <c r="AC379" s="455">
        <v>2625</v>
      </c>
      <c r="AD379" s="455">
        <v>1500</v>
      </c>
      <c r="AF379" s="523"/>
    </row>
    <row r="380" spans="1:32">
      <c r="A380" s="455" t="s">
        <v>2370</v>
      </c>
      <c r="D380" s="456">
        <v>104627</v>
      </c>
      <c r="E380" s="456">
        <v>0</v>
      </c>
      <c r="M380" s="168" t="s">
        <v>184</v>
      </c>
      <c r="N380" s="455" t="s">
        <v>1553</v>
      </c>
      <c r="O380" s="455" t="s">
        <v>612</v>
      </c>
      <c r="P380" s="455">
        <v>2680</v>
      </c>
      <c r="Q380" s="455"/>
      <c r="R380" s="523">
        <v>0</v>
      </c>
      <c r="S380" s="523"/>
      <c r="Z380" s="168" t="s">
        <v>184</v>
      </c>
      <c r="AA380" s="455" t="s">
        <v>1553</v>
      </c>
      <c r="AB380" s="455" t="s">
        <v>612</v>
      </c>
      <c r="AC380" s="455">
        <v>2680</v>
      </c>
      <c r="AD380" s="455"/>
      <c r="AE380" s="168">
        <v>0</v>
      </c>
      <c r="AF380" s="523">
        <v>0</v>
      </c>
    </row>
    <row r="381" spans="1:32">
      <c r="A381" s="455" t="s">
        <v>2106</v>
      </c>
      <c r="D381" s="456">
        <v>0</v>
      </c>
      <c r="E381" s="456">
        <v>0</v>
      </c>
      <c r="M381" s="168" t="s">
        <v>185</v>
      </c>
      <c r="N381" s="455" t="s">
        <v>1553</v>
      </c>
      <c r="O381" s="455" t="s">
        <v>616</v>
      </c>
      <c r="P381" s="455">
        <v>1500</v>
      </c>
      <c r="Q381" s="455">
        <v>1500</v>
      </c>
      <c r="R381" s="523">
        <v>1709</v>
      </c>
      <c r="S381" s="523"/>
      <c r="Z381" s="168" t="s">
        <v>185</v>
      </c>
      <c r="AA381" s="455" t="s">
        <v>1553</v>
      </c>
      <c r="AB381" s="455" t="s">
        <v>616</v>
      </c>
      <c r="AC381" s="455">
        <v>1500</v>
      </c>
      <c r="AD381" s="455">
        <v>1500</v>
      </c>
      <c r="AE381" s="168">
        <v>1709.51</v>
      </c>
      <c r="AF381" s="523">
        <v>1709</v>
      </c>
    </row>
    <row r="382" spans="1:32">
      <c r="A382" s="455" t="s">
        <v>746</v>
      </c>
      <c r="B382" s="455" t="s">
        <v>528</v>
      </c>
      <c r="D382" s="456">
        <v>0</v>
      </c>
      <c r="E382" s="456">
        <v>0</v>
      </c>
      <c r="M382" s="168" t="s">
        <v>186</v>
      </c>
      <c r="N382" s="455" t="s">
        <v>1553</v>
      </c>
      <c r="O382" s="455" t="s">
        <v>2322</v>
      </c>
      <c r="P382" s="455">
        <v>7200</v>
      </c>
      <c r="Q382" s="455">
        <v>7200</v>
      </c>
      <c r="R382" s="523">
        <v>0</v>
      </c>
      <c r="S382" s="523"/>
      <c r="Z382" s="168" t="s">
        <v>186</v>
      </c>
      <c r="AA382" s="455" t="s">
        <v>1553</v>
      </c>
      <c r="AB382" s="455" t="s">
        <v>2322</v>
      </c>
      <c r="AC382" s="455">
        <v>7200</v>
      </c>
      <c r="AD382" s="455">
        <v>7200</v>
      </c>
      <c r="AE382" s="168">
        <v>0</v>
      </c>
      <c r="AF382" s="523">
        <v>0</v>
      </c>
    </row>
    <row r="383" spans="1:32">
      <c r="A383" s="455" t="s">
        <v>746</v>
      </c>
      <c r="B383" s="455" t="s">
        <v>530</v>
      </c>
      <c r="D383" s="456">
        <v>0</v>
      </c>
      <c r="E383" s="456">
        <v>0</v>
      </c>
      <c r="M383" s="168" t="s">
        <v>187</v>
      </c>
      <c r="N383" s="455" t="s">
        <v>1553</v>
      </c>
      <c r="O383" s="455" t="s">
        <v>2323</v>
      </c>
      <c r="P383" s="455">
        <v>4500</v>
      </c>
      <c r="Q383" s="455"/>
      <c r="R383" s="523">
        <v>0</v>
      </c>
      <c r="S383" s="523"/>
      <c r="Z383" s="168" t="s">
        <v>187</v>
      </c>
      <c r="AA383" s="455" t="s">
        <v>1553</v>
      </c>
      <c r="AB383" s="455" t="s">
        <v>2323</v>
      </c>
      <c r="AC383" s="455">
        <v>4500</v>
      </c>
      <c r="AD383" s="455"/>
      <c r="AE383" s="168">
        <v>0</v>
      </c>
      <c r="AF383" s="523">
        <v>0</v>
      </c>
    </row>
    <row r="384" spans="1:32">
      <c r="A384" s="455" t="s">
        <v>746</v>
      </c>
      <c r="D384" s="456">
        <v>0</v>
      </c>
      <c r="E384" s="456">
        <v>0</v>
      </c>
      <c r="M384" s="168" t="s">
        <v>189</v>
      </c>
      <c r="N384" s="455" t="s">
        <v>1553</v>
      </c>
      <c r="O384" s="455" t="s">
        <v>190</v>
      </c>
      <c r="P384" s="455">
        <v>2500</v>
      </c>
      <c r="Q384" s="455">
        <v>1000</v>
      </c>
      <c r="R384" s="523">
        <v>0</v>
      </c>
      <c r="S384" s="523"/>
      <c r="Z384" s="168" t="s">
        <v>189</v>
      </c>
      <c r="AA384" s="455" t="s">
        <v>1553</v>
      </c>
      <c r="AB384" s="455" t="s">
        <v>190</v>
      </c>
      <c r="AC384" s="455">
        <v>2500</v>
      </c>
      <c r="AD384" s="455">
        <v>1000</v>
      </c>
      <c r="AE384" s="168">
        <v>0</v>
      </c>
      <c r="AF384" s="523">
        <v>0</v>
      </c>
    </row>
    <row r="385" spans="1:32">
      <c r="A385" s="455" t="s">
        <v>746</v>
      </c>
      <c r="B385" s="455" t="s">
        <v>533</v>
      </c>
      <c r="D385" s="456">
        <v>0</v>
      </c>
      <c r="E385" s="456">
        <v>0</v>
      </c>
      <c r="M385" s="168" t="s">
        <v>3465</v>
      </c>
      <c r="N385" s="455" t="s">
        <v>1553</v>
      </c>
      <c r="O385" s="455" t="s">
        <v>3466</v>
      </c>
      <c r="P385" s="455"/>
      <c r="Q385" s="455"/>
      <c r="R385" s="523">
        <v>4997</v>
      </c>
      <c r="S385" s="523"/>
      <c r="Z385" s="168" t="s">
        <v>3465</v>
      </c>
      <c r="AA385" s="455"/>
      <c r="AB385" s="455" t="s">
        <v>3466</v>
      </c>
      <c r="AC385" s="455"/>
      <c r="AD385" s="455"/>
      <c r="AE385" s="168">
        <v>4996.22</v>
      </c>
      <c r="AF385" s="523">
        <v>4997</v>
      </c>
    </row>
    <row r="386" spans="1:32">
      <c r="A386" s="455" t="s">
        <v>746</v>
      </c>
      <c r="B386" s="455" t="s">
        <v>535</v>
      </c>
      <c r="D386" s="456">
        <v>0</v>
      </c>
      <c r="E386" s="456">
        <v>0</v>
      </c>
      <c r="M386" s="168" t="s">
        <v>192</v>
      </c>
      <c r="N386" s="455" t="s">
        <v>1553</v>
      </c>
      <c r="O386" s="455" t="s">
        <v>631</v>
      </c>
      <c r="P386" s="455">
        <v>2000</v>
      </c>
      <c r="Q386" s="455">
        <v>1000</v>
      </c>
      <c r="R386" s="523">
        <v>0</v>
      </c>
      <c r="S386" s="523"/>
      <c r="Z386" s="168" t="s">
        <v>192</v>
      </c>
      <c r="AA386" s="455" t="s">
        <v>1553</v>
      </c>
      <c r="AB386" s="455" t="s">
        <v>631</v>
      </c>
      <c r="AC386" s="455">
        <v>2000</v>
      </c>
      <c r="AD386" s="455">
        <v>1000</v>
      </c>
      <c r="AE386" s="168">
        <v>0</v>
      </c>
      <c r="AF386" s="523">
        <v>0</v>
      </c>
    </row>
    <row r="387" spans="1:32">
      <c r="A387" s="455" t="s">
        <v>746</v>
      </c>
      <c r="D387" s="456">
        <v>0</v>
      </c>
      <c r="E387" s="456">
        <v>0</v>
      </c>
      <c r="M387" s="168" t="s">
        <v>193</v>
      </c>
      <c r="N387" s="455" t="s">
        <v>1553</v>
      </c>
      <c r="O387" s="455" t="s">
        <v>633</v>
      </c>
      <c r="P387" s="455">
        <v>26250</v>
      </c>
      <c r="Q387" s="455"/>
      <c r="R387" s="523">
        <v>3770</v>
      </c>
      <c r="S387" s="523"/>
      <c r="Z387" s="168" t="s">
        <v>193</v>
      </c>
      <c r="AA387" s="455" t="s">
        <v>1553</v>
      </c>
      <c r="AB387" s="455" t="s">
        <v>633</v>
      </c>
      <c r="AC387" s="455">
        <v>26250</v>
      </c>
      <c r="AD387" s="455"/>
      <c r="AE387" s="168">
        <v>3769.96</v>
      </c>
      <c r="AF387" s="523">
        <v>3770</v>
      </c>
    </row>
    <row r="388" spans="1:32">
      <c r="A388" s="455"/>
      <c r="D388" s="456">
        <v>0</v>
      </c>
      <c r="E388" s="456">
        <v>0</v>
      </c>
      <c r="M388" s="168" t="s">
        <v>194</v>
      </c>
      <c r="N388" s="455" t="s">
        <v>1553</v>
      </c>
      <c r="O388" s="455" t="s">
        <v>50</v>
      </c>
      <c r="P388" s="455">
        <v>1500</v>
      </c>
      <c r="Q388" s="455"/>
      <c r="R388" s="523">
        <v>429</v>
      </c>
      <c r="S388" s="523"/>
      <c r="Z388" s="168" t="s">
        <v>194</v>
      </c>
      <c r="AA388" s="455" t="s">
        <v>1553</v>
      </c>
      <c r="AB388" s="455" t="s">
        <v>50</v>
      </c>
      <c r="AC388" s="455">
        <v>1500</v>
      </c>
      <c r="AD388" s="455"/>
      <c r="AE388" s="168">
        <v>428.57</v>
      </c>
      <c r="AF388" s="523">
        <v>429</v>
      </c>
    </row>
    <row r="389" spans="1:32">
      <c r="A389" s="455" t="s">
        <v>539</v>
      </c>
      <c r="B389" s="455" t="s">
        <v>540</v>
      </c>
      <c r="D389" s="456">
        <v>0</v>
      </c>
      <c r="E389" s="456">
        <v>0</v>
      </c>
      <c r="M389" s="168" t="s">
        <v>195</v>
      </c>
      <c r="N389" s="455" t="s">
        <v>1553</v>
      </c>
      <c r="O389" s="455" t="s">
        <v>52</v>
      </c>
      <c r="P389" s="455">
        <v>5544</v>
      </c>
      <c r="Q389" s="455"/>
      <c r="R389" s="523">
        <v>0</v>
      </c>
      <c r="S389" s="523"/>
      <c r="Z389" s="168" t="s">
        <v>195</v>
      </c>
      <c r="AA389" s="455" t="s">
        <v>1553</v>
      </c>
      <c r="AB389" s="455" t="s">
        <v>52</v>
      </c>
      <c r="AC389" s="455">
        <v>5544</v>
      </c>
      <c r="AD389" s="455"/>
      <c r="AE389" s="168">
        <v>0</v>
      </c>
      <c r="AF389" s="523">
        <v>0</v>
      </c>
    </row>
    <row r="390" spans="1:32">
      <c r="A390" s="455" t="s">
        <v>746</v>
      </c>
      <c r="B390" s="455" t="s">
        <v>542</v>
      </c>
      <c r="D390" s="456">
        <v>0</v>
      </c>
      <c r="E390" s="456">
        <v>0</v>
      </c>
      <c r="M390" s="168" t="s">
        <v>196</v>
      </c>
      <c r="N390" s="455" t="s">
        <v>1553</v>
      </c>
      <c r="O390" s="455" t="s">
        <v>52</v>
      </c>
      <c r="P390" s="455">
        <v>7560</v>
      </c>
      <c r="Q390" s="455"/>
      <c r="R390" s="523">
        <v>0</v>
      </c>
      <c r="S390" s="523"/>
      <c r="Z390" s="168" t="s">
        <v>196</v>
      </c>
      <c r="AA390" s="455" t="s">
        <v>1553</v>
      </c>
      <c r="AB390" s="455" t="s">
        <v>52</v>
      </c>
      <c r="AC390" s="455">
        <v>7560</v>
      </c>
      <c r="AD390" s="455"/>
      <c r="AE390" s="168">
        <v>0</v>
      </c>
      <c r="AF390" s="523">
        <v>0</v>
      </c>
    </row>
    <row r="391" spans="1:32">
      <c r="A391" s="455" t="s">
        <v>746</v>
      </c>
      <c r="D391" s="456">
        <v>0</v>
      </c>
      <c r="E391" s="456">
        <v>0</v>
      </c>
      <c r="M391" s="168" t="s">
        <v>212</v>
      </c>
      <c r="N391" s="455" t="s">
        <v>1553</v>
      </c>
      <c r="O391" s="455" t="s">
        <v>612</v>
      </c>
      <c r="P391" s="455">
        <v>46500</v>
      </c>
      <c r="Q391" s="455">
        <v>24000</v>
      </c>
      <c r="R391" s="523">
        <v>0</v>
      </c>
      <c r="S391" s="523"/>
      <c r="Z391" s="168" t="s">
        <v>212</v>
      </c>
      <c r="AA391" s="455" t="s">
        <v>1553</v>
      </c>
      <c r="AB391" s="455" t="s">
        <v>612</v>
      </c>
      <c r="AC391" s="455">
        <v>46500</v>
      </c>
      <c r="AD391" s="455">
        <v>24000</v>
      </c>
      <c r="AE391" s="168">
        <v>0</v>
      </c>
      <c r="AF391" s="523">
        <v>0</v>
      </c>
    </row>
    <row r="392" spans="1:32">
      <c r="A392" s="455" t="s">
        <v>746</v>
      </c>
      <c r="D392" s="456">
        <v>0</v>
      </c>
      <c r="E392" s="456">
        <v>0</v>
      </c>
      <c r="M392" s="168" t="s">
        <v>213</v>
      </c>
      <c r="N392" s="455" t="s">
        <v>1553</v>
      </c>
      <c r="O392" s="455" t="s">
        <v>616</v>
      </c>
      <c r="P392" s="455">
        <v>1501</v>
      </c>
      <c r="Q392" s="455">
        <v>820</v>
      </c>
      <c r="R392" s="523">
        <v>13</v>
      </c>
      <c r="S392" s="523"/>
      <c r="Z392" s="168" t="s">
        <v>213</v>
      </c>
      <c r="AA392" s="455" t="s">
        <v>1553</v>
      </c>
      <c r="AB392" s="455" t="s">
        <v>616</v>
      </c>
      <c r="AC392" s="455">
        <v>1501</v>
      </c>
      <c r="AD392" s="455">
        <v>820</v>
      </c>
      <c r="AE392" s="168">
        <v>12</v>
      </c>
      <c r="AF392" s="523">
        <v>13</v>
      </c>
    </row>
    <row r="393" spans="1:32">
      <c r="A393" s="455" t="s">
        <v>746</v>
      </c>
      <c r="B393" s="455" t="s">
        <v>1711</v>
      </c>
      <c r="D393" s="456">
        <v>0</v>
      </c>
      <c r="E393" s="456">
        <v>0</v>
      </c>
      <c r="M393" s="168" t="s">
        <v>214</v>
      </c>
      <c r="N393" s="455" t="s">
        <v>1553</v>
      </c>
      <c r="O393" s="455" t="s">
        <v>631</v>
      </c>
      <c r="P393" s="455">
        <v>488</v>
      </c>
      <c r="Q393" s="455">
        <v>488</v>
      </c>
      <c r="R393" s="523">
        <v>0</v>
      </c>
      <c r="S393" s="523"/>
      <c r="Z393" s="168" t="s">
        <v>214</v>
      </c>
      <c r="AA393" s="455" t="s">
        <v>1553</v>
      </c>
      <c r="AB393" s="455" t="s">
        <v>631</v>
      </c>
      <c r="AC393" s="455">
        <v>488</v>
      </c>
      <c r="AD393" s="455">
        <v>488</v>
      </c>
      <c r="AE393" s="168">
        <v>0</v>
      </c>
      <c r="AF393" s="523">
        <v>0</v>
      </c>
    </row>
    <row r="394" spans="1:32">
      <c r="A394" s="455" t="s">
        <v>746</v>
      </c>
      <c r="B394" s="455" t="s">
        <v>1824</v>
      </c>
      <c r="D394" s="456">
        <v>0</v>
      </c>
      <c r="E394" s="456">
        <v>0</v>
      </c>
      <c r="M394" s="168" t="s">
        <v>215</v>
      </c>
      <c r="N394" s="455" t="s">
        <v>1553</v>
      </c>
      <c r="O394" s="455" t="s">
        <v>633</v>
      </c>
      <c r="P394" s="455">
        <v>26250</v>
      </c>
      <c r="Q394" s="455">
        <v>12000</v>
      </c>
      <c r="R394" s="523">
        <v>1136</v>
      </c>
      <c r="S394" s="523"/>
      <c r="Z394" s="168" t="s">
        <v>215</v>
      </c>
      <c r="AA394" s="455" t="s">
        <v>1553</v>
      </c>
      <c r="AB394" s="455" t="s">
        <v>633</v>
      </c>
      <c r="AC394" s="455">
        <v>26250</v>
      </c>
      <c r="AD394" s="455">
        <v>12000</v>
      </c>
      <c r="AE394" s="168">
        <v>1135.42</v>
      </c>
      <c r="AF394" s="523">
        <v>1136</v>
      </c>
    </row>
    <row r="395" spans="1:32">
      <c r="A395" s="455" t="s">
        <v>746</v>
      </c>
      <c r="B395" s="455">
        <v>-2</v>
      </c>
      <c r="D395" s="456">
        <v>0</v>
      </c>
      <c r="E395" s="456">
        <v>0</v>
      </c>
      <c r="M395" s="168" t="s">
        <v>216</v>
      </c>
      <c r="N395" s="455" t="s">
        <v>1553</v>
      </c>
      <c r="O395" s="455" t="s">
        <v>70</v>
      </c>
      <c r="P395" s="455">
        <v>68355</v>
      </c>
      <c r="Q395" s="455">
        <v>65100</v>
      </c>
      <c r="R395" s="523">
        <v>0</v>
      </c>
      <c r="S395" s="523"/>
      <c r="Z395" s="168" t="s">
        <v>216</v>
      </c>
      <c r="AA395" s="455" t="s">
        <v>1553</v>
      </c>
      <c r="AB395" s="455" t="s">
        <v>70</v>
      </c>
      <c r="AC395" s="455">
        <v>68355</v>
      </c>
      <c r="AD395" s="455">
        <v>65100</v>
      </c>
      <c r="AE395" s="168">
        <v>0</v>
      </c>
      <c r="AF395" s="523">
        <v>0</v>
      </c>
    </row>
    <row r="396" spans="1:32">
      <c r="A396" s="455" t="s">
        <v>746</v>
      </c>
      <c r="B396" s="455">
        <v>1</v>
      </c>
      <c r="D396" s="456">
        <v>0</v>
      </c>
      <c r="E396" s="456">
        <v>0</v>
      </c>
      <c r="M396" s="168" t="s">
        <v>217</v>
      </c>
      <c r="N396" s="455" t="s">
        <v>1553</v>
      </c>
      <c r="O396" s="455" t="s">
        <v>50</v>
      </c>
      <c r="P396" s="455">
        <v>48825</v>
      </c>
      <c r="Q396" s="455">
        <v>12000</v>
      </c>
      <c r="R396" s="523">
        <v>1237</v>
      </c>
      <c r="S396" s="523"/>
      <c r="Z396" s="168" t="s">
        <v>217</v>
      </c>
      <c r="AA396" s="455" t="s">
        <v>1553</v>
      </c>
      <c r="AB396" s="455" t="s">
        <v>50</v>
      </c>
      <c r="AC396" s="455">
        <v>48825</v>
      </c>
      <c r="AD396" s="455">
        <v>12000</v>
      </c>
      <c r="AE396" s="168">
        <v>1236.1199999999999</v>
      </c>
      <c r="AF396" s="523">
        <v>1237</v>
      </c>
    </row>
    <row r="397" spans="1:32">
      <c r="A397" s="455" t="s">
        <v>1828</v>
      </c>
      <c r="B397" s="455" t="s">
        <v>1829</v>
      </c>
      <c r="D397" s="456">
        <v>0</v>
      </c>
      <c r="E397" s="456">
        <v>0</v>
      </c>
      <c r="M397" s="168" t="s">
        <v>218</v>
      </c>
      <c r="N397" s="455" t="s">
        <v>1553</v>
      </c>
      <c r="O397" s="455" t="s">
        <v>52</v>
      </c>
      <c r="P397" s="455">
        <v>10967</v>
      </c>
      <c r="Q397" s="455">
        <v>8000</v>
      </c>
      <c r="R397" s="523">
        <v>11141</v>
      </c>
      <c r="S397" s="523"/>
      <c r="Z397" s="168" t="s">
        <v>218</v>
      </c>
      <c r="AA397" s="455" t="s">
        <v>1553</v>
      </c>
      <c r="AB397" s="455" t="s">
        <v>52</v>
      </c>
      <c r="AC397" s="455">
        <v>10967</v>
      </c>
      <c r="AD397" s="455">
        <v>8000</v>
      </c>
      <c r="AE397" s="168">
        <v>11141.1</v>
      </c>
      <c r="AF397" s="523">
        <v>11141</v>
      </c>
    </row>
    <row r="398" spans="1:32">
      <c r="A398" s="455" t="s">
        <v>746</v>
      </c>
      <c r="D398" s="456">
        <v>0</v>
      </c>
      <c r="E398" s="456">
        <v>0</v>
      </c>
      <c r="M398" s="168" t="s">
        <v>219</v>
      </c>
      <c r="N398" s="455" t="s">
        <v>1553</v>
      </c>
      <c r="O398" s="455" t="s">
        <v>52</v>
      </c>
      <c r="P398" s="455"/>
      <c r="Q398" s="455"/>
      <c r="R398" s="523">
        <v>0</v>
      </c>
      <c r="S398" s="523"/>
      <c r="Z398" s="168" t="s">
        <v>219</v>
      </c>
      <c r="AA398" s="455" t="s">
        <v>1553</v>
      </c>
      <c r="AB398" s="455" t="s">
        <v>52</v>
      </c>
      <c r="AC398" s="455"/>
      <c r="AD398" s="455"/>
      <c r="AE398" s="168">
        <v>0</v>
      </c>
      <c r="AF398" s="523">
        <v>0</v>
      </c>
    </row>
    <row r="399" spans="1:32">
      <c r="A399" s="455" t="s">
        <v>1832</v>
      </c>
      <c r="D399" s="456">
        <v>0</v>
      </c>
      <c r="E399" s="456">
        <v>0</v>
      </c>
      <c r="M399" s="168" t="s">
        <v>3722</v>
      </c>
      <c r="N399" s="455" t="s">
        <v>1553</v>
      </c>
      <c r="O399" s="455" t="s">
        <v>3723</v>
      </c>
      <c r="P399" s="455">
        <v>2943</v>
      </c>
      <c r="Q399" s="455">
        <v>1000</v>
      </c>
      <c r="R399" s="523"/>
      <c r="S399" s="523"/>
      <c r="Z399" s="168" t="s">
        <v>3722</v>
      </c>
      <c r="AA399" s="455"/>
      <c r="AB399" s="455" t="s">
        <v>3723</v>
      </c>
      <c r="AC399" s="455">
        <v>2943</v>
      </c>
      <c r="AD399" s="455">
        <v>1000</v>
      </c>
      <c r="AF399" s="523"/>
    </row>
    <row r="400" spans="1:32">
      <c r="A400" s="455" t="s">
        <v>2437</v>
      </c>
      <c r="D400" s="456">
        <v>-233610.57</v>
      </c>
      <c r="E400" s="456">
        <v>0</v>
      </c>
      <c r="M400" s="168" t="s">
        <v>241</v>
      </c>
      <c r="N400" s="455" t="s">
        <v>1553</v>
      </c>
      <c r="O400" s="455" t="s">
        <v>242</v>
      </c>
      <c r="P400" s="455">
        <v>1500000</v>
      </c>
      <c r="Q400" s="455">
        <v>750000</v>
      </c>
      <c r="R400" s="523">
        <v>1436790</v>
      </c>
      <c r="S400" s="523"/>
      <c r="Z400" s="168" t="s">
        <v>241</v>
      </c>
      <c r="AA400" s="455" t="s">
        <v>1553</v>
      </c>
      <c r="AB400" s="455" t="s">
        <v>242</v>
      </c>
      <c r="AC400" s="455">
        <v>1500000</v>
      </c>
      <c r="AD400" s="455">
        <v>750000</v>
      </c>
      <c r="AE400" s="168">
        <v>1436790.58</v>
      </c>
      <c r="AF400" s="523">
        <v>1436790</v>
      </c>
    </row>
    <row r="401" spans="1:32">
      <c r="A401" s="455" t="s">
        <v>569</v>
      </c>
      <c r="D401" s="456">
        <v>928.23</v>
      </c>
      <c r="E401" s="456">
        <v>0</v>
      </c>
      <c r="M401" s="168" t="s">
        <v>243</v>
      </c>
      <c r="N401" s="455" t="s">
        <v>1553</v>
      </c>
      <c r="O401" s="455" t="s">
        <v>597</v>
      </c>
      <c r="P401" s="455">
        <v>957003</v>
      </c>
      <c r="Q401" s="455">
        <v>300000</v>
      </c>
      <c r="R401" s="523">
        <v>728360</v>
      </c>
      <c r="S401" s="523"/>
      <c r="Z401" s="168" t="s">
        <v>243</v>
      </c>
      <c r="AA401" s="455" t="s">
        <v>1553</v>
      </c>
      <c r="AB401" s="455" t="s">
        <v>597</v>
      </c>
      <c r="AC401" s="455">
        <v>957003</v>
      </c>
      <c r="AD401" s="455">
        <v>300000</v>
      </c>
      <c r="AE401" s="168">
        <v>728360.41</v>
      </c>
      <c r="AF401" s="523">
        <v>728360</v>
      </c>
    </row>
    <row r="402" spans="1:32">
      <c r="A402" s="455" t="s">
        <v>566</v>
      </c>
      <c r="D402" s="456">
        <v>0</v>
      </c>
      <c r="E402" s="456">
        <v>0</v>
      </c>
      <c r="M402" s="168" t="s">
        <v>244</v>
      </c>
      <c r="N402" s="455" t="s">
        <v>1553</v>
      </c>
      <c r="O402" s="455" t="s">
        <v>2450</v>
      </c>
      <c r="P402" s="455">
        <v>865000</v>
      </c>
      <c r="Q402" s="455">
        <v>250000</v>
      </c>
      <c r="R402" s="523">
        <v>355338</v>
      </c>
      <c r="S402" s="523"/>
      <c r="Z402" s="168" t="s">
        <v>244</v>
      </c>
      <c r="AA402" s="455" t="s">
        <v>1553</v>
      </c>
      <c r="AB402" s="455" t="s">
        <v>2450</v>
      </c>
      <c r="AC402" s="455">
        <v>865000</v>
      </c>
      <c r="AD402" s="455">
        <v>250000</v>
      </c>
      <c r="AE402" s="168">
        <v>355338.47</v>
      </c>
      <c r="AF402" s="523">
        <v>355338</v>
      </c>
    </row>
    <row r="403" spans="1:32">
      <c r="A403" s="455" t="s">
        <v>2327</v>
      </c>
      <c r="D403" s="456">
        <v>0</v>
      </c>
      <c r="E403" s="456">
        <v>0</v>
      </c>
      <c r="M403" s="168" t="s">
        <v>245</v>
      </c>
      <c r="N403" s="455" t="s">
        <v>1553</v>
      </c>
      <c r="O403" s="455" t="s">
        <v>612</v>
      </c>
      <c r="P403" s="455">
        <v>101830</v>
      </c>
      <c r="Q403" s="455">
        <v>50000</v>
      </c>
      <c r="R403" s="523">
        <v>24570</v>
      </c>
      <c r="S403" s="523"/>
      <c r="Z403" s="168" t="s">
        <v>245</v>
      </c>
      <c r="AA403" s="455" t="s">
        <v>1553</v>
      </c>
      <c r="AB403" s="455" t="s">
        <v>612</v>
      </c>
      <c r="AC403" s="455">
        <v>101830</v>
      </c>
      <c r="AD403" s="455">
        <v>50000</v>
      </c>
      <c r="AE403" s="168">
        <v>24569.34</v>
      </c>
      <c r="AF403" s="523">
        <v>24570</v>
      </c>
    </row>
    <row r="404" spans="1:32">
      <c r="A404" s="455" t="s">
        <v>2149</v>
      </c>
      <c r="D404" s="456">
        <v>318925.52</v>
      </c>
      <c r="E404" s="456">
        <v>0</v>
      </c>
      <c r="M404" s="168" t="s">
        <v>246</v>
      </c>
      <c r="N404" s="455" t="s">
        <v>1553</v>
      </c>
      <c r="O404" s="455" t="s">
        <v>99</v>
      </c>
      <c r="P404" s="455">
        <v>186000</v>
      </c>
      <c r="Q404" s="455">
        <v>489584</v>
      </c>
      <c r="R404" s="523">
        <v>104025</v>
      </c>
      <c r="S404" s="523"/>
      <c r="U404" s="168">
        <v>1334377.98</v>
      </c>
      <c r="Z404" s="168" t="s">
        <v>246</v>
      </c>
      <c r="AA404" s="455" t="s">
        <v>1553</v>
      </c>
      <c r="AB404" s="455" t="s">
        <v>99</v>
      </c>
      <c r="AC404" s="455">
        <v>186000</v>
      </c>
      <c r="AD404" s="455">
        <v>489584</v>
      </c>
      <c r="AE404" s="168">
        <v>104024.89</v>
      </c>
      <c r="AF404" s="523">
        <v>104025</v>
      </c>
    </row>
    <row r="405" spans="1:32">
      <c r="A405" s="455" t="s">
        <v>2327</v>
      </c>
      <c r="D405" s="456">
        <v>0</v>
      </c>
      <c r="E405" s="456">
        <v>0</v>
      </c>
      <c r="M405" s="168" t="s">
        <v>247</v>
      </c>
      <c r="N405" s="455" t="s">
        <v>1553</v>
      </c>
      <c r="O405" s="455" t="s">
        <v>2322</v>
      </c>
      <c r="P405" s="455">
        <v>461389</v>
      </c>
      <c r="Q405" s="455">
        <v>461389</v>
      </c>
      <c r="R405" s="523">
        <v>266025</v>
      </c>
      <c r="S405" s="523"/>
      <c r="Z405" s="168" t="s">
        <v>247</v>
      </c>
      <c r="AA405" s="455" t="s">
        <v>1553</v>
      </c>
      <c r="AB405" s="455" t="s">
        <v>2322</v>
      </c>
      <c r="AC405" s="455">
        <v>461389</v>
      </c>
      <c r="AD405" s="455">
        <v>461389</v>
      </c>
      <c r="AE405" s="168">
        <v>266024.94</v>
      </c>
      <c r="AF405" s="523">
        <v>266025</v>
      </c>
    </row>
    <row r="406" spans="1:32">
      <c r="A406" s="455" t="s">
        <v>746</v>
      </c>
      <c r="D406" s="456">
        <v>1118340.7</v>
      </c>
      <c r="E406" s="456">
        <v>0</v>
      </c>
      <c r="M406" s="168" t="s">
        <v>249</v>
      </c>
      <c r="N406" s="455" t="s">
        <v>1553</v>
      </c>
      <c r="O406" s="455" t="s">
        <v>624</v>
      </c>
      <c r="P406" s="455"/>
      <c r="Q406" s="455"/>
      <c r="R406" s="523">
        <v>0</v>
      </c>
      <c r="S406" s="523"/>
      <c r="Z406" s="168" t="s">
        <v>249</v>
      </c>
      <c r="AA406" s="455" t="s">
        <v>1553</v>
      </c>
      <c r="AB406" s="455" t="s">
        <v>624</v>
      </c>
      <c r="AC406" s="455"/>
      <c r="AD406" s="455"/>
      <c r="AE406" s="168">
        <v>0</v>
      </c>
      <c r="AF406" s="523">
        <v>0</v>
      </c>
    </row>
    <row r="407" spans="1:32">
      <c r="A407" s="455" t="s">
        <v>2153</v>
      </c>
      <c r="D407" s="456">
        <v>-327970.32</v>
      </c>
      <c r="E407" s="456">
        <v>0</v>
      </c>
      <c r="M407" s="168" t="s">
        <v>250</v>
      </c>
      <c r="N407" s="455" t="s">
        <v>1553</v>
      </c>
      <c r="O407" s="455" t="s">
        <v>631</v>
      </c>
      <c r="P407" s="455">
        <v>53918</v>
      </c>
      <c r="Q407" s="455">
        <v>90000</v>
      </c>
      <c r="R407" s="523">
        <v>92644</v>
      </c>
      <c r="S407" s="523"/>
      <c r="Z407" s="168" t="s">
        <v>250</v>
      </c>
      <c r="AA407" s="455" t="s">
        <v>1553</v>
      </c>
      <c r="AB407" s="455" t="s">
        <v>631</v>
      </c>
      <c r="AC407" s="455">
        <v>53918</v>
      </c>
      <c r="AD407" s="455">
        <v>90000</v>
      </c>
      <c r="AE407" s="168">
        <v>92644.67</v>
      </c>
      <c r="AF407" s="523">
        <v>92644</v>
      </c>
    </row>
    <row r="408" spans="1:32">
      <c r="A408" s="455" t="s">
        <v>2155</v>
      </c>
      <c r="D408" s="456">
        <v>0</v>
      </c>
      <c r="E408" s="456">
        <v>0</v>
      </c>
      <c r="M408" s="168" t="s">
        <v>251</v>
      </c>
      <c r="N408" s="455" t="s">
        <v>1553</v>
      </c>
      <c r="O408" s="455" t="s">
        <v>633</v>
      </c>
      <c r="P408" s="455">
        <v>369949</v>
      </c>
      <c r="Q408" s="455">
        <v>252800</v>
      </c>
      <c r="R408" s="523">
        <v>192470</v>
      </c>
      <c r="S408" s="523"/>
      <c r="Z408" s="168" t="s">
        <v>251</v>
      </c>
      <c r="AA408" s="455" t="s">
        <v>1553</v>
      </c>
      <c r="AB408" s="455" t="s">
        <v>633</v>
      </c>
      <c r="AC408" s="455">
        <v>369949</v>
      </c>
      <c r="AD408" s="455">
        <v>252800</v>
      </c>
      <c r="AE408" s="168">
        <v>192469.91</v>
      </c>
      <c r="AF408" s="523">
        <v>192470</v>
      </c>
    </row>
    <row r="409" spans="1:32">
      <c r="A409" s="455" t="s">
        <v>2157</v>
      </c>
      <c r="D409" s="456">
        <v>-19459.080000000002</v>
      </c>
      <c r="E409" s="456">
        <v>0</v>
      </c>
      <c r="M409" s="168" t="s">
        <v>252</v>
      </c>
      <c r="N409" s="455" t="s">
        <v>1553</v>
      </c>
      <c r="O409" s="455" t="s">
        <v>253</v>
      </c>
      <c r="P409" s="455">
        <v>475</v>
      </c>
      <c r="Q409" s="455">
        <v>2460</v>
      </c>
      <c r="R409" s="523">
        <v>2460</v>
      </c>
      <c r="S409" s="523"/>
      <c r="Z409" s="168" t="s">
        <v>252</v>
      </c>
      <c r="AA409" s="455" t="s">
        <v>1553</v>
      </c>
      <c r="AB409" s="455" t="s">
        <v>253</v>
      </c>
      <c r="AC409" s="455">
        <v>475</v>
      </c>
      <c r="AD409" s="455">
        <v>2460</v>
      </c>
      <c r="AE409" s="168">
        <v>2460</v>
      </c>
      <c r="AF409" s="523">
        <v>2460</v>
      </c>
    </row>
    <row r="410" spans="1:32">
      <c r="A410" s="455" t="s">
        <v>2159</v>
      </c>
      <c r="D410" s="456">
        <v>0</v>
      </c>
      <c r="E410" s="456">
        <v>0</v>
      </c>
      <c r="M410" s="168" t="s">
        <v>254</v>
      </c>
      <c r="N410" s="455" t="s">
        <v>1553</v>
      </c>
      <c r="O410" s="455" t="s">
        <v>255</v>
      </c>
      <c r="P410" s="455">
        <v>1129232</v>
      </c>
      <c r="Q410" s="455">
        <v>846924</v>
      </c>
      <c r="R410" s="523">
        <v>125406</v>
      </c>
      <c r="S410" s="523"/>
      <c r="Z410" s="168" t="s">
        <v>254</v>
      </c>
      <c r="AA410" s="455" t="s">
        <v>1553</v>
      </c>
      <c r="AB410" s="455" t="s">
        <v>255</v>
      </c>
      <c r="AC410" s="455">
        <v>1129232</v>
      </c>
      <c r="AD410" s="455">
        <v>846924</v>
      </c>
      <c r="AE410" s="168">
        <v>0</v>
      </c>
      <c r="AF410" s="523">
        <v>125406</v>
      </c>
    </row>
    <row r="411" spans="1:32">
      <c r="A411" s="455" t="s">
        <v>2161</v>
      </c>
      <c r="D411" s="456">
        <v>0</v>
      </c>
      <c r="E411" s="456">
        <v>0</v>
      </c>
      <c r="M411" s="168" t="s">
        <v>256</v>
      </c>
      <c r="N411" s="455" t="s">
        <v>1553</v>
      </c>
      <c r="O411" s="455" t="s">
        <v>2325</v>
      </c>
      <c r="P411" s="455">
        <v>53147</v>
      </c>
      <c r="Q411" s="455">
        <v>48316</v>
      </c>
      <c r="R411" s="523">
        <v>14957</v>
      </c>
      <c r="S411" s="523"/>
      <c r="Z411" s="168" t="s">
        <v>256</v>
      </c>
      <c r="AA411" s="455" t="s">
        <v>1553</v>
      </c>
      <c r="AB411" s="455" t="s">
        <v>2325</v>
      </c>
      <c r="AC411" s="455">
        <v>53147</v>
      </c>
      <c r="AD411" s="455">
        <v>48316</v>
      </c>
      <c r="AE411" s="168">
        <v>14956.5</v>
      </c>
      <c r="AF411" s="523">
        <v>14957</v>
      </c>
    </row>
    <row r="412" spans="1:32">
      <c r="A412" s="455" t="s">
        <v>746</v>
      </c>
      <c r="B412" s="455" t="s">
        <v>2163</v>
      </c>
      <c r="D412" s="456">
        <v>0</v>
      </c>
      <c r="E412" s="456">
        <v>0</v>
      </c>
      <c r="M412" s="168" t="s">
        <v>257</v>
      </c>
      <c r="N412" s="455" t="s">
        <v>1553</v>
      </c>
      <c r="O412" s="455" t="s">
        <v>50</v>
      </c>
      <c r="P412" s="455">
        <v>232557</v>
      </c>
      <c r="Q412" s="455">
        <v>232557</v>
      </c>
      <c r="R412" s="523">
        <v>302144</v>
      </c>
      <c r="S412" s="523"/>
      <c r="Z412" s="168" t="s">
        <v>257</v>
      </c>
      <c r="AA412" s="455" t="s">
        <v>1553</v>
      </c>
      <c r="AB412" s="455" t="s">
        <v>50</v>
      </c>
      <c r="AC412" s="455">
        <v>232557</v>
      </c>
      <c r="AD412" s="455">
        <v>232557</v>
      </c>
      <c r="AE412" s="168">
        <v>302144.07</v>
      </c>
      <c r="AF412" s="523">
        <v>302144</v>
      </c>
    </row>
    <row r="413" spans="1:32">
      <c r="A413" s="455" t="s">
        <v>2165</v>
      </c>
      <c r="D413" s="456">
        <v>1258.99</v>
      </c>
      <c r="E413" s="456">
        <v>0</v>
      </c>
      <c r="M413" s="168" t="s">
        <v>258</v>
      </c>
      <c r="N413" s="455" t="s">
        <v>1553</v>
      </c>
      <c r="O413" s="455" t="s">
        <v>52</v>
      </c>
      <c r="P413" s="455">
        <v>2385</v>
      </c>
      <c r="Q413" s="455">
        <v>1315</v>
      </c>
      <c r="R413" s="523">
        <v>2213</v>
      </c>
      <c r="S413" s="523"/>
      <c r="Z413" s="168" t="s">
        <v>258</v>
      </c>
      <c r="AA413" s="455" t="s">
        <v>1553</v>
      </c>
      <c r="AB413" s="455" t="s">
        <v>52</v>
      </c>
      <c r="AC413" s="455">
        <v>2385</v>
      </c>
      <c r="AD413" s="455">
        <v>1315</v>
      </c>
      <c r="AE413" s="168">
        <v>2213.64</v>
      </c>
      <c r="AF413" s="523">
        <v>2213</v>
      </c>
    </row>
    <row r="414" spans="1:32">
      <c r="A414" s="455" t="s">
        <v>2167</v>
      </c>
      <c r="D414" s="456">
        <v>0</v>
      </c>
      <c r="E414" s="456">
        <v>0</v>
      </c>
      <c r="M414" s="168" t="s">
        <v>259</v>
      </c>
      <c r="N414" s="455" t="s">
        <v>1553</v>
      </c>
      <c r="O414" s="455" t="s">
        <v>52</v>
      </c>
      <c r="P414" s="455">
        <v>26857</v>
      </c>
      <c r="Q414" s="455">
        <v>14805</v>
      </c>
      <c r="R414" s="523">
        <v>19603</v>
      </c>
      <c r="S414" s="523"/>
      <c r="Z414" s="168" t="s">
        <v>259</v>
      </c>
      <c r="AA414" s="455" t="s">
        <v>1553</v>
      </c>
      <c r="AB414" s="455" t="s">
        <v>52</v>
      </c>
      <c r="AC414" s="455">
        <v>26857</v>
      </c>
      <c r="AD414" s="455">
        <v>14805</v>
      </c>
      <c r="AE414" s="168">
        <v>19603.02</v>
      </c>
      <c r="AF414" s="523">
        <v>19603</v>
      </c>
    </row>
    <row r="415" spans="1:32">
      <c r="A415" s="455" t="s">
        <v>2169</v>
      </c>
      <c r="D415" s="456">
        <v>3240000</v>
      </c>
      <c r="E415" s="456">
        <v>0</v>
      </c>
      <c r="M415" s="168" t="s">
        <v>260</v>
      </c>
      <c r="N415" s="455" t="s">
        <v>1553</v>
      </c>
      <c r="O415" s="455" t="s">
        <v>261</v>
      </c>
      <c r="P415" s="455"/>
      <c r="Q415" s="455"/>
      <c r="R415" s="523">
        <v>0</v>
      </c>
      <c r="S415" s="523"/>
      <c r="Z415" s="168" t="s">
        <v>260</v>
      </c>
      <c r="AA415" s="455" t="s">
        <v>1553</v>
      </c>
      <c r="AB415" s="455" t="s">
        <v>261</v>
      </c>
      <c r="AC415" s="455"/>
      <c r="AD415" s="455"/>
      <c r="AE415" s="168">
        <v>0</v>
      </c>
      <c r="AF415" s="523">
        <v>0</v>
      </c>
    </row>
    <row r="416" spans="1:32">
      <c r="A416" s="455"/>
      <c r="D416" s="456">
        <v>-0.08</v>
      </c>
      <c r="E416" s="456">
        <v>0</v>
      </c>
      <c r="M416" s="168" t="s">
        <v>262</v>
      </c>
      <c r="N416" s="455" t="s">
        <v>1553</v>
      </c>
      <c r="O416" s="455" t="s">
        <v>263</v>
      </c>
      <c r="P416" s="455"/>
      <c r="Q416" s="455"/>
      <c r="R416" s="523">
        <v>0</v>
      </c>
      <c r="S416" s="523"/>
      <c r="Z416" s="168" t="s">
        <v>262</v>
      </c>
      <c r="AA416" s="455" t="s">
        <v>1553</v>
      </c>
      <c r="AB416" s="455" t="s">
        <v>263</v>
      </c>
      <c r="AC416" s="455"/>
      <c r="AD416" s="455"/>
      <c r="AE416" s="168">
        <v>0</v>
      </c>
      <c r="AF416" s="523">
        <v>0</v>
      </c>
    </row>
    <row r="417" spans="1:32">
      <c r="A417" s="455" t="s">
        <v>2172</v>
      </c>
      <c r="D417" s="456">
        <v>0</v>
      </c>
      <c r="E417" s="456">
        <v>0</v>
      </c>
      <c r="M417" s="168" t="s">
        <v>264</v>
      </c>
      <c r="N417" s="455" t="s">
        <v>1553</v>
      </c>
      <c r="O417" s="455" t="s">
        <v>263</v>
      </c>
      <c r="P417" s="455"/>
      <c r="Q417" s="455"/>
      <c r="R417" s="523">
        <v>0</v>
      </c>
      <c r="S417" s="523"/>
      <c r="Z417" s="168" t="s">
        <v>264</v>
      </c>
      <c r="AA417" s="455" t="s">
        <v>1553</v>
      </c>
      <c r="AB417" s="455" t="s">
        <v>263</v>
      </c>
      <c r="AC417" s="455"/>
      <c r="AD417" s="455"/>
      <c r="AE417" s="168">
        <v>0</v>
      </c>
      <c r="AF417" s="523">
        <v>0</v>
      </c>
    </row>
    <row r="418" spans="1:32">
      <c r="A418" s="455" t="s">
        <v>2176</v>
      </c>
      <c r="D418" s="456">
        <v>0</v>
      </c>
      <c r="E418" s="456">
        <v>0</v>
      </c>
      <c r="M418" s="168" t="s">
        <v>266</v>
      </c>
      <c r="N418" s="455" t="s">
        <v>1553</v>
      </c>
      <c r="O418" s="455" t="s">
        <v>59</v>
      </c>
      <c r="P418" s="455"/>
      <c r="Q418" s="455"/>
      <c r="R418" s="523">
        <v>0</v>
      </c>
      <c r="S418" s="523"/>
      <c r="Z418" s="168" t="s">
        <v>266</v>
      </c>
      <c r="AA418" s="455" t="s">
        <v>1553</v>
      </c>
      <c r="AB418" s="455" t="s">
        <v>59</v>
      </c>
      <c r="AC418" s="455"/>
      <c r="AD418" s="455"/>
      <c r="AE418" s="168">
        <v>0</v>
      </c>
      <c r="AF418" s="523">
        <v>0</v>
      </c>
    </row>
    <row r="419" spans="1:32">
      <c r="A419" s="455" t="s">
        <v>2178</v>
      </c>
      <c r="D419" s="456">
        <v>0</v>
      </c>
      <c r="E419" s="456">
        <v>0</v>
      </c>
      <c r="M419" s="168" t="s">
        <v>2700</v>
      </c>
      <c r="N419" s="455" t="s">
        <v>1553</v>
      </c>
      <c r="O419" s="455" t="s">
        <v>261</v>
      </c>
      <c r="P419" s="455">
        <v>2000000</v>
      </c>
      <c r="Q419" s="455">
        <v>1200000</v>
      </c>
      <c r="R419" s="523">
        <v>1432846</v>
      </c>
      <c r="S419" s="523"/>
      <c r="Z419" s="168" t="s">
        <v>2700</v>
      </c>
      <c r="AA419" s="455"/>
      <c r="AB419" s="455"/>
      <c r="AC419" s="455">
        <v>2000000</v>
      </c>
      <c r="AD419" s="455">
        <v>1200000</v>
      </c>
      <c r="AE419" s="168">
        <v>1432846.15</v>
      </c>
      <c r="AF419" s="523">
        <v>1432846</v>
      </c>
    </row>
    <row r="420" spans="1:32">
      <c r="A420" s="455" t="s">
        <v>746</v>
      </c>
      <c r="B420" s="455" t="s">
        <v>2180</v>
      </c>
      <c r="D420" s="456">
        <v>0</v>
      </c>
      <c r="E420" s="456">
        <v>0</v>
      </c>
      <c r="M420" s="168" t="s">
        <v>2701</v>
      </c>
      <c r="N420" s="455" t="s">
        <v>1553</v>
      </c>
      <c r="O420" s="455" t="s">
        <v>261</v>
      </c>
      <c r="P420" s="455">
        <v>470000</v>
      </c>
      <c r="Q420" s="455">
        <v>250700</v>
      </c>
      <c r="R420" s="523">
        <v>166192</v>
      </c>
      <c r="S420" s="523"/>
      <c r="Z420" s="168" t="s">
        <v>2701</v>
      </c>
      <c r="AA420" s="455"/>
      <c r="AB420" s="455"/>
      <c r="AC420" s="455">
        <v>470000</v>
      </c>
      <c r="AD420" s="455">
        <v>250700</v>
      </c>
      <c r="AE420" s="168">
        <v>166191.37</v>
      </c>
      <c r="AF420" s="523">
        <v>166192</v>
      </c>
    </row>
    <row r="421" spans="1:32">
      <c r="A421" s="455" t="s">
        <v>2182</v>
      </c>
      <c r="D421" s="456">
        <v>0</v>
      </c>
      <c r="E421" s="456">
        <v>0</v>
      </c>
      <c r="M421" s="168" t="s">
        <v>283</v>
      </c>
      <c r="N421" s="455" t="s">
        <v>1553</v>
      </c>
      <c r="O421" s="455" t="s">
        <v>2322</v>
      </c>
      <c r="P421" s="455">
        <v>2831</v>
      </c>
      <c r="Q421" s="455">
        <v>2831</v>
      </c>
      <c r="R421" s="523">
        <v>0</v>
      </c>
      <c r="S421" s="523"/>
      <c r="Z421" s="168" t="s">
        <v>283</v>
      </c>
      <c r="AA421" s="455" t="s">
        <v>1553</v>
      </c>
      <c r="AB421" s="455" t="s">
        <v>2322</v>
      </c>
      <c r="AC421" s="455">
        <v>2831</v>
      </c>
      <c r="AD421" s="455">
        <v>2831</v>
      </c>
      <c r="AE421" s="168">
        <v>0</v>
      </c>
      <c r="AF421" s="523">
        <v>0</v>
      </c>
    </row>
    <row r="422" spans="1:32">
      <c r="A422" s="455" t="s">
        <v>2184</v>
      </c>
      <c r="D422" s="456">
        <v>-707153.82</v>
      </c>
      <c r="E422" s="456">
        <v>0</v>
      </c>
      <c r="M422" s="168" t="s">
        <v>3725</v>
      </c>
      <c r="N422" s="455" t="s">
        <v>1553</v>
      </c>
      <c r="O422" s="455" t="s">
        <v>610</v>
      </c>
      <c r="P422" s="455">
        <v>2625</v>
      </c>
      <c r="Q422" s="455"/>
      <c r="R422" s="523"/>
      <c r="S422" s="523"/>
      <c r="Z422" s="168" t="s">
        <v>3725</v>
      </c>
      <c r="AA422" s="455"/>
      <c r="AB422" s="455"/>
      <c r="AC422" s="455">
        <v>2625</v>
      </c>
      <c r="AD422" s="455"/>
      <c r="AF422" s="523"/>
    </row>
    <row r="423" spans="1:32">
      <c r="A423" s="455" t="s">
        <v>2357</v>
      </c>
      <c r="D423" s="456">
        <v>0</v>
      </c>
      <c r="E423" s="456">
        <v>0</v>
      </c>
      <c r="M423" s="168" t="s">
        <v>1143</v>
      </c>
      <c r="N423" s="455" t="s">
        <v>1553</v>
      </c>
      <c r="O423" s="455" t="s">
        <v>612</v>
      </c>
      <c r="P423" s="455">
        <v>33873</v>
      </c>
      <c r="Q423" s="455">
        <v>10000</v>
      </c>
      <c r="R423" s="523">
        <v>167</v>
      </c>
      <c r="S423" s="523"/>
      <c r="Z423" s="168" t="s">
        <v>1143</v>
      </c>
      <c r="AA423" s="455" t="s">
        <v>1553</v>
      </c>
      <c r="AB423" s="455" t="s">
        <v>612</v>
      </c>
      <c r="AC423" s="455">
        <v>33873</v>
      </c>
      <c r="AD423" s="455">
        <v>10000</v>
      </c>
      <c r="AE423" s="168">
        <v>166</v>
      </c>
      <c r="AF423" s="523">
        <v>167</v>
      </c>
    </row>
    <row r="424" spans="1:32">
      <c r="A424" s="455" t="s">
        <v>1711</v>
      </c>
      <c r="D424" s="456">
        <v>-993208.67</v>
      </c>
      <c r="E424" s="456">
        <v>0</v>
      </c>
      <c r="M424" s="168" t="s">
        <v>1144</v>
      </c>
      <c r="N424" s="455" t="s">
        <v>1553</v>
      </c>
      <c r="O424" s="455" t="s">
        <v>99</v>
      </c>
      <c r="P424" s="455">
        <v>767336</v>
      </c>
      <c r="Q424" s="455">
        <v>300000</v>
      </c>
      <c r="R424" s="523">
        <v>443424</v>
      </c>
      <c r="S424" s="523"/>
      <c r="Z424" s="168" t="s">
        <v>1144</v>
      </c>
      <c r="AA424" s="455" t="s">
        <v>1553</v>
      </c>
      <c r="AB424" s="455" t="s">
        <v>99</v>
      </c>
      <c r="AC424" s="455">
        <v>767336</v>
      </c>
      <c r="AD424" s="455">
        <v>300000</v>
      </c>
      <c r="AE424" s="168">
        <v>443424.65</v>
      </c>
      <c r="AF424" s="523">
        <v>443424</v>
      </c>
    </row>
    <row r="425" spans="1:32">
      <c r="A425" s="455"/>
      <c r="D425" s="456">
        <v>0</v>
      </c>
      <c r="E425" s="456">
        <v>0</v>
      </c>
      <c r="M425" s="168" t="s">
        <v>1145</v>
      </c>
      <c r="N425" s="455" t="s">
        <v>1553</v>
      </c>
      <c r="O425" s="455" t="s">
        <v>190</v>
      </c>
      <c r="P425" s="455">
        <v>144181</v>
      </c>
      <c r="Q425" s="455">
        <v>87000</v>
      </c>
      <c r="R425" s="523">
        <v>95438</v>
      </c>
      <c r="S425" s="523"/>
      <c r="Z425" s="168" t="s">
        <v>1145</v>
      </c>
      <c r="AA425" s="455" t="s">
        <v>1553</v>
      </c>
      <c r="AB425" s="455" t="s">
        <v>190</v>
      </c>
      <c r="AC425" s="455">
        <v>144181</v>
      </c>
      <c r="AD425" s="455">
        <v>87000</v>
      </c>
      <c r="AE425" s="168">
        <v>95438.49</v>
      </c>
      <c r="AF425" s="523">
        <v>95438</v>
      </c>
    </row>
    <row r="426" spans="1:32">
      <c r="A426" s="455" t="s">
        <v>1862</v>
      </c>
      <c r="D426" s="456">
        <v>0</v>
      </c>
      <c r="E426" s="456">
        <v>0</v>
      </c>
      <c r="M426" s="168" t="s">
        <v>1146</v>
      </c>
      <c r="N426" s="455" t="s">
        <v>1553</v>
      </c>
      <c r="O426" s="455" t="s">
        <v>1147</v>
      </c>
      <c r="P426" s="455">
        <v>22860</v>
      </c>
      <c r="Q426" s="455">
        <v>22860</v>
      </c>
      <c r="R426" s="523">
        <v>511862</v>
      </c>
      <c r="S426" s="523"/>
      <c r="Z426" s="168" t="s">
        <v>1146</v>
      </c>
      <c r="AA426" s="455" t="s">
        <v>1553</v>
      </c>
      <c r="AB426" s="455" t="s">
        <v>1147</v>
      </c>
      <c r="AC426" s="455">
        <v>22860</v>
      </c>
      <c r="AD426" s="455">
        <v>22860</v>
      </c>
      <c r="AE426" s="168">
        <v>511862.74</v>
      </c>
      <c r="AF426" s="523">
        <v>511862</v>
      </c>
    </row>
    <row r="427" spans="1:32">
      <c r="A427" s="455" t="s">
        <v>746</v>
      </c>
      <c r="D427" s="456">
        <v>-858900</v>
      </c>
      <c r="E427" s="456">
        <v>0</v>
      </c>
      <c r="M427" s="168" t="s">
        <v>1148</v>
      </c>
      <c r="N427" s="455" t="s">
        <v>1553</v>
      </c>
      <c r="O427" s="455" t="s">
        <v>1149</v>
      </c>
      <c r="P427" s="455">
        <v>1413947</v>
      </c>
      <c r="Q427" s="455">
        <v>1413947</v>
      </c>
      <c r="R427" s="523">
        <v>783341</v>
      </c>
      <c r="S427" s="523"/>
      <c r="Z427" s="168" t="s">
        <v>1148</v>
      </c>
      <c r="AA427" s="455" t="s">
        <v>1553</v>
      </c>
      <c r="AB427" s="455" t="s">
        <v>1149</v>
      </c>
      <c r="AC427" s="455">
        <v>1413947</v>
      </c>
      <c r="AD427" s="455">
        <v>1413947</v>
      </c>
      <c r="AE427" s="168">
        <v>783340.4</v>
      </c>
      <c r="AF427" s="523">
        <v>783341</v>
      </c>
    </row>
    <row r="428" spans="1:32">
      <c r="A428" s="455" t="s">
        <v>2570</v>
      </c>
      <c r="B428" s="455" t="s">
        <v>1865</v>
      </c>
      <c r="D428" s="456">
        <v>0</v>
      </c>
      <c r="E428" s="456">
        <v>0</v>
      </c>
      <c r="M428" s="168" t="s">
        <v>1150</v>
      </c>
      <c r="N428" s="455" t="s">
        <v>1553</v>
      </c>
      <c r="O428" s="455" t="s">
        <v>50</v>
      </c>
      <c r="P428" s="455">
        <v>25000</v>
      </c>
      <c r="Q428" s="455">
        <v>5000</v>
      </c>
      <c r="R428" s="523">
        <v>1196</v>
      </c>
      <c r="S428" s="523"/>
      <c r="Z428" s="168" t="s">
        <v>1150</v>
      </c>
      <c r="AA428" s="455" t="s">
        <v>1553</v>
      </c>
      <c r="AB428" s="455" t="s">
        <v>50</v>
      </c>
      <c r="AC428" s="455">
        <v>25000</v>
      </c>
      <c r="AD428" s="455">
        <v>5000</v>
      </c>
      <c r="AE428" s="168">
        <v>1195.33</v>
      </c>
      <c r="AF428" s="523">
        <v>1196</v>
      </c>
    </row>
    <row r="429" spans="1:32">
      <c r="A429" s="455" t="s">
        <v>1117</v>
      </c>
      <c r="D429" s="456">
        <v>0</v>
      </c>
      <c r="E429" s="456">
        <v>0</v>
      </c>
      <c r="M429" s="168" t="s">
        <v>1151</v>
      </c>
      <c r="N429" s="455" t="s">
        <v>1553</v>
      </c>
      <c r="O429" s="455" t="s">
        <v>52</v>
      </c>
      <c r="P429" s="455">
        <v>29796</v>
      </c>
      <c r="Q429" s="455">
        <v>3708</v>
      </c>
      <c r="R429" s="523">
        <v>0</v>
      </c>
      <c r="S429" s="523"/>
      <c r="Z429" s="168" t="s">
        <v>1151</v>
      </c>
      <c r="AA429" s="455" t="s">
        <v>1553</v>
      </c>
      <c r="AB429" s="455" t="s">
        <v>52</v>
      </c>
      <c r="AC429" s="455">
        <v>29796</v>
      </c>
      <c r="AD429" s="455">
        <v>3708</v>
      </c>
      <c r="AE429" s="168">
        <v>0</v>
      </c>
      <c r="AF429" s="523">
        <v>0</v>
      </c>
    </row>
    <row r="430" spans="1:32">
      <c r="A430" s="455" t="s">
        <v>1711</v>
      </c>
      <c r="D430" s="456">
        <v>43385</v>
      </c>
      <c r="E430" s="456">
        <v>0</v>
      </c>
      <c r="M430" s="168" t="s">
        <v>3726</v>
      </c>
      <c r="N430" s="455" t="s">
        <v>1553</v>
      </c>
      <c r="O430" s="455" t="s">
        <v>52</v>
      </c>
      <c r="P430" s="455">
        <v>3708</v>
      </c>
      <c r="Q430" s="455">
        <v>5000</v>
      </c>
      <c r="R430" s="523"/>
      <c r="S430" s="523"/>
      <c r="Z430" s="168" t="s">
        <v>3726</v>
      </c>
      <c r="AA430" s="455"/>
      <c r="AB430" s="455"/>
      <c r="AC430" s="455">
        <v>3708</v>
      </c>
      <c r="AD430" s="455">
        <v>5000</v>
      </c>
      <c r="AF430" s="523"/>
    </row>
    <row r="431" spans="1:32">
      <c r="A431" s="455" t="s">
        <v>569</v>
      </c>
      <c r="B431" s="455" t="s">
        <v>1869</v>
      </c>
      <c r="D431" s="456">
        <v>0</v>
      </c>
      <c r="E431" s="456">
        <v>0</v>
      </c>
      <c r="M431" s="168" t="s">
        <v>2704</v>
      </c>
      <c r="N431" s="455" t="s">
        <v>1553</v>
      </c>
      <c r="O431" s="455" t="s">
        <v>3770</v>
      </c>
      <c r="P431" s="455"/>
      <c r="Q431" s="455"/>
      <c r="R431" s="523">
        <v>20386</v>
      </c>
      <c r="S431" s="523"/>
      <c r="Z431" s="168" t="s">
        <v>2704</v>
      </c>
      <c r="AA431" s="455"/>
      <c r="AB431" s="455"/>
      <c r="AC431" s="455"/>
      <c r="AD431" s="455"/>
      <c r="AE431" s="168">
        <v>20386.37</v>
      </c>
      <c r="AF431" s="523">
        <v>20386</v>
      </c>
    </row>
    <row r="432" spans="1:32">
      <c r="A432" s="455" t="s">
        <v>1872</v>
      </c>
      <c r="D432" s="456">
        <v>0</v>
      </c>
      <c r="E432" s="456">
        <v>0</v>
      </c>
      <c r="M432" s="168" t="s">
        <v>3727</v>
      </c>
      <c r="N432" s="455" t="s">
        <v>1553</v>
      </c>
      <c r="O432" s="455" t="s">
        <v>3723</v>
      </c>
      <c r="P432" s="455">
        <v>2625</v>
      </c>
      <c r="Q432" s="455">
        <v>2000</v>
      </c>
      <c r="R432" s="523"/>
      <c r="S432" s="523"/>
      <c r="Z432" s="168" t="s">
        <v>3727</v>
      </c>
      <c r="AA432" s="455"/>
      <c r="AB432" s="455"/>
      <c r="AC432" s="455">
        <v>2625</v>
      </c>
      <c r="AD432" s="455">
        <v>2000</v>
      </c>
      <c r="AF432" s="523"/>
    </row>
    <row r="433" spans="1:32">
      <c r="A433" s="455" t="s">
        <v>1874</v>
      </c>
      <c r="D433" s="456">
        <v>0</v>
      </c>
      <c r="E433" s="456">
        <v>0</v>
      </c>
      <c r="M433" s="168" t="s">
        <v>1311</v>
      </c>
      <c r="N433" s="455" t="s">
        <v>1553</v>
      </c>
      <c r="O433" s="455" t="s">
        <v>612</v>
      </c>
      <c r="P433" s="455">
        <v>3043</v>
      </c>
      <c r="Q433" s="455"/>
      <c r="R433" s="523">
        <v>0</v>
      </c>
      <c r="S433" s="523"/>
      <c r="Z433" s="168" t="s">
        <v>1311</v>
      </c>
      <c r="AA433" s="455" t="s">
        <v>1553</v>
      </c>
      <c r="AB433" s="455" t="s">
        <v>612</v>
      </c>
      <c r="AC433" s="455">
        <v>3043</v>
      </c>
      <c r="AD433" s="455"/>
      <c r="AE433" s="168">
        <v>0</v>
      </c>
      <c r="AF433" s="523">
        <v>0</v>
      </c>
    </row>
    <row r="434" spans="1:32">
      <c r="A434" s="455" t="s">
        <v>71</v>
      </c>
      <c r="D434" s="456">
        <v>0</v>
      </c>
      <c r="E434" s="456">
        <v>0</v>
      </c>
      <c r="M434" s="168" t="s">
        <v>1312</v>
      </c>
      <c r="N434" s="455" t="s">
        <v>1553</v>
      </c>
      <c r="O434" s="455" t="s">
        <v>616</v>
      </c>
      <c r="P434" s="455">
        <v>32584</v>
      </c>
      <c r="Q434" s="455">
        <v>7500</v>
      </c>
      <c r="R434" s="523">
        <v>0</v>
      </c>
      <c r="S434" s="523"/>
      <c r="Z434" s="168" t="s">
        <v>1312</v>
      </c>
      <c r="AA434" s="455" t="s">
        <v>1553</v>
      </c>
      <c r="AB434" s="455" t="s">
        <v>616</v>
      </c>
      <c r="AC434" s="455">
        <v>32584</v>
      </c>
      <c r="AD434" s="455">
        <v>7500</v>
      </c>
      <c r="AE434" s="168">
        <v>0</v>
      </c>
      <c r="AF434" s="523">
        <v>0</v>
      </c>
    </row>
    <row r="435" spans="1:32">
      <c r="A435" s="455">
        <v>61300001362</v>
      </c>
      <c r="D435" s="456">
        <v>-11896.39</v>
      </c>
      <c r="E435" s="456">
        <v>0</v>
      </c>
      <c r="M435" s="168" t="s">
        <v>1313</v>
      </c>
      <c r="N435" s="455" t="s">
        <v>1553</v>
      </c>
      <c r="O435" s="455" t="s">
        <v>1314</v>
      </c>
      <c r="P435" s="455">
        <v>39060</v>
      </c>
      <c r="Q435" s="455">
        <v>39060</v>
      </c>
      <c r="R435" s="523">
        <v>4641</v>
      </c>
      <c r="S435" s="523"/>
      <c r="Z435" s="168" t="s">
        <v>1313</v>
      </c>
      <c r="AA435" s="455" t="s">
        <v>1553</v>
      </c>
      <c r="AB435" s="455" t="s">
        <v>1314</v>
      </c>
      <c r="AC435" s="455">
        <v>39060</v>
      </c>
      <c r="AD435" s="455">
        <v>39060</v>
      </c>
      <c r="AE435" s="168">
        <v>4640.01</v>
      </c>
      <c r="AF435" s="523">
        <v>4641</v>
      </c>
    </row>
    <row r="436" spans="1:32">
      <c r="A436" s="455" t="s">
        <v>2450</v>
      </c>
      <c r="D436" s="456">
        <v>-11060</v>
      </c>
      <c r="E436" s="456">
        <v>0</v>
      </c>
      <c r="M436" s="168" t="s">
        <v>1315</v>
      </c>
      <c r="N436" s="455" t="s">
        <v>1553</v>
      </c>
      <c r="O436" s="455" t="s">
        <v>1316</v>
      </c>
      <c r="P436" s="455">
        <v>4650</v>
      </c>
      <c r="Q436" s="455">
        <v>2000</v>
      </c>
      <c r="R436" s="523">
        <v>0</v>
      </c>
      <c r="S436" s="523"/>
      <c r="Z436" s="168" t="s">
        <v>1315</v>
      </c>
      <c r="AA436" s="455" t="s">
        <v>1553</v>
      </c>
      <c r="AB436" s="455" t="s">
        <v>1316</v>
      </c>
      <c r="AC436" s="455">
        <v>4650</v>
      </c>
      <c r="AD436" s="455">
        <v>2000</v>
      </c>
      <c r="AE436" s="168">
        <v>0</v>
      </c>
      <c r="AF436" s="523">
        <v>0</v>
      </c>
    </row>
    <row r="437" spans="1:32">
      <c r="A437" s="455" t="s">
        <v>746</v>
      </c>
      <c r="D437" s="456">
        <v>-24650.85</v>
      </c>
      <c r="E437" s="456">
        <v>0</v>
      </c>
      <c r="M437" s="168" t="s">
        <v>1317</v>
      </c>
      <c r="N437" s="455" t="s">
        <v>1553</v>
      </c>
      <c r="O437" s="455" t="s">
        <v>1318</v>
      </c>
      <c r="P437" s="455">
        <v>383</v>
      </c>
      <c r="Q437" s="455">
        <v>211</v>
      </c>
      <c r="R437" s="523">
        <v>0</v>
      </c>
      <c r="S437" s="523"/>
      <c r="Z437" s="168" t="s">
        <v>1317</v>
      </c>
      <c r="AA437" s="455" t="s">
        <v>1553</v>
      </c>
      <c r="AB437" s="455" t="s">
        <v>1318</v>
      </c>
      <c r="AC437" s="455">
        <v>383</v>
      </c>
      <c r="AD437" s="455">
        <v>211</v>
      </c>
      <c r="AE437" s="168">
        <v>0</v>
      </c>
      <c r="AF437" s="523">
        <v>0</v>
      </c>
    </row>
    <row r="438" spans="1:32">
      <c r="A438" s="455" t="s">
        <v>746</v>
      </c>
      <c r="D438" s="456">
        <v>-4493.58</v>
      </c>
      <c r="E438" s="456">
        <v>0</v>
      </c>
      <c r="M438" s="168" t="s">
        <v>1319</v>
      </c>
      <c r="N438" s="455" t="s">
        <v>1553</v>
      </c>
      <c r="O438" s="455" t="s">
        <v>1320</v>
      </c>
      <c r="P438" s="455">
        <v>4724</v>
      </c>
      <c r="Q438" s="455">
        <v>2604</v>
      </c>
      <c r="R438" s="523">
        <v>0</v>
      </c>
      <c r="S438" s="523"/>
      <c r="Z438" s="168" t="s">
        <v>1319</v>
      </c>
      <c r="AA438" s="455" t="s">
        <v>1553</v>
      </c>
      <c r="AB438" s="455" t="s">
        <v>1320</v>
      </c>
      <c r="AC438" s="455">
        <v>4724</v>
      </c>
      <c r="AD438" s="455">
        <v>2604</v>
      </c>
      <c r="AE438" s="168">
        <v>0</v>
      </c>
      <c r="AF438" s="523">
        <v>0</v>
      </c>
    </row>
    <row r="439" spans="1:32">
      <c r="A439" s="455" t="s">
        <v>746</v>
      </c>
      <c r="D439" s="456">
        <v>-10162.200000000001</v>
      </c>
      <c r="E439" s="456">
        <v>0</v>
      </c>
      <c r="M439" s="168" t="s">
        <v>1322</v>
      </c>
      <c r="N439" s="455" t="s">
        <v>1553</v>
      </c>
      <c r="O439" s="455" t="s">
        <v>1323</v>
      </c>
      <c r="P439" s="455">
        <v>4883</v>
      </c>
      <c r="Q439" s="455"/>
      <c r="R439" s="523">
        <v>0</v>
      </c>
      <c r="S439" s="523"/>
      <c r="Z439" s="168" t="s">
        <v>1322</v>
      </c>
      <c r="AA439" s="455" t="s">
        <v>1553</v>
      </c>
      <c r="AB439" s="455" t="s">
        <v>1323</v>
      </c>
      <c r="AC439" s="455">
        <v>4883</v>
      </c>
      <c r="AD439" s="455"/>
      <c r="AE439" s="168">
        <v>0</v>
      </c>
      <c r="AF439" s="523">
        <v>0</v>
      </c>
    </row>
    <row r="440" spans="1:32">
      <c r="A440" s="455" t="s">
        <v>746</v>
      </c>
      <c r="D440" s="456">
        <v>-8422.7800000000007</v>
      </c>
      <c r="E440" s="456">
        <v>0</v>
      </c>
      <c r="M440" s="168" t="s">
        <v>1324</v>
      </c>
      <c r="N440" s="455" t="s">
        <v>1553</v>
      </c>
      <c r="O440" s="455" t="s">
        <v>1325</v>
      </c>
      <c r="P440" s="455">
        <v>7116</v>
      </c>
      <c r="Q440" s="455"/>
      <c r="R440" s="523">
        <v>0</v>
      </c>
      <c r="S440" s="523"/>
      <c r="Z440" s="168" t="s">
        <v>1324</v>
      </c>
      <c r="AA440" s="455" t="s">
        <v>1553</v>
      </c>
      <c r="AB440" s="455" t="s">
        <v>1325</v>
      </c>
      <c r="AC440" s="455">
        <v>7116</v>
      </c>
      <c r="AD440" s="455"/>
      <c r="AE440" s="168">
        <v>0</v>
      </c>
      <c r="AF440" s="523">
        <v>0</v>
      </c>
    </row>
    <row r="441" spans="1:32">
      <c r="A441" s="455" t="s">
        <v>1884</v>
      </c>
      <c r="D441" s="456">
        <v>2352819.92</v>
      </c>
      <c r="E441" s="456">
        <v>0</v>
      </c>
      <c r="M441" s="168" t="s">
        <v>1326</v>
      </c>
      <c r="N441" s="455" t="s">
        <v>1553</v>
      </c>
      <c r="O441" s="455" t="s">
        <v>2322</v>
      </c>
      <c r="P441" s="455">
        <v>43577</v>
      </c>
      <c r="Q441" s="455">
        <v>43577</v>
      </c>
      <c r="R441" s="523">
        <v>0</v>
      </c>
      <c r="S441" s="523"/>
      <c r="Z441" s="168" t="s">
        <v>1326</v>
      </c>
      <c r="AA441" s="455" t="s">
        <v>1553</v>
      </c>
      <c r="AB441" s="455" t="s">
        <v>2322</v>
      </c>
      <c r="AC441" s="455">
        <v>43577</v>
      </c>
      <c r="AD441" s="455">
        <v>43577</v>
      </c>
      <c r="AE441" s="168">
        <v>0</v>
      </c>
      <c r="AF441" s="523">
        <v>0</v>
      </c>
    </row>
    <row r="442" spans="1:32">
      <c r="A442" s="455" t="s">
        <v>746</v>
      </c>
      <c r="D442" s="456">
        <v>-17261.25</v>
      </c>
      <c r="E442" s="456">
        <v>0</v>
      </c>
      <c r="M442" s="168" t="s">
        <v>1327</v>
      </c>
      <c r="N442" s="455" t="s">
        <v>1553</v>
      </c>
      <c r="O442" s="455" t="s">
        <v>631</v>
      </c>
      <c r="P442" s="455">
        <v>721</v>
      </c>
      <c r="Q442" s="455">
        <v>721</v>
      </c>
      <c r="R442" s="523">
        <v>0</v>
      </c>
      <c r="S442" s="523"/>
      <c r="Z442" s="168" t="s">
        <v>1327</v>
      </c>
      <c r="AA442" s="455" t="s">
        <v>1553</v>
      </c>
      <c r="AB442" s="455" t="s">
        <v>631</v>
      </c>
      <c r="AC442" s="455">
        <v>721</v>
      </c>
      <c r="AD442" s="455">
        <v>721</v>
      </c>
      <c r="AE442" s="168">
        <v>0</v>
      </c>
      <c r="AF442" s="523">
        <v>0</v>
      </c>
    </row>
    <row r="443" spans="1:32">
      <c r="A443" s="455" t="s">
        <v>746</v>
      </c>
      <c r="D443" s="456">
        <v>0</v>
      </c>
      <c r="E443" s="456">
        <v>0</v>
      </c>
      <c r="M443" s="168" t="s">
        <v>1328</v>
      </c>
      <c r="N443" s="455" t="s">
        <v>1553</v>
      </c>
      <c r="O443" s="455" t="s">
        <v>633</v>
      </c>
      <c r="P443" s="455">
        <v>5039</v>
      </c>
      <c r="Q443" s="455">
        <v>1500</v>
      </c>
      <c r="R443" s="523">
        <v>0</v>
      </c>
      <c r="S443" s="523"/>
      <c r="Z443" s="168" t="s">
        <v>1328</v>
      </c>
      <c r="AA443" s="455" t="s">
        <v>1553</v>
      </c>
      <c r="AB443" s="455" t="s">
        <v>633</v>
      </c>
      <c r="AC443" s="455">
        <v>5039</v>
      </c>
      <c r="AD443" s="455">
        <v>1500</v>
      </c>
      <c r="AE443" s="168">
        <v>0</v>
      </c>
      <c r="AF443" s="523">
        <v>0</v>
      </c>
    </row>
    <row r="444" spans="1:32">
      <c r="A444" s="455" t="s">
        <v>746</v>
      </c>
      <c r="D444" s="456">
        <v>0</v>
      </c>
      <c r="E444" s="456">
        <v>0</v>
      </c>
      <c r="M444" s="168" t="s">
        <v>1329</v>
      </c>
      <c r="N444" s="455" t="s">
        <v>1553</v>
      </c>
      <c r="O444" s="455" t="s">
        <v>253</v>
      </c>
      <c r="P444" s="455">
        <v>977</v>
      </c>
      <c r="Q444" s="455"/>
      <c r="R444" s="523">
        <v>0</v>
      </c>
      <c r="S444" s="523"/>
      <c r="Z444" s="168" t="s">
        <v>1329</v>
      </c>
      <c r="AA444" s="455" t="s">
        <v>1553</v>
      </c>
      <c r="AB444" s="455" t="s">
        <v>253</v>
      </c>
      <c r="AC444" s="455">
        <v>977</v>
      </c>
      <c r="AD444" s="455"/>
      <c r="AE444" s="168">
        <v>0</v>
      </c>
      <c r="AF444" s="523">
        <v>0</v>
      </c>
    </row>
    <row r="445" spans="1:32">
      <c r="A445" s="455" t="s">
        <v>746</v>
      </c>
      <c r="B445" s="455" t="s">
        <v>81</v>
      </c>
      <c r="D445" s="456">
        <v>0</v>
      </c>
      <c r="E445" s="456">
        <v>0</v>
      </c>
      <c r="M445" s="168" t="s">
        <v>1330</v>
      </c>
      <c r="N445" s="455" t="s">
        <v>1553</v>
      </c>
      <c r="O445" s="455" t="s">
        <v>50</v>
      </c>
      <c r="P445" s="455">
        <v>30841</v>
      </c>
      <c r="Q445" s="455"/>
      <c r="R445" s="523">
        <v>0</v>
      </c>
      <c r="S445" s="523"/>
      <c r="Z445" s="168" t="s">
        <v>1330</v>
      </c>
      <c r="AA445" s="455" t="s">
        <v>1553</v>
      </c>
      <c r="AB445" s="455" t="s">
        <v>50</v>
      </c>
      <c r="AC445" s="455">
        <v>30841</v>
      </c>
      <c r="AD445" s="455"/>
      <c r="AE445" s="168">
        <v>0</v>
      </c>
      <c r="AF445" s="523">
        <v>0</v>
      </c>
    </row>
    <row r="446" spans="1:32">
      <c r="A446" s="455" t="s">
        <v>746</v>
      </c>
      <c r="B446" s="455" t="s">
        <v>569</v>
      </c>
      <c r="D446" s="456">
        <v>5025471.25</v>
      </c>
      <c r="E446" s="456">
        <v>0</v>
      </c>
      <c r="M446" s="168" t="s">
        <v>1331</v>
      </c>
      <c r="N446" s="455" t="s">
        <v>1553</v>
      </c>
      <c r="O446" s="455" t="s">
        <v>52</v>
      </c>
      <c r="P446" s="455">
        <v>3465</v>
      </c>
      <c r="Q446" s="455">
        <v>800</v>
      </c>
      <c r="R446" s="523">
        <v>0</v>
      </c>
      <c r="S446" s="523"/>
      <c r="Z446" s="168" t="s">
        <v>1331</v>
      </c>
      <c r="AA446" s="455" t="s">
        <v>1553</v>
      </c>
      <c r="AB446" s="455" t="s">
        <v>52</v>
      </c>
      <c r="AC446" s="455">
        <v>3465</v>
      </c>
      <c r="AD446" s="455">
        <v>800</v>
      </c>
      <c r="AE446" s="168">
        <v>0</v>
      </c>
      <c r="AF446" s="523">
        <v>0</v>
      </c>
    </row>
    <row r="447" spans="1:32">
      <c r="A447" s="455" t="s">
        <v>746</v>
      </c>
      <c r="B447" s="455" t="s">
        <v>1892</v>
      </c>
      <c r="D447" s="456">
        <v>0</v>
      </c>
      <c r="E447" s="456">
        <v>0</v>
      </c>
      <c r="M447" s="168" t="s">
        <v>1332</v>
      </c>
      <c r="N447" s="455" t="s">
        <v>1553</v>
      </c>
      <c r="O447" s="455" t="s">
        <v>52</v>
      </c>
      <c r="P447" s="455">
        <v>7861</v>
      </c>
      <c r="Q447" s="455"/>
      <c r="R447" s="523">
        <v>0</v>
      </c>
      <c r="S447" s="523"/>
      <c r="Z447" s="168" t="s">
        <v>1332</v>
      </c>
      <c r="AA447" s="455" t="s">
        <v>1553</v>
      </c>
      <c r="AB447" s="455" t="s">
        <v>52</v>
      </c>
      <c r="AC447" s="455">
        <v>7861</v>
      </c>
      <c r="AD447" s="455"/>
      <c r="AE447" s="168">
        <v>0</v>
      </c>
      <c r="AF447" s="523">
        <v>0</v>
      </c>
    </row>
    <row r="448" spans="1:32">
      <c r="A448" s="455" t="s">
        <v>2159</v>
      </c>
      <c r="D448" s="456">
        <v>0</v>
      </c>
      <c r="E448" s="456">
        <v>0</v>
      </c>
      <c r="M448" s="168" t="s">
        <v>1333</v>
      </c>
      <c r="N448" s="455" t="s">
        <v>1553</v>
      </c>
      <c r="O448" s="455" t="s">
        <v>60</v>
      </c>
      <c r="P448" s="455"/>
      <c r="Q448" s="455"/>
      <c r="R448" s="523">
        <v>0</v>
      </c>
      <c r="S448" s="523"/>
      <c r="Z448" s="168" t="s">
        <v>1333</v>
      </c>
      <c r="AA448" s="455" t="s">
        <v>1553</v>
      </c>
      <c r="AB448" s="455" t="s">
        <v>60</v>
      </c>
      <c r="AC448" s="455"/>
      <c r="AD448" s="455"/>
      <c r="AE448" s="168">
        <v>0</v>
      </c>
      <c r="AF448" s="523">
        <v>0</v>
      </c>
    </row>
    <row r="449" spans="1:32">
      <c r="A449" s="455" t="s">
        <v>1321</v>
      </c>
      <c r="D449" s="456">
        <v>0</v>
      </c>
      <c r="E449" s="456">
        <v>0</v>
      </c>
      <c r="M449" s="168" t="s">
        <v>1334</v>
      </c>
      <c r="N449" s="455" t="s">
        <v>1553</v>
      </c>
      <c r="O449" s="455" t="s">
        <v>1335</v>
      </c>
      <c r="P449" s="455">
        <v>739</v>
      </c>
      <c r="Q449" s="455">
        <v>407</v>
      </c>
      <c r="R449" s="523">
        <v>0</v>
      </c>
      <c r="S449" s="523"/>
      <c r="Z449" s="168" t="s">
        <v>1334</v>
      </c>
      <c r="AA449" s="455" t="s">
        <v>1553</v>
      </c>
      <c r="AB449" s="455" t="s">
        <v>1335</v>
      </c>
      <c r="AC449" s="455">
        <v>739</v>
      </c>
      <c r="AD449" s="455">
        <v>407</v>
      </c>
      <c r="AE449" s="168">
        <v>0</v>
      </c>
      <c r="AF449" s="523">
        <v>0</v>
      </c>
    </row>
    <row r="450" spans="1:32">
      <c r="A450" s="455" t="s">
        <v>1896</v>
      </c>
      <c r="D450" s="456">
        <v>57303.34</v>
      </c>
      <c r="E450" s="456">
        <v>0</v>
      </c>
      <c r="M450" s="168" t="s">
        <v>1336</v>
      </c>
      <c r="N450" s="455" t="s">
        <v>1553</v>
      </c>
      <c r="O450" s="455" t="s">
        <v>1337</v>
      </c>
      <c r="P450" s="455">
        <v>9300</v>
      </c>
      <c r="Q450" s="455"/>
      <c r="R450" s="523">
        <v>750</v>
      </c>
      <c r="S450" s="523"/>
      <c r="Z450" s="168" t="s">
        <v>1336</v>
      </c>
      <c r="AA450" s="455" t="s">
        <v>1553</v>
      </c>
      <c r="AB450" s="455" t="s">
        <v>1337</v>
      </c>
      <c r="AC450" s="455">
        <v>9300</v>
      </c>
      <c r="AD450" s="455"/>
      <c r="AE450" s="168">
        <v>750</v>
      </c>
      <c r="AF450" s="523">
        <v>750</v>
      </c>
    </row>
    <row r="451" spans="1:32">
      <c r="A451" s="455" t="s">
        <v>800</v>
      </c>
      <c r="D451" s="456">
        <v>0</v>
      </c>
      <c r="E451" s="456">
        <v>0</v>
      </c>
      <c r="M451" s="168" t="s">
        <v>1338</v>
      </c>
      <c r="N451" s="455" t="s">
        <v>1553</v>
      </c>
      <c r="O451" s="455" t="s">
        <v>1339</v>
      </c>
      <c r="P451" s="455">
        <v>4883</v>
      </c>
      <c r="Q451" s="455"/>
      <c r="R451" s="523">
        <v>0</v>
      </c>
      <c r="S451" s="523"/>
      <c r="Z451" s="168" t="s">
        <v>1338</v>
      </c>
      <c r="AA451" s="455" t="s">
        <v>1553</v>
      </c>
      <c r="AB451" s="455" t="s">
        <v>1339</v>
      </c>
      <c r="AC451" s="455">
        <v>4883</v>
      </c>
      <c r="AD451" s="455"/>
      <c r="AE451" s="168">
        <v>0</v>
      </c>
      <c r="AF451" s="523">
        <v>0</v>
      </c>
    </row>
    <row r="452" spans="1:32">
      <c r="A452" s="455" t="s">
        <v>265</v>
      </c>
      <c r="D452" s="456">
        <v>0</v>
      </c>
      <c r="E452" s="456">
        <v>0</v>
      </c>
      <c r="M452" s="168" t="s">
        <v>1340</v>
      </c>
      <c r="N452" s="455" t="s">
        <v>1553</v>
      </c>
      <c r="O452" s="455" t="s">
        <v>62</v>
      </c>
      <c r="P452" s="455">
        <v>14648</v>
      </c>
      <c r="Q452" s="455">
        <v>4000</v>
      </c>
      <c r="R452" s="523">
        <v>3325</v>
      </c>
      <c r="S452" s="523"/>
      <c r="Z452" s="168" t="s">
        <v>1340</v>
      </c>
      <c r="AA452" s="455" t="s">
        <v>1553</v>
      </c>
      <c r="AB452" s="455" t="s">
        <v>62</v>
      </c>
      <c r="AC452" s="455">
        <v>14648</v>
      </c>
      <c r="AD452" s="455">
        <v>4000</v>
      </c>
      <c r="AE452" s="168">
        <v>3325</v>
      </c>
      <c r="AF452" s="523">
        <v>3325</v>
      </c>
    </row>
    <row r="453" spans="1:32">
      <c r="A453" s="455" t="s">
        <v>2562</v>
      </c>
      <c r="D453" s="456">
        <v>0</v>
      </c>
      <c r="E453" s="456">
        <v>0</v>
      </c>
      <c r="M453" s="168" t="s">
        <v>1358</v>
      </c>
      <c r="N453" s="455" t="s">
        <v>1553</v>
      </c>
      <c r="O453" s="455" t="s">
        <v>616</v>
      </c>
      <c r="P453" s="455">
        <v>4605</v>
      </c>
      <c r="Q453" s="455">
        <v>3000</v>
      </c>
      <c r="R453" s="523">
        <v>1162</v>
      </c>
      <c r="S453" s="523"/>
      <c r="Z453" s="168" t="s">
        <v>1358</v>
      </c>
      <c r="AA453" s="455" t="s">
        <v>1553</v>
      </c>
      <c r="AB453" s="455" t="s">
        <v>616</v>
      </c>
      <c r="AC453" s="455">
        <v>4605</v>
      </c>
      <c r="AD453" s="455">
        <v>3000</v>
      </c>
      <c r="AE453" s="168">
        <v>1161.56</v>
      </c>
      <c r="AF453" s="523">
        <v>1162</v>
      </c>
    </row>
    <row r="454" spans="1:32">
      <c r="A454" s="455" t="s">
        <v>1901</v>
      </c>
      <c r="D454" s="456">
        <v>0</v>
      </c>
      <c r="E454" s="456">
        <v>0</v>
      </c>
      <c r="M454" s="168" t="s">
        <v>1359</v>
      </c>
      <c r="N454" s="455" t="s">
        <v>1553</v>
      </c>
      <c r="O454" s="455" t="s">
        <v>622</v>
      </c>
      <c r="P454" s="455">
        <v>14509</v>
      </c>
      <c r="Q454" s="455">
        <v>8000</v>
      </c>
      <c r="R454" s="523">
        <v>4595</v>
      </c>
      <c r="S454" s="523"/>
      <c r="Z454" s="168" t="s">
        <v>1359</v>
      </c>
      <c r="AA454" s="455" t="s">
        <v>1553</v>
      </c>
      <c r="AB454" s="455" t="s">
        <v>622</v>
      </c>
      <c r="AC454" s="455">
        <v>14509</v>
      </c>
      <c r="AD454" s="455">
        <v>8000</v>
      </c>
      <c r="AE454" s="168">
        <v>4594.92</v>
      </c>
      <c r="AF454" s="523">
        <v>4595</v>
      </c>
    </row>
    <row r="455" spans="1:32">
      <c r="A455" s="455" t="s">
        <v>2338</v>
      </c>
      <c r="D455" s="456">
        <v>0</v>
      </c>
      <c r="E455" s="456">
        <v>0</v>
      </c>
      <c r="M455" s="168" t="s">
        <v>1360</v>
      </c>
      <c r="N455" s="455" t="s">
        <v>1553</v>
      </c>
      <c r="O455" s="455" t="s">
        <v>2322</v>
      </c>
      <c r="P455" s="455">
        <v>21917</v>
      </c>
      <c r="Q455" s="455">
        <v>21917</v>
      </c>
      <c r="R455" s="523">
        <v>0</v>
      </c>
      <c r="S455" s="523"/>
      <c r="Z455" s="168" t="s">
        <v>1360</v>
      </c>
      <c r="AA455" s="455" t="s">
        <v>1553</v>
      </c>
      <c r="AB455" s="455" t="s">
        <v>2322</v>
      </c>
      <c r="AC455" s="455">
        <v>21917</v>
      </c>
      <c r="AD455" s="455">
        <v>21917</v>
      </c>
      <c r="AE455" s="168">
        <v>0</v>
      </c>
      <c r="AF455" s="523">
        <v>0</v>
      </c>
    </row>
    <row r="456" spans="1:32">
      <c r="A456" s="455" t="s">
        <v>1904</v>
      </c>
      <c r="B456" s="455" t="s">
        <v>1905</v>
      </c>
      <c r="D456" s="456">
        <v>0</v>
      </c>
      <c r="E456" s="456">
        <v>0</v>
      </c>
      <c r="M456" s="168" t="s">
        <v>1361</v>
      </c>
      <c r="N456" s="455" t="s">
        <v>1553</v>
      </c>
      <c r="O456" s="455" t="s">
        <v>253</v>
      </c>
      <c r="P456" s="455">
        <v>1719</v>
      </c>
      <c r="Q456" s="455">
        <v>948</v>
      </c>
      <c r="R456" s="523">
        <v>0</v>
      </c>
      <c r="S456" s="523"/>
      <c r="Z456" s="168" t="s">
        <v>1361</v>
      </c>
      <c r="AA456" s="455" t="s">
        <v>1553</v>
      </c>
      <c r="AB456" s="455" t="s">
        <v>253</v>
      </c>
      <c r="AC456" s="455">
        <v>1719</v>
      </c>
      <c r="AD456" s="455">
        <v>948</v>
      </c>
      <c r="AE456" s="168">
        <v>0</v>
      </c>
      <c r="AF456" s="523">
        <v>0</v>
      </c>
    </row>
    <row r="457" spans="1:32">
      <c r="A457" s="455" t="s">
        <v>1907</v>
      </c>
      <c r="D457" s="456">
        <v>0</v>
      </c>
      <c r="E457" s="456">
        <v>0</v>
      </c>
      <c r="M457" s="168" t="s">
        <v>1362</v>
      </c>
      <c r="N457" s="455" t="s">
        <v>1553</v>
      </c>
      <c r="O457" s="455" t="s">
        <v>50</v>
      </c>
      <c r="P457" s="455">
        <v>38860</v>
      </c>
      <c r="Q457" s="455">
        <v>4790</v>
      </c>
      <c r="R457" s="523">
        <v>967</v>
      </c>
      <c r="S457" s="523"/>
      <c r="Z457" s="168" t="s">
        <v>1362</v>
      </c>
      <c r="AA457" s="455" t="s">
        <v>1553</v>
      </c>
      <c r="AB457" s="455" t="s">
        <v>50</v>
      </c>
      <c r="AC457" s="455">
        <v>38860</v>
      </c>
      <c r="AD457" s="455">
        <v>4790</v>
      </c>
      <c r="AE457" s="168">
        <v>966.28</v>
      </c>
      <c r="AF457" s="523">
        <v>967</v>
      </c>
    </row>
    <row r="458" spans="1:32">
      <c r="A458" s="455" t="s">
        <v>1909</v>
      </c>
      <c r="B458" s="455" t="s">
        <v>1910</v>
      </c>
      <c r="D458" s="456">
        <v>0</v>
      </c>
      <c r="E458" s="456">
        <v>0</v>
      </c>
      <c r="M458" s="168" t="s">
        <v>3731</v>
      </c>
      <c r="N458" s="455" t="s">
        <v>1553</v>
      </c>
      <c r="O458" s="455" t="s">
        <v>3732</v>
      </c>
      <c r="P458" s="455">
        <v>2772</v>
      </c>
      <c r="Q458" s="455"/>
      <c r="R458" s="523"/>
      <c r="S458" s="523"/>
      <c r="Z458" s="168" t="s">
        <v>3731</v>
      </c>
      <c r="AA458" s="455"/>
      <c r="AB458" s="455" t="s">
        <v>3732</v>
      </c>
      <c r="AC458" s="455">
        <v>2772</v>
      </c>
      <c r="AD458" s="455"/>
      <c r="AF458" s="523"/>
    </row>
    <row r="459" spans="1:32">
      <c r="A459" s="455" t="s">
        <v>1912</v>
      </c>
      <c r="D459" s="456">
        <v>0</v>
      </c>
      <c r="E459" s="456">
        <v>0</v>
      </c>
      <c r="M459" s="168" t="s">
        <v>1379</v>
      </c>
      <c r="N459" s="455" t="s">
        <v>1553</v>
      </c>
      <c r="O459" s="455" t="s">
        <v>616</v>
      </c>
      <c r="P459" s="455">
        <v>2161</v>
      </c>
      <c r="Q459" s="455">
        <v>3000</v>
      </c>
      <c r="R459" s="523">
        <v>2705</v>
      </c>
      <c r="S459" s="523"/>
      <c r="Z459" s="168" t="s">
        <v>1379</v>
      </c>
      <c r="AA459" s="455" t="s">
        <v>1553</v>
      </c>
      <c r="AB459" s="455" t="s">
        <v>616</v>
      </c>
      <c r="AC459" s="455">
        <v>2161</v>
      </c>
      <c r="AD459" s="455">
        <v>3000</v>
      </c>
      <c r="AE459" s="168">
        <v>2704.05</v>
      </c>
      <c r="AF459" s="523">
        <v>2705</v>
      </c>
    </row>
    <row r="460" spans="1:32">
      <c r="A460" s="455" t="s">
        <v>2338</v>
      </c>
      <c r="D460" s="456">
        <v>0</v>
      </c>
      <c r="E460" s="456">
        <v>0</v>
      </c>
      <c r="M460" s="168" t="s">
        <v>1380</v>
      </c>
      <c r="N460" s="455" t="s">
        <v>1553</v>
      </c>
      <c r="O460" s="455" t="s">
        <v>2322</v>
      </c>
      <c r="P460" s="455">
        <v>4392</v>
      </c>
      <c r="Q460" s="455">
        <v>4392</v>
      </c>
      <c r="R460" s="523">
        <v>0</v>
      </c>
      <c r="S460" s="523"/>
      <c r="Z460" s="168" t="s">
        <v>1380</v>
      </c>
      <c r="AA460" s="455" t="s">
        <v>1553</v>
      </c>
      <c r="AB460" s="455" t="s">
        <v>2322</v>
      </c>
      <c r="AC460" s="455">
        <v>4392</v>
      </c>
      <c r="AD460" s="455">
        <v>4392</v>
      </c>
      <c r="AE460" s="168">
        <v>0</v>
      </c>
      <c r="AF460" s="523">
        <v>0</v>
      </c>
    </row>
    <row r="461" spans="1:32">
      <c r="A461" s="455" t="s">
        <v>1915</v>
      </c>
      <c r="B461" s="455" t="s">
        <v>1916</v>
      </c>
      <c r="D461" s="456">
        <v>0</v>
      </c>
      <c r="E461" s="456">
        <v>0</v>
      </c>
      <c r="M461" s="168" t="s">
        <v>1381</v>
      </c>
      <c r="N461" s="455" t="s">
        <v>1553</v>
      </c>
      <c r="O461" s="455" t="s">
        <v>253</v>
      </c>
      <c r="P461" s="455">
        <v>802</v>
      </c>
      <c r="Q461" s="455">
        <v>802</v>
      </c>
      <c r="R461" s="523">
        <v>0</v>
      </c>
      <c r="S461" s="523"/>
      <c r="Z461" s="168" t="s">
        <v>1381</v>
      </c>
      <c r="AA461" s="455" t="s">
        <v>1553</v>
      </c>
      <c r="AB461" s="455" t="s">
        <v>253</v>
      </c>
      <c r="AC461" s="455">
        <v>802</v>
      </c>
      <c r="AD461" s="455">
        <v>802</v>
      </c>
      <c r="AE461" s="168">
        <v>0</v>
      </c>
      <c r="AF461" s="523">
        <v>0</v>
      </c>
    </row>
    <row r="462" spans="1:32">
      <c r="A462" s="455" t="s">
        <v>1918</v>
      </c>
      <c r="D462" s="456">
        <v>0</v>
      </c>
      <c r="E462" s="456">
        <v>0</v>
      </c>
      <c r="M462" s="168" t="s">
        <v>1382</v>
      </c>
      <c r="N462" s="455" t="s">
        <v>1553</v>
      </c>
      <c r="O462" s="455" t="s">
        <v>2325</v>
      </c>
      <c r="P462" s="455">
        <v>8456</v>
      </c>
      <c r="Q462" s="455">
        <v>3228</v>
      </c>
      <c r="R462" s="523">
        <v>0</v>
      </c>
      <c r="S462" s="523"/>
      <c r="Z462" s="168" t="s">
        <v>1382</v>
      </c>
      <c r="AA462" s="455" t="s">
        <v>1553</v>
      </c>
      <c r="AB462" s="455" t="s">
        <v>2325</v>
      </c>
      <c r="AC462" s="455">
        <v>8456</v>
      </c>
      <c r="AD462" s="455">
        <v>3228</v>
      </c>
      <c r="AE462" s="168">
        <v>0</v>
      </c>
      <c r="AF462" s="523">
        <v>0</v>
      </c>
    </row>
    <row r="463" spans="1:32">
      <c r="A463" s="455" t="s">
        <v>1920</v>
      </c>
      <c r="D463" s="456">
        <v>0</v>
      </c>
      <c r="E463" s="456">
        <v>0</v>
      </c>
      <c r="M463" s="168" t="s">
        <v>1169</v>
      </c>
      <c r="N463" s="455" t="s">
        <v>1553</v>
      </c>
      <c r="O463" s="455" t="s">
        <v>99</v>
      </c>
      <c r="P463" s="455"/>
      <c r="Q463" s="455"/>
      <c r="R463" s="523">
        <v>0</v>
      </c>
      <c r="S463" s="523"/>
      <c r="Z463" s="168" t="s">
        <v>1169</v>
      </c>
      <c r="AA463" s="455" t="s">
        <v>1553</v>
      </c>
      <c r="AB463" s="455" t="s">
        <v>99</v>
      </c>
      <c r="AC463" s="455"/>
      <c r="AD463" s="455"/>
      <c r="AE463" s="168">
        <v>0</v>
      </c>
      <c r="AF463" s="523">
        <v>0</v>
      </c>
    </row>
    <row r="464" spans="1:32">
      <c r="A464" s="455" t="s">
        <v>1922</v>
      </c>
      <c r="D464" s="456">
        <v>0</v>
      </c>
      <c r="E464" s="456">
        <v>0</v>
      </c>
      <c r="M464" s="168" t="s">
        <v>1170</v>
      </c>
      <c r="N464" s="455" t="s">
        <v>1553</v>
      </c>
      <c r="O464" s="455" t="s">
        <v>616</v>
      </c>
      <c r="P464" s="455">
        <v>37478</v>
      </c>
      <c r="Q464" s="455">
        <v>55000</v>
      </c>
      <c r="R464" s="523">
        <v>134610</v>
      </c>
      <c r="S464" s="523"/>
      <c r="Z464" s="168" t="s">
        <v>1170</v>
      </c>
      <c r="AA464" s="455" t="s">
        <v>1553</v>
      </c>
      <c r="AB464" s="455" t="s">
        <v>616</v>
      </c>
      <c r="AC464" s="455">
        <v>37478</v>
      </c>
      <c r="AD464" s="455">
        <v>55000</v>
      </c>
      <c r="AE464" s="168">
        <v>134610.22</v>
      </c>
      <c r="AF464" s="523">
        <v>134610</v>
      </c>
    </row>
    <row r="465" spans="1:32">
      <c r="A465" s="455" t="s">
        <v>1924</v>
      </c>
      <c r="D465" s="456">
        <v>0</v>
      </c>
      <c r="E465" s="456">
        <v>0</v>
      </c>
      <c r="M465" s="168" t="s">
        <v>1171</v>
      </c>
      <c r="N465" s="455" t="s">
        <v>1553</v>
      </c>
      <c r="O465" s="455" t="s">
        <v>622</v>
      </c>
      <c r="P465" s="455">
        <v>100580</v>
      </c>
      <c r="Q465" s="455">
        <v>100580</v>
      </c>
      <c r="R465" s="523">
        <v>116532</v>
      </c>
      <c r="S465" s="523"/>
      <c r="Z465" s="168" t="s">
        <v>1171</v>
      </c>
      <c r="AA465" s="455" t="s">
        <v>1553</v>
      </c>
      <c r="AB465" s="455" t="s">
        <v>622</v>
      </c>
      <c r="AC465" s="455">
        <v>100580</v>
      </c>
      <c r="AD465" s="455">
        <v>100580</v>
      </c>
      <c r="AE465" s="168">
        <v>116532.57</v>
      </c>
      <c r="AF465" s="523">
        <v>116532</v>
      </c>
    </row>
    <row r="466" spans="1:32">
      <c r="A466" s="455" t="s">
        <v>1926</v>
      </c>
      <c r="D466" s="456">
        <v>0</v>
      </c>
      <c r="E466" s="456">
        <v>0</v>
      </c>
      <c r="M466" s="168" t="s">
        <v>1172</v>
      </c>
      <c r="N466" s="455" t="s">
        <v>1553</v>
      </c>
      <c r="O466" s="455" t="s">
        <v>2322</v>
      </c>
      <c r="P466" s="455">
        <v>8937</v>
      </c>
      <c r="Q466" s="455">
        <v>8937</v>
      </c>
      <c r="R466" s="523">
        <v>0</v>
      </c>
      <c r="S466" s="523"/>
      <c r="Z466" s="168" t="s">
        <v>1172</v>
      </c>
      <c r="AA466" s="455" t="s">
        <v>1553</v>
      </c>
      <c r="AB466" s="455" t="s">
        <v>2322</v>
      </c>
      <c r="AC466" s="455">
        <v>8937</v>
      </c>
      <c r="AD466" s="455">
        <v>8937</v>
      </c>
      <c r="AE466" s="168">
        <v>0</v>
      </c>
      <c r="AF466" s="523">
        <v>0</v>
      </c>
    </row>
    <row r="467" spans="1:32">
      <c r="A467" s="455" t="s">
        <v>1928</v>
      </c>
      <c r="D467" s="456">
        <v>0</v>
      </c>
      <c r="E467" s="456">
        <v>0</v>
      </c>
      <c r="M467" s="168" t="s">
        <v>1173</v>
      </c>
      <c r="N467" s="455" t="s">
        <v>1553</v>
      </c>
      <c r="O467" s="455" t="s">
        <v>624</v>
      </c>
      <c r="P467" s="455">
        <v>4351</v>
      </c>
      <c r="Q467" s="455">
        <v>3000</v>
      </c>
      <c r="R467" s="523">
        <v>1134</v>
      </c>
      <c r="S467" s="523"/>
      <c r="Z467" s="168" t="s">
        <v>1173</v>
      </c>
      <c r="AA467" s="455" t="s">
        <v>1553</v>
      </c>
      <c r="AB467" s="455" t="s">
        <v>624</v>
      </c>
      <c r="AC467" s="455">
        <v>4351</v>
      </c>
      <c r="AD467" s="455">
        <v>3000</v>
      </c>
      <c r="AE467" s="168">
        <v>1134</v>
      </c>
      <c r="AF467" s="523">
        <v>1134</v>
      </c>
    </row>
    <row r="468" spans="1:32">
      <c r="A468" s="455" t="s">
        <v>1930</v>
      </c>
      <c r="D468" s="456">
        <v>0</v>
      </c>
      <c r="E468" s="456">
        <v>0</v>
      </c>
      <c r="M468" s="168" t="s">
        <v>1174</v>
      </c>
      <c r="N468" s="455" t="s">
        <v>1553</v>
      </c>
      <c r="O468" s="455" t="s">
        <v>633</v>
      </c>
      <c r="P468" s="455">
        <v>209</v>
      </c>
      <c r="Q468" s="455">
        <v>209</v>
      </c>
      <c r="R468" s="523">
        <v>0</v>
      </c>
      <c r="S468" s="523"/>
      <c r="Z468" s="168" t="s">
        <v>1174</v>
      </c>
      <c r="AA468" s="455" t="s">
        <v>1553</v>
      </c>
      <c r="AB468" s="455" t="s">
        <v>633</v>
      </c>
      <c r="AC468" s="455">
        <v>209</v>
      </c>
      <c r="AD468" s="455">
        <v>209</v>
      </c>
      <c r="AE468" s="168">
        <v>0</v>
      </c>
      <c r="AF468" s="523">
        <v>0</v>
      </c>
    </row>
    <row r="469" spans="1:32">
      <c r="A469" s="455" t="s">
        <v>1932</v>
      </c>
      <c r="D469" s="456">
        <v>0</v>
      </c>
      <c r="E469" s="456">
        <v>0</v>
      </c>
      <c r="M469" s="168" t="s">
        <v>1175</v>
      </c>
      <c r="N469" s="455" t="s">
        <v>1553</v>
      </c>
      <c r="O469" s="455" t="s">
        <v>253</v>
      </c>
      <c r="P469" s="455">
        <v>67080</v>
      </c>
      <c r="Q469" s="455">
        <v>40000</v>
      </c>
      <c r="R469" s="523">
        <v>71332</v>
      </c>
      <c r="S469" s="523"/>
      <c r="Z469" s="168" t="s">
        <v>1175</v>
      </c>
      <c r="AA469" s="455" t="s">
        <v>1553</v>
      </c>
      <c r="AB469" s="455" t="s">
        <v>253</v>
      </c>
      <c r="AC469" s="455">
        <v>67080</v>
      </c>
      <c r="AD469" s="455">
        <v>40000</v>
      </c>
      <c r="AE469" s="168">
        <v>71332.06</v>
      </c>
      <c r="AF469" s="523">
        <v>71332</v>
      </c>
    </row>
    <row r="470" spans="1:32">
      <c r="A470" s="455" t="s">
        <v>569</v>
      </c>
      <c r="B470" s="455" t="s">
        <v>1869</v>
      </c>
      <c r="D470" s="456">
        <v>0</v>
      </c>
      <c r="E470" s="456">
        <v>0</v>
      </c>
      <c r="M470" s="168" t="s">
        <v>2708</v>
      </c>
      <c r="N470" s="455" t="s">
        <v>1553</v>
      </c>
      <c r="O470" s="455" t="s">
        <v>50</v>
      </c>
      <c r="P470" s="455"/>
      <c r="Q470" s="455"/>
      <c r="R470" s="523">
        <v>985</v>
      </c>
      <c r="S470" s="523"/>
      <c r="Z470" s="168" t="s">
        <v>2708</v>
      </c>
      <c r="AA470" s="455"/>
      <c r="AB470" s="455"/>
      <c r="AC470" s="455"/>
      <c r="AD470" s="455"/>
      <c r="AE470" s="168">
        <v>985.7</v>
      </c>
      <c r="AF470" s="523">
        <v>985</v>
      </c>
    </row>
    <row r="471" spans="1:32">
      <c r="A471" s="455"/>
      <c r="D471" s="456">
        <v>0</v>
      </c>
      <c r="E471" s="456">
        <v>0</v>
      </c>
      <c r="M471" s="168" t="s">
        <v>1176</v>
      </c>
      <c r="N471" s="455" t="s">
        <v>1553</v>
      </c>
      <c r="O471" s="455" t="s">
        <v>52</v>
      </c>
      <c r="P471" s="455">
        <v>1351</v>
      </c>
      <c r="Q471" s="455"/>
      <c r="R471" s="523">
        <v>0</v>
      </c>
      <c r="S471" s="523"/>
      <c r="Z471" s="168" t="s">
        <v>1176</v>
      </c>
      <c r="AA471" s="455" t="s">
        <v>1553</v>
      </c>
      <c r="AB471" s="455" t="s">
        <v>52</v>
      </c>
      <c r="AC471" s="455">
        <v>1351</v>
      </c>
      <c r="AD471" s="455"/>
      <c r="AE471" s="168">
        <v>0</v>
      </c>
      <c r="AF471" s="523">
        <v>0</v>
      </c>
    </row>
    <row r="472" spans="1:32">
      <c r="A472" s="455" t="s">
        <v>1936</v>
      </c>
      <c r="D472" s="456">
        <v>-748.06</v>
      </c>
      <c r="E472" s="456">
        <v>0</v>
      </c>
      <c r="M472" s="168" t="s">
        <v>1177</v>
      </c>
      <c r="N472" s="455" t="s">
        <v>1553</v>
      </c>
      <c r="O472" s="455" t="s">
        <v>52</v>
      </c>
      <c r="P472" s="455">
        <v>6837</v>
      </c>
      <c r="Q472" s="455">
        <v>6837</v>
      </c>
      <c r="R472" s="523">
        <v>0</v>
      </c>
      <c r="S472" s="523"/>
      <c r="Z472" s="168" t="s">
        <v>1177</v>
      </c>
      <c r="AA472" s="455" t="s">
        <v>1553</v>
      </c>
      <c r="AB472" s="455" t="s">
        <v>52</v>
      </c>
      <c r="AC472" s="455">
        <v>6837</v>
      </c>
      <c r="AD472" s="455">
        <v>6837</v>
      </c>
      <c r="AE472" s="168">
        <v>0</v>
      </c>
      <c r="AF472" s="523">
        <v>0</v>
      </c>
    </row>
    <row r="473" spans="1:32">
      <c r="A473" s="455" t="s">
        <v>1938</v>
      </c>
      <c r="B473" s="455" t="s">
        <v>1939</v>
      </c>
      <c r="D473" s="456">
        <v>0</v>
      </c>
      <c r="E473" s="456">
        <v>0</v>
      </c>
      <c r="M473" s="168" t="s">
        <v>1178</v>
      </c>
      <c r="N473" s="455" t="s">
        <v>1553</v>
      </c>
      <c r="O473" s="455" t="s">
        <v>1179</v>
      </c>
      <c r="P473" s="455"/>
      <c r="Q473" s="455"/>
      <c r="R473" s="523">
        <v>0</v>
      </c>
      <c r="S473" s="523"/>
      <c r="Z473" s="168" t="s">
        <v>1178</v>
      </c>
      <c r="AA473" s="455" t="s">
        <v>1553</v>
      </c>
      <c r="AB473" s="455" t="s">
        <v>1179</v>
      </c>
      <c r="AC473" s="455"/>
      <c r="AD473" s="455"/>
      <c r="AE473" s="168">
        <v>0</v>
      </c>
      <c r="AF473" s="523">
        <v>0</v>
      </c>
    </row>
    <row r="474" spans="1:32">
      <c r="A474" s="455" t="s">
        <v>746</v>
      </c>
      <c r="D474" s="456">
        <v>0</v>
      </c>
      <c r="E474" s="456">
        <v>0</v>
      </c>
      <c r="M474" s="168" t="s">
        <v>3736</v>
      </c>
      <c r="N474" s="455" t="s">
        <v>1553</v>
      </c>
      <c r="O474" s="455" t="s">
        <v>3723</v>
      </c>
      <c r="P474" s="455">
        <v>1472</v>
      </c>
      <c r="Q474" s="455">
        <v>811</v>
      </c>
      <c r="R474" s="523"/>
      <c r="S474" s="523"/>
      <c r="Z474" s="168" t="s">
        <v>3736</v>
      </c>
      <c r="AA474" s="455"/>
      <c r="AB474" s="455"/>
      <c r="AC474" s="455">
        <v>1472</v>
      </c>
      <c r="AD474" s="455">
        <v>811</v>
      </c>
      <c r="AF474" s="523"/>
    </row>
    <row r="475" spans="1:32">
      <c r="A475" s="455"/>
      <c r="D475" s="456">
        <v>2228956.7000000002</v>
      </c>
      <c r="E475" s="456">
        <v>0</v>
      </c>
      <c r="M475" s="168" t="s">
        <v>2551</v>
      </c>
      <c r="N475" s="455" t="s">
        <v>1553</v>
      </c>
      <c r="O475" s="455" t="s">
        <v>612</v>
      </c>
      <c r="P475" s="455">
        <v>11228</v>
      </c>
      <c r="Q475" s="455">
        <v>5000</v>
      </c>
      <c r="R475" s="523">
        <v>0</v>
      </c>
      <c r="S475" s="523"/>
      <c r="Z475" s="168" t="s">
        <v>2551</v>
      </c>
      <c r="AA475" s="455" t="s">
        <v>1553</v>
      </c>
      <c r="AB475" s="455" t="s">
        <v>612</v>
      </c>
      <c r="AC475" s="455">
        <v>11228</v>
      </c>
      <c r="AD475" s="455">
        <v>5000</v>
      </c>
      <c r="AE475" s="168">
        <v>0</v>
      </c>
      <c r="AF475" s="523">
        <v>0</v>
      </c>
    </row>
    <row r="476" spans="1:32">
      <c r="A476" s="455" t="s">
        <v>2157</v>
      </c>
      <c r="D476" s="456">
        <v>0</v>
      </c>
      <c r="E476" s="456">
        <v>0</v>
      </c>
      <c r="M476" s="168" t="s">
        <v>2552</v>
      </c>
      <c r="N476" s="455" t="s">
        <v>1553</v>
      </c>
      <c r="O476" s="455" t="s">
        <v>616</v>
      </c>
      <c r="P476" s="455">
        <v>1379</v>
      </c>
      <c r="Q476" s="455">
        <v>450</v>
      </c>
      <c r="R476" s="523">
        <v>421</v>
      </c>
      <c r="S476" s="523"/>
      <c r="Z476" s="168" t="s">
        <v>2552</v>
      </c>
      <c r="AA476" s="455" t="s">
        <v>1553</v>
      </c>
      <c r="AB476" s="455" t="s">
        <v>616</v>
      </c>
      <c r="AC476" s="455">
        <v>1379</v>
      </c>
      <c r="AD476" s="455">
        <v>450</v>
      </c>
      <c r="AE476" s="168">
        <v>420.29</v>
      </c>
      <c r="AF476" s="523">
        <v>421</v>
      </c>
    </row>
    <row r="477" spans="1:32">
      <c r="A477" s="455" t="s">
        <v>1944</v>
      </c>
      <c r="D477" s="456">
        <v>0</v>
      </c>
      <c r="E477" s="456">
        <v>0</v>
      </c>
      <c r="M477" s="168" t="s">
        <v>2553</v>
      </c>
      <c r="N477" s="455" t="s">
        <v>1553</v>
      </c>
      <c r="O477" s="455" t="s">
        <v>2322</v>
      </c>
      <c r="P477" s="455">
        <v>26159</v>
      </c>
      <c r="Q477" s="455">
        <v>26159</v>
      </c>
      <c r="R477" s="523">
        <v>2297</v>
      </c>
      <c r="S477" s="523"/>
      <c r="Z477" s="168" t="s">
        <v>2553</v>
      </c>
      <c r="AA477" s="455" t="s">
        <v>1553</v>
      </c>
      <c r="AB477" s="455" t="s">
        <v>2322</v>
      </c>
      <c r="AC477" s="455">
        <v>26159</v>
      </c>
      <c r="AD477" s="455">
        <v>26159</v>
      </c>
      <c r="AE477" s="168">
        <v>2296.4899999999998</v>
      </c>
      <c r="AF477" s="523">
        <v>2297</v>
      </c>
    </row>
    <row r="478" spans="1:32">
      <c r="A478" s="455" t="s">
        <v>546</v>
      </c>
      <c r="D478" s="456">
        <v>-2087117.44</v>
      </c>
      <c r="E478" s="456">
        <v>0</v>
      </c>
      <c r="M478" s="168" t="s">
        <v>2554</v>
      </c>
      <c r="N478" s="455" t="s">
        <v>1553</v>
      </c>
      <c r="O478" s="455" t="s">
        <v>190</v>
      </c>
      <c r="P478" s="455">
        <v>324</v>
      </c>
      <c r="Q478" s="455">
        <v>179</v>
      </c>
      <c r="R478" s="523">
        <v>0</v>
      </c>
      <c r="S478" s="523"/>
      <c r="Z478" s="168" t="s">
        <v>2554</v>
      </c>
      <c r="AA478" s="455" t="s">
        <v>1553</v>
      </c>
      <c r="AB478" s="455" t="s">
        <v>190</v>
      </c>
      <c r="AC478" s="455">
        <v>324</v>
      </c>
      <c r="AD478" s="455">
        <v>179</v>
      </c>
      <c r="AE478" s="168">
        <v>0</v>
      </c>
      <c r="AF478" s="523">
        <v>0</v>
      </c>
    </row>
    <row r="479" spans="1:32">
      <c r="A479" s="455" t="s">
        <v>1889</v>
      </c>
      <c r="D479" s="456">
        <v>0</v>
      </c>
      <c r="E479" s="456">
        <v>0</v>
      </c>
      <c r="M479" s="168" t="s">
        <v>3737</v>
      </c>
      <c r="N479" s="455" t="s">
        <v>1553</v>
      </c>
      <c r="O479" s="455" t="s">
        <v>628</v>
      </c>
      <c r="P479" s="455">
        <v>1314</v>
      </c>
      <c r="Q479" s="455">
        <v>724</v>
      </c>
      <c r="R479" s="523"/>
      <c r="S479" s="523"/>
      <c r="Z479" s="168" t="s">
        <v>3737</v>
      </c>
      <c r="AA479" s="455"/>
      <c r="AB479" s="455"/>
      <c r="AC479" s="455">
        <v>1314</v>
      </c>
      <c r="AD479" s="455">
        <v>724</v>
      </c>
      <c r="AF479" s="523"/>
    </row>
    <row r="480" spans="1:32">
      <c r="A480" s="455" t="s">
        <v>1948</v>
      </c>
      <c r="D480" s="456">
        <v>-1220257.8799999999</v>
      </c>
      <c r="E480" s="456">
        <v>0</v>
      </c>
      <c r="M480" s="168" t="s">
        <v>2555</v>
      </c>
      <c r="N480" s="455" t="s">
        <v>1553</v>
      </c>
      <c r="O480" s="455" t="s">
        <v>631</v>
      </c>
      <c r="P480" s="455">
        <v>624</v>
      </c>
      <c r="Q480" s="455">
        <v>344</v>
      </c>
      <c r="R480" s="523">
        <v>1998</v>
      </c>
      <c r="S480" s="523"/>
      <c r="Z480" s="168" t="s">
        <v>2555</v>
      </c>
      <c r="AA480" s="455" t="s">
        <v>1553</v>
      </c>
      <c r="AB480" s="455" t="s">
        <v>631</v>
      </c>
      <c r="AC480" s="455">
        <v>624</v>
      </c>
      <c r="AD480" s="455">
        <v>344</v>
      </c>
      <c r="AE480" s="168">
        <v>1998.14</v>
      </c>
      <c r="AF480" s="523">
        <v>1998</v>
      </c>
    </row>
    <row r="481" spans="1:32">
      <c r="A481" s="455" t="s">
        <v>1948</v>
      </c>
      <c r="D481" s="456">
        <v>0</v>
      </c>
      <c r="E481" s="456">
        <v>0</v>
      </c>
      <c r="M481" s="168" t="s">
        <v>2556</v>
      </c>
      <c r="N481" s="455" t="s">
        <v>1553</v>
      </c>
      <c r="O481" s="455" t="s">
        <v>633</v>
      </c>
      <c r="P481" s="455">
        <v>6314</v>
      </c>
      <c r="Q481" s="455">
        <v>3481</v>
      </c>
      <c r="R481" s="523">
        <v>10848</v>
      </c>
      <c r="S481" s="523"/>
      <c r="Z481" s="168" t="s">
        <v>2556</v>
      </c>
      <c r="AA481" s="455" t="s">
        <v>1553</v>
      </c>
      <c r="AB481" s="455" t="s">
        <v>633</v>
      </c>
      <c r="AC481" s="455">
        <v>6314</v>
      </c>
      <c r="AD481" s="455">
        <v>3481</v>
      </c>
      <c r="AE481" s="168">
        <v>10848.05</v>
      </c>
      <c r="AF481" s="523">
        <v>10848</v>
      </c>
    </row>
    <row r="482" spans="1:32">
      <c r="A482" s="455" t="s">
        <v>1952</v>
      </c>
      <c r="D482" s="456">
        <v>639331.81999999995</v>
      </c>
      <c r="E482" s="456">
        <v>0</v>
      </c>
      <c r="M482" s="168" t="s">
        <v>2557</v>
      </c>
      <c r="N482" s="455" t="s">
        <v>1553</v>
      </c>
      <c r="O482" s="455" t="s">
        <v>253</v>
      </c>
      <c r="P482" s="455">
        <v>111220</v>
      </c>
      <c r="Q482" s="455">
        <v>30000</v>
      </c>
      <c r="R482" s="523">
        <v>51775</v>
      </c>
      <c r="S482" s="523"/>
      <c r="Z482" s="168" t="s">
        <v>2557</v>
      </c>
      <c r="AA482" s="455" t="s">
        <v>1553</v>
      </c>
      <c r="AB482" s="455" t="s">
        <v>253</v>
      </c>
      <c r="AC482" s="455">
        <v>111220</v>
      </c>
      <c r="AD482" s="455">
        <v>30000</v>
      </c>
      <c r="AE482" s="168">
        <v>51775.97</v>
      </c>
      <c r="AF482" s="523">
        <v>51775</v>
      </c>
    </row>
    <row r="483" spans="1:32">
      <c r="A483" s="455" t="s">
        <v>1952</v>
      </c>
      <c r="D483" s="456">
        <v>-2544177.0699999998</v>
      </c>
      <c r="E483" s="456">
        <v>0</v>
      </c>
      <c r="M483" s="168" t="s">
        <v>2558</v>
      </c>
      <c r="N483" s="455" t="s">
        <v>1553</v>
      </c>
      <c r="O483" s="455" t="s">
        <v>50</v>
      </c>
      <c r="P483" s="455">
        <v>77160</v>
      </c>
      <c r="Q483" s="455">
        <v>57000</v>
      </c>
      <c r="R483" s="523">
        <v>25074</v>
      </c>
      <c r="S483" s="523"/>
      <c r="Z483" s="168" t="s">
        <v>2558</v>
      </c>
      <c r="AA483" s="455" t="s">
        <v>1553</v>
      </c>
      <c r="AB483" s="455" t="s">
        <v>50</v>
      </c>
      <c r="AC483" s="455">
        <v>77160</v>
      </c>
      <c r="AD483" s="455">
        <v>57000</v>
      </c>
      <c r="AE483" s="168">
        <v>25074</v>
      </c>
      <c r="AF483" s="523">
        <v>25074</v>
      </c>
    </row>
    <row r="484" spans="1:32">
      <c r="A484" s="455" t="s">
        <v>1955</v>
      </c>
      <c r="D484" s="456">
        <v>0</v>
      </c>
      <c r="E484" s="456">
        <v>0</v>
      </c>
      <c r="M484" s="168" t="s">
        <v>2559</v>
      </c>
      <c r="N484" s="455" t="s">
        <v>1553</v>
      </c>
      <c r="O484" s="455" t="s">
        <v>52</v>
      </c>
      <c r="P484" s="455">
        <v>3332</v>
      </c>
      <c r="Q484" s="455">
        <v>1837</v>
      </c>
      <c r="R484" s="523">
        <v>168</v>
      </c>
      <c r="S484" s="523"/>
      <c r="Z484" s="168" t="s">
        <v>2559</v>
      </c>
      <c r="AA484" s="455" t="s">
        <v>1553</v>
      </c>
      <c r="AB484" s="455" t="s">
        <v>52</v>
      </c>
      <c r="AC484" s="455">
        <v>3332</v>
      </c>
      <c r="AD484" s="455">
        <v>1837</v>
      </c>
      <c r="AE484" s="168">
        <v>168</v>
      </c>
      <c r="AF484" s="523">
        <v>168</v>
      </c>
    </row>
    <row r="485" spans="1:32">
      <c r="A485" s="455" t="s">
        <v>569</v>
      </c>
      <c r="D485" s="456">
        <v>0</v>
      </c>
      <c r="E485" s="456">
        <v>0</v>
      </c>
      <c r="M485" s="168" t="s">
        <v>2560</v>
      </c>
      <c r="N485" s="455" t="s">
        <v>1553</v>
      </c>
      <c r="O485" s="455" t="s">
        <v>52</v>
      </c>
      <c r="P485" s="455">
        <v>14855</v>
      </c>
      <c r="Q485" s="455">
        <v>8189</v>
      </c>
      <c r="R485" s="523">
        <v>15041</v>
      </c>
      <c r="S485" s="523"/>
      <c r="Z485" s="168" t="s">
        <v>2560</v>
      </c>
      <c r="AA485" s="455" t="s">
        <v>1553</v>
      </c>
      <c r="AB485" s="455" t="s">
        <v>52</v>
      </c>
      <c r="AC485" s="455">
        <v>14855</v>
      </c>
      <c r="AD485" s="455">
        <v>8189</v>
      </c>
      <c r="AE485" s="168">
        <v>15041.6</v>
      </c>
      <c r="AF485" s="523">
        <v>15041</v>
      </c>
    </row>
    <row r="486" spans="1:32">
      <c r="A486" s="455" t="s">
        <v>569</v>
      </c>
      <c r="D486" s="456">
        <v>0</v>
      </c>
      <c r="E486" s="456">
        <v>0</v>
      </c>
      <c r="M486" s="168" t="s">
        <v>2595</v>
      </c>
      <c r="N486" s="455" t="s">
        <v>1553</v>
      </c>
      <c r="O486" s="455" t="s">
        <v>616</v>
      </c>
      <c r="P486" s="455">
        <v>26264</v>
      </c>
      <c r="Q486" s="455">
        <v>3620</v>
      </c>
      <c r="R486" s="523">
        <v>4699</v>
      </c>
      <c r="S486" s="523"/>
      <c r="Z486" s="168" t="s">
        <v>2595</v>
      </c>
      <c r="AA486" s="455" t="s">
        <v>1553</v>
      </c>
      <c r="AB486" s="455" t="s">
        <v>616</v>
      </c>
      <c r="AC486" s="455">
        <v>26264</v>
      </c>
      <c r="AD486" s="455">
        <v>3620</v>
      </c>
      <c r="AE486" s="168">
        <v>4699.54</v>
      </c>
      <c r="AF486" s="523">
        <v>4699</v>
      </c>
    </row>
    <row r="487" spans="1:32">
      <c r="A487" s="455" t="s">
        <v>1485</v>
      </c>
      <c r="D487" s="456">
        <v>0</v>
      </c>
      <c r="E487" s="456">
        <v>0</v>
      </c>
      <c r="M487" s="168" t="s">
        <v>2596</v>
      </c>
      <c r="N487" s="455" t="s">
        <v>1553</v>
      </c>
      <c r="O487" s="455" t="s">
        <v>622</v>
      </c>
      <c r="P487" s="455">
        <v>84588</v>
      </c>
      <c r="Q487" s="455">
        <v>84588</v>
      </c>
      <c r="R487" s="523">
        <v>128435</v>
      </c>
      <c r="S487" s="523"/>
      <c r="Z487" s="168" t="s">
        <v>2596</v>
      </c>
      <c r="AA487" s="455" t="s">
        <v>1553</v>
      </c>
      <c r="AB487" s="455" t="s">
        <v>622</v>
      </c>
      <c r="AC487" s="455">
        <v>84588</v>
      </c>
      <c r="AD487" s="455">
        <v>84588</v>
      </c>
      <c r="AE487" s="168">
        <v>128435.57</v>
      </c>
      <c r="AF487" s="523">
        <v>128435</v>
      </c>
    </row>
    <row r="488" spans="1:32">
      <c r="A488" s="455" t="s">
        <v>1960</v>
      </c>
      <c r="D488" s="456">
        <v>0</v>
      </c>
      <c r="E488" s="456">
        <v>0</v>
      </c>
      <c r="M488" s="168" t="s">
        <v>690</v>
      </c>
      <c r="N488" s="455" t="s">
        <v>1553</v>
      </c>
      <c r="O488" s="455" t="s">
        <v>2322</v>
      </c>
      <c r="P488" s="455">
        <v>49625</v>
      </c>
      <c r="Q488" s="455">
        <v>49625</v>
      </c>
      <c r="R488" s="523">
        <v>4747</v>
      </c>
      <c r="S488" s="523"/>
      <c r="Z488" s="168" t="s">
        <v>690</v>
      </c>
      <c r="AA488" s="455" t="s">
        <v>1553</v>
      </c>
      <c r="AB488" s="455" t="s">
        <v>2322</v>
      </c>
      <c r="AC488" s="455">
        <v>49625</v>
      </c>
      <c r="AD488" s="455">
        <v>49625</v>
      </c>
      <c r="AE488" s="168">
        <v>4746.82</v>
      </c>
      <c r="AF488" s="523">
        <v>4747</v>
      </c>
    </row>
    <row r="489" spans="1:32">
      <c r="A489" s="455" t="s">
        <v>1962</v>
      </c>
      <c r="B489" s="455" t="s">
        <v>1963</v>
      </c>
      <c r="D489" s="456">
        <v>0</v>
      </c>
      <c r="E489" s="456">
        <v>0</v>
      </c>
      <c r="M489" s="168" t="s">
        <v>691</v>
      </c>
      <c r="N489" s="455" t="s">
        <v>1553</v>
      </c>
      <c r="O489" s="455" t="s">
        <v>624</v>
      </c>
      <c r="P489" s="455">
        <v>5108</v>
      </c>
      <c r="Q489" s="455">
        <v>3800</v>
      </c>
      <c r="R489" s="523">
        <v>23265</v>
      </c>
      <c r="S489" s="523"/>
      <c r="Z489" s="168" t="s">
        <v>691</v>
      </c>
      <c r="AA489" s="455" t="s">
        <v>1553</v>
      </c>
      <c r="AB489" s="455" t="s">
        <v>624</v>
      </c>
      <c r="AC489" s="455">
        <v>5108</v>
      </c>
      <c r="AD489" s="455">
        <v>3800</v>
      </c>
      <c r="AE489" s="168">
        <v>23265.7</v>
      </c>
      <c r="AF489" s="523">
        <v>23265</v>
      </c>
    </row>
    <row r="490" spans="1:32">
      <c r="A490" s="455" t="s">
        <v>2448</v>
      </c>
      <c r="D490" s="456">
        <v>-95901.52</v>
      </c>
      <c r="E490" s="456">
        <v>0</v>
      </c>
      <c r="M490" s="168" t="s">
        <v>692</v>
      </c>
      <c r="N490" s="455" t="s">
        <v>1553</v>
      </c>
      <c r="O490" s="455" t="s">
        <v>633</v>
      </c>
      <c r="P490" s="455">
        <v>378</v>
      </c>
      <c r="Q490" s="455">
        <v>378</v>
      </c>
      <c r="R490" s="523">
        <v>728</v>
      </c>
      <c r="S490" s="523"/>
      <c r="Z490" s="168" t="s">
        <v>692</v>
      </c>
      <c r="AA490" s="455" t="s">
        <v>1553</v>
      </c>
      <c r="AB490" s="455" t="s">
        <v>633</v>
      </c>
      <c r="AC490" s="455">
        <v>378</v>
      </c>
      <c r="AD490" s="455">
        <v>378</v>
      </c>
      <c r="AE490" s="168">
        <v>728.62</v>
      </c>
      <c r="AF490" s="523">
        <v>728</v>
      </c>
    </row>
    <row r="491" spans="1:32">
      <c r="A491" s="455" t="s">
        <v>1966</v>
      </c>
      <c r="D491" s="456">
        <v>0</v>
      </c>
      <c r="E491" s="456">
        <v>0</v>
      </c>
      <c r="M491" s="168" t="s">
        <v>693</v>
      </c>
      <c r="N491" s="455" t="s">
        <v>1553</v>
      </c>
      <c r="O491" s="455" t="s">
        <v>253</v>
      </c>
      <c r="P491" s="455">
        <v>15505</v>
      </c>
      <c r="Q491" s="455">
        <v>20000</v>
      </c>
      <c r="R491" s="523">
        <v>48599</v>
      </c>
      <c r="S491" s="523"/>
      <c r="Z491" s="168" t="s">
        <v>693</v>
      </c>
      <c r="AA491" s="455" t="s">
        <v>1553</v>
      </c>
      <c r="AB491" s="455" t="s">
        <v>253</v>
      </c>
      <c r="AC491" s="455">
        <v>15505</v>
      </c>
      <c r="AD491" s="455">
        <v>20000</v>
      </c>
      <c r="AE491" s="168">
        <v>48599.12</v>
      </c>
      <c r="AF491" s="523">
        <v>48599</v>
      </c>
    </row>
    <row r="492" spans="1:32">
      <c r="A492" s="455" t="s">
        <v>1968</v>
      </c>
      <c r="D492" s="456">
        <v>1067.3</v>
      </c>
      <c r="E492" s="456">
        <v>0</v>
      </c>
      <c r="M492" s="168" t="s">
        <v>694</v>
      </c>
      <c r="N492" s="455" t="s">
        <v>1553</v>
      </c>
      <c r="O492" s="455" t="s">
        <v>50</v>
      </c>
      <c r="P492" s="455"/>
      <c r="Q492" s="455"/>
      <c r="R492" s="523">
        <v>2408</v>
      </c>
      <c r="S492" s="523"/>
      <c r="Z492" s="168" t="s">
        <v>694</v>
      </c>
      <c r="AA492" s="455" t="s">
        <v>1553</v>
      </c>
      <c r="AB492" s="455" t="s">
        <v>50</v>
      </c>
      <c r="AC492" s="455"/>
      <c r="AD492" s="455"/>
      <c r="AE492" s="168">
        <v>2408</v>
      </c>
      <c r="AF492" s="523">
        <v>2408</v>
      </c>
    </row>
    <row r="493" spans="1:32">
      <c r="A493" s="455"/>
      <c r="D493" s="456">
        <v>0</v>
      </c>
      <c r="E493" s="456">
        <v>0</v>
      </c>
      <c r="M493" s="168" t="s">
        <v>695</v>
      </c>
      <c r="N493" s="455" t="s">
        <v>1553</v>
      </c>
      <c r="O493" s="455" t="s">
        <v>52</v>
      </c>
      <c r="P493" s="455">
        <v>693</v>
      </c>
      <c r="Q493" s="455">
        <v>693</v>
      </c>
      <c r="R493" s="523">
        <v>0</v>
      </c>
      <c r="S493" s="523"/>
      <c r="Z493" s="168" t="s">
        <v>695</v>
      </c>
      <c r="AA493" s="455" t="s">
        <v>1553</v>
      </c>
      <c r="AB493" s="455" t="s">
        <v>52</v>
      </c>
      <c r="AC493" s="455">
        <v>693</v>
      </c>
      <c r="AD493" s="455">
        <v>693</v>
      </c>
      <c r="AE493" s="168">
        <v>0</v>
      </c>
      <c r="AF493" s="523">
        <v>0</v>
      </c>
    </row>
    <row r="494" spans="1:32">
      <c r="A494" s="455" t="s">
        <v>746</v>
      </c>
      <c r="D494" s="456">
        <v>0</v>
      </c>
      <c r="E494" s="456">
        <v>0</v>
      </c>
      <c r="M494" s="168" t="s">
        <v>696</v>
      </c>
      <c r="N494" s="455" t="s">
        <v>1553</v>
      </c>
      <c r="O494" s="455" t="s">
        <v>52</v>
      </c>
      <c r="P494" s="455">
        <v>7560</v>
      </c>
      <c r="Q494" s="455">
        <v>7200</v>
      </c>
      <c r="R494" s="523">
        <v>164</v>
      </c>
      <c r="S494" s="523"/>
      <c r="Z494" s="168" t="s">
        <v>696</v>
      </c>
      <c r="AA494" s="455" t="s">
        <v>1553</v>
      </c>
      <c r="AB494" s="455" t="s">
        <v>52</v>
      </c>
      <c r="AC494" s="455">
        <v>7560</v>
      </c>
      <c r="AD494" s="455">
        <v>7200</v>
      </c>
      <c r="AE494" s="168">
        <v>164.18</v>
      </c>
      <c r="AF494" s="523">
        <v>164</v>
      </c>
    </row>
    <row r="495" spans="1:32">
      <c r="A495" s="455" t="s">
        <v>1972</v>
      </c>
      <c r="D495" s="456">
        <v>11060</v>
      </c>
      <c r="E495" s="456">
        <v>0</v>
      </c>
      <c r="M495" s="168" t="s">
        <v>3477</v>
      </c>
      <c r="N495" s="455" t="s">
        <v>1553</v>
      </c>
      <c r="O495" s="455" t="s">
        <v>3771</v>
      </c>
      <c r="P495" s="455"/>
      <c r="Q495" s="455"/>
      <c r="R495" s="523">
        <v>47274</v>
      </c>
      <c r="S495" s="523"/>
      <c r="Z495" s="168" t="s">
        <v>3477</v>
      </c>
      <c r="AA495" s="455"/>
      <c r="AB495" s="455"/>
      <c r="AC495" s="455"/>
      <c r="AD495" s="455"/>
      <c r="AE495" s="168">
        <v>47274.28</v>
      </c>
      <c r="AF495" s="523">
        <v>47274</v>
      </c>
    </row>
    <row r="496" spans="1:32">
      <c r="A496" s="455" t="s">
        <v>1974</v>
      </c>
      <c r="D496" s="456">
        <v>0</v>
      </c>
      <c r="E496" s="456">
        <v>0</v>
      </c>
      <c r="M496" s="168" t="s">
        <v>3348</v>
      </c>
      <c r="N496" s="455" t="s">
        <v>1553</v>
      </c>
      <c r="O496" s="455"/>
      <c r="P496" s="455"/>
      <c r="Q496" s="455"/>
      <c r="R496" s="523"/>
      <c r="S496" s="523"/>
      <c r="Z496" s="168" t="s">
        <v>3348</v>
      </c>
      <c r="AA496" s="455"/>
      <c r="AB496" s="455"/>
      <c r="AC496" s="455"/>
      <c r="AD496" s="455"/>
      <c r="AE496" s="168">
        <v>0</v>
      </c>
      <c r="AF496" s="523"/>
    </row>
    <row r="497" spans="1:32">
      <c r="A497" s="455" t="s">
        <v>1976</v>
      </c>
      <c r="D497" s="456">
        <v>0</v>
      </c>
      <c r="E497" s="456">
        <v>0</v>
      </c>
      <c r="M497" s="168" t="s">
        <v>295</v>
      </c>
      <c r="N497" s="455" t="s">
        <v>1553</v>
      </c>
      <c r="O497" s="455" t="s">
        <v>595</v>
      </c>
      <c r="P497" s="455"/>
      <c r="Q497" s="455">
        <v>100</v>
      </c>
      <c r="R497" s="523">
        <v>0</v>
      </c>
      <c r="S497" s="523"/>
      <c r="Z497" s="168" t="s">
        <v>295</v>
      </c>
      <c r="AA497" s="455" t="s">
        <v>1553</v>
      </c>
      <c r="AB497" s="455" t="s">
        <v>595</v>
      </c>
      <c r="AC497" s="455"/>
      <c r="AD497" s="455">
        <v>100</v>
      </c>
      <c r="AE497" s="168">
        <v>0</v>
      </c>
      <c r="AF497" s="523">
        <v>0</v>
      </c>
    </row>
    <row r="498" spans="1:32">
      <c r="A498" s="455" t="s">
        <v>1978</v>
      </c>
      <c r="D498" s="456">
        <v>11896.39</v>
      </c>
      <c r="E498" s="456">
        <v>0</v>
      </c>
      <c r="M498" s="168" t="s">
        <v>296</v>
      </c>
      <c r="N498" s="455" t="s">
        <v>1553</v>
      </c>
      <c r="O498" s="455" t="s">
        <v>545</v>
      </c>
      <c r="P498" s="455"/>
      <c r="Q498" s="455">
        <v>70000</v>
      </c>
      <c r="R498" s="523">
        <v>0</v>
      </c>
      <c r="S498" s="523"/>
      <c r="Z498" s="168" t="s">
        <v>296</v>
      </c>
      <c r="AA498" s="455" t="s">
        <v>1553</v>
      </c>
      <c r="AB498" s="455" t="s">
        <v>545</v>
      </c>
      <c r="AC498" s="455"/>
      <c r="AD498" s="455">
        <v>70000</v>
      </c>
      <c r="AE498" s="168">
        <v>0</v>
      </c>
      <c r="AF498" s="523">
        <v>0</v>
      </c>
    </row>
    <row r="499" spans="1:32">
      <c r="A499" s="455" t="s">
        <v>1981</v>
      </c>
      <c r="D499" s="456">
        <v>75835.28</v>
      </c>
      <c r="E499" s="456">
        <v>0</v>
      </c>
      <c r="M499" s="168" t="s">
        <v>297</v>
      </c>
      <c r="N499" s="455" t="s">
        <v>1553</v>
      </c>
      <c r="O499" s="455" t="s">
        <v>616</v>
      </c>
      <c r="P499" s="455">
        <v>20144</v>
      </c>
      <c r="Q499" s="455">
        <v>40000</v>
      </c>
      <c r="R499" s="523">
        <v>70525</v>
      </c>
      <c r="S499" s="523"/>
      <c r="Z499" s="168" t="s">
        <v>297</v>
      </c>
      <c r="AA499" s="455" t="s">
        <v>1553</v>
      </c>
      <c r="AB499" s="455" t="s">
        <v>616</v>
      </c>
      <c r="AC499" s="455">
        <v>20144</v>
      </c>
      <c r="AD499" s="455">
        <v>40000</v>
      </c>
      <c r="AE499" s="168">
        <v>70525.34</v>
      </c>
      <c r="AF499" s="523">
        <v>70525</v>
      </c>
    </row>
    <row r="500" spans="1:32">
      <c r="A500" s="455" t="s">
        <v>1983</v>
      </c>
      <c r="B500" s="455" t="s">
        <v>1984</v>
      </c>
      <c r="D500" s="456">
        <v>5895.27</v>
      </c>
      <c r="E500" s="456">
        <v>0</v>
      </c>
      <c r="M500" s="168" t="s">
        <v>298</v>
      </c>
      <c r="N500" s="455" t="s">
        <v>1553</v>
      </c>
      <c r="O500" s="455" t="s">
        <v>2322</v>
      </c>
      <c r="P500" s="455"/>
      <c r="Q500" s="455"/>
      <c r="R500" s="523">
        <v>0</v>
      </c>
      <c r="S500" s="523"/>
      <c r="Z500" s="168" t="s">
        <v>298</v>
      </c>
      <c r="AA500" s="455" t="s">
        <v>1553</v>
      </c>
      <c r="AB500" s="455" t="s">
        <v>2322</v>
      </c>
      <c r="AC500" s="455"/>
      <c r="AD500" s="455"/>
      <c r="AE500" s="168">
        <v>0</v>
      </c>
      <c r="AF500" s="523">
        <v>0</v>
      </c>
    </row>
    <row r="501" spans="1:32">
      <c r="A501" s="455" t="s">
        <v>1979</v>
      </c>
      <c r="D501" s="456">
        <v>0</v>
      </c>
      <c r="E501" s="456">
        <v>0</v>
      </c>
      <c r="M501" s="168" t="s">
        <v>345</v>
      </c>
      <c r="N501" s="455" t="s">
        <v>1553</v>
      </c>
      <c r="O501" s="455" t="s">
        <v>612</v>
      </c>
      <c r="P501" s="455">
        <v>2943</v>
      </c>
      <c r="Q501" s="455"/>
      <c r="R501" s="523">
        <v>0</v>
      </c>
      <c r="S501" s="523"/>
      <c r="Z501" s="168" t="s">
        <v>345</v>
      </c>
      <c r="AA501" s="455" t="s">
        <v>1553</v>
      </c>
      <c r="AB501" s="455" t="s">
        <v>612</v>
      </c>
      <c r="AC501" s="455">
        <v>2943</v>
      </c>
      <c r="AD501" s="455"/>
      <c r="AE501" s="168">
        <v>0</v>
      </c>
      <c r="AF501" s="523">
        <v>0</v>
      </c>
    </row>
    <row r="502" spans="1:32">
      <c r="A502" s="455"/>
      <c r="D502" s="456">
        <v>-297688.61</v>
      </c>
      <c r="E502" s="456">
        <v>0</v>
      </c>
      <c r="M502" s="168" t="s">
        <v>346</v>
      </c>
      <c r="N502" s="455" t="s">
        <v>1553</v>
      </c>
      <c r="O502" s="455" t="s">
        <v>616</v>
      </c>
      <c r="P502" s="455">
        <v>1692</v>
      </c>
      <c r="Q502" s="455">
        <v>7000</v>
      </c>
      <c r="R502" s="523">
        <v>6653</v>
      </c>
      <c r="S502" s="523"/>
      <c r="Z502" s="168" t="s">
        <v>346</v>
      </c>
      <c r="AA502" s="455" t="s">
        <v>1553</v>
      </c>
      <c r="AB502" s="455" t="s">
        <v>616</v>
      </c>
      <c r="AC502" s="455">
        <v>1692</v>
      </c>
      <c r="AD502" s="455">
        <v>7000</v>
      </c>
      <c r="AE502" s="168">
        <v>6652.45</v>
      </c>
      <c r="AF502" s="523">
        <v>6653</v>
      </c>
    </row>
    <row r="503" spans="1:32">
      <c r="A503" s="455" t="s">
        <v>1987</v>
      </c>
      <c r="D503" s="456">
        <v>0</v>
      </c>
      <c r="E503" s="456">
        <v>0</v>
      </c>
      <c r="M503" s="168" t="s">
        <v>347</v>
      </c>
      <c r="N503" s="455" t="s">
        <v>1553</v>
      </c>
      <c r="O503" s="455" t="s">
        <v>622</v>
      </c>
      <c r="P503" s="455">
        <v>46671</v>
      </c>
      <c r="Q503" s="455">
        <v>90000</v>
      </c>
      <c r="R503" s="523">
        <v>137254</v>
      </c>
      <c r="S503" s="523"/>
      <c r="Z503" s="168" t="s">
        <v>347</v>
      </c>
      <c r="AA503" s="455" t="s">
        <v>1553</v>
      </c>
      <c r="AB503" s="455" t="s">
        <v>622</v>
      </c>
      <c r="AC503" s="455">
        <v>46671</v>
      </c>
      <c r="AD503" s="455">
        <v>90000</v>
      </c>
      <c r="AE503" s="168">
        <v>137254.54999999999</v>
      </c>
      <c r="AF503" s="523">
        <v>137254</v>
      </c>
    </row>
    <row r="504" spans="1:32">
      <c r="A504" s="455" t="s">
        <v>1679</v>
      </c>
      <c r="D504" s="456">
        <v>0</v>
      </c>
      <c r="E504" s="456">
        <v>0</v>
      </c>
      <c r="M504" s="168" t="s">
        <v>348</v>
      </c>
      <c r="N504" s="455" t="s">
        <v>1553</v>
      </c>
      <c r="O504" s="455" t="s">
        <v>2322</v>
      </c>
      <c r="P504" s="455">
        <v>27036</v>
      </c>
      <c r="Q504" s="455">
        <v>27036</v>
      </c>
      <c r="R504" s="523">
        <v>925</v>
      </c>
      <c r="S504" s="523"/>
      <c r="Z504" s="168" t="s">
        <v>348</v>
      </c>
      <c r="AA504" s="455" t="s">
        <v>1553</v>
      </c>
      <c r="AB504" s="455" t="s">
        <v>2322</v>
      </c>
      <c r="AC504" s="455">
        <v>27036</v>
      </c>
      <c r="AD504" s="455">
        <v>27036</v>
      </c>
      <c r="AE504" s="168">
        <v>924.88</v>
      </c>
      <c r="AF504" s="523">
        <v>925</v>
      </c>
    </row>
    <row r="505" spans="1:32">
      <c r="A505" s="455" t="s">
        <v>1992</v>
      </c>
      <c r="D505" s="456">
        <v>2424521.96</v>
      </c>
      <c r="E505" s="456">
        <v>0</v>
      </c>
      <c r="M505" s="168" t="s">
        <v>349</v>
      </c>
      <c r="N505" s="455" t="s">
        <v>1553</v>
      </c>
      <c r="O505" s="455" t="s">
        <v>624</v>
      </c>
      <c r="P505" s="455">
        <v>1605</v>
      </c>
      <c r="Q505" s="455">
        <v>6000</v>
      </c>
      <c r="R505" s="523">
        <v>14653</v>
      </c>
      <c r="S505" s="523"/>
      <c r="Z505" s="168" t="s">
        <v>349</v>
      </c>
      <c r="AA505" s="455" t="s">
        <v>1553</v>
      </c>
      <c r="AB505" s="455" t="s">
        <v>624</v>
      </c>
      <c r="AC505" s="455">
        <v>1605</v>
      </c>
      <c r="AD505" s="455">
        <v>6000</v>
      </c>
      <c r="AE505" s="168">
        <v>14653.2</v>
      </c>
      <c r="AF505" s="523">
        <v>14653</v>
      </c>
    </row>
    <row r="506" spans="1:32">
      <c r="A506" s="455" t="s">
        <v>1995</v>
      </c>
      <c r="D506" s="456">
        <v>0</v>
      </c>
      <c r="E506" s="456">
        <v>0</v>
      </c>
      <c r="M506" s="168" t="s">
        <v>350</v>
      </c>
      <c r="N506" s="455" t="s">
        <v>1553</v>
      </c>
      <c r="O506" s="455" t="s">
        <v>633</v>
      </c>
      <c r="P506" s="455">
        <v>573</v>
      </c>
      <c r="Q506" s="455">
        <v>316</v>
      </c>
      <c r="R506" s="523">
        <v>0</v>
      </c>
      <c r="S506" s="523"/>
      <c r="Z506" s="168" t="s">
        <v>350</v>
      </c>
      <c r="AA506" s="455" t="s">
        <v>1553</v>
      </c>
      <c r="AB506" s="455" t="s">
        <v>633</v>
      </c>
      <c r="AC506" s="455">
        <v>573</v>
      </c>
      <c r="AD506" s="455">
        <v>316</v>
      </c>
      <c r="AE506" s="168">
        <v>0</v>
      </c>
      <c r="AF506" s="523">
        <v>0</v>
      </c>
    </row>
    <row r="507" spans="1:32">
      <c r="A507" s="455" t="s">
        <v>1241</v>
      </c>
      <c r="D507" s="456">
        <v>0</v>
      </c>
      <c r="E507" s="456">
        <v>0</v>
      </c>
      <c r="M507" s="168" t="s">
        <v>351</v>
      </c>
      <c r="N507" s="455" t="s">
        <v>1553</v>
      </c>
      <c r="O507" s="455" t="s">
        <v>253</v>
      </c>
      <c r="P507" s="455">
        <v>57474</v>
      </c>
      <c r="Q507" s="455">
        <v>57474</v>
      </c>
      <c r="R507" s="523">
        <v>48124</v>
      </c>
      <c r="S507" s="523"/>
      <c r="Z507" s="168" t="s">
        <v>351</v>
      </c>
      <c r="AA507" s="455" t="s">
        <v>1553</v>
      </c>
      <c r="AB507" s="455" t="s">
        <v>253</v>
      </c>
      <c r="AC507" s="455">
        <v>57474</v>
      </c>
      <c r="AD507" s="455">
        <v>57474</v>
      </c>
      <c r="AE507" s="168">
        <v>48123.24</v>
      </c>
      <c r="AF507" s="523">
        <v>48124</v>
      </c>
    </row>
    <row r="508" spans="1:32">
      <c r="A508" s="455" t="s">
        <v>1997</v>
      </c>
      <c r="D508" s="456">
        <v>-1686994.14</v>
      </c>
      <c r="E508" s="456">
        <v>0</v>
      </c>
      <c r="M508" s="168" t="s">
        <v>352</v>
      </c>
      <c r="N508" s="455" t="s">
        <v>1553</v>
      </c>
      <c r="O508" s="455" t="s">
        <v>50</v>
      </c>
      <c r="P508" s="455">
        <v>2602</v>
      </c>
      <c r="Q508" s="455">
        <v>1912</v>
      </c>
      <c r="R508" s="523">
        <v>229</v>
      </c>
      <c r="S508" s="523"/>
      <c r="Z508" s="168" t="s">
        <v>352</v>
      </c>
      <c r="AA508" s="455" t="s">
        <v>1553</v>
      </c>
      <c r="AB508" s="455" t="s">
        <v>50</v>
      </c>
      <c r="AC508" s="455">
        <v>2602</v>
      </c>
      <c r="AD508" s="455">
        <v>1912</v>
      </c>
      <c r="AE508" s="168">
        <v>228.57</v>
      </c>
      <c r="AF508" s="523">
        <v>229</v>
      </c>
    </row>
    <row r="509" spans="1:32">
      <c r="A509" s="455" t="s">
        <v>1999</v>
      </c>
      <c r="D509" s="456">
        <v>0</v>
      </c>
      <c r="E509" s="456">
        <v>0</v>
      </c>
      <c r="M509" s="168" t="s">
        <v>353</v>
      </c>
      <c r="N509" s="455" t="s">
        <v>1553</v>
      </c>
      <c r="O509" s="455" t="s">
        <v>52</v>
      </c>
      <c r="P509" s="455">
        <v>3198</v>
      </c>
      <c r="Q509" s="455">
        <v>1763</v>
      </c>
      <c r="R509" s="523">
        <v>0</v>
      </c>
      <c r="S509" s="523"/>
      <c r="Z509" s="168" t="s">
        <v>353</v>
      </c>
      <c r="AA509" s="455" t="s">
        <v>1553</v>
      </c>
      <c r="AB509" s="455" t="s">
        <v>52</v>
      </c>
      <c r="AC509" s="455">
        <v>3198</v>
      </c>
      <c r="AD509" s="455">
        <v>1763</v>
      </c>
      <c r="AE509" s="168">
        <v>0</v>
      </c>
      <c r="AF509" s="523">
        <v>0</v>
      </c>
    </row>
    <row r="510" spans="1:32">
      <c r="A510" s="455" t="s">
        <v>2001</v>
      </c>
      <c r="D510" s="456">
        <v>-9575.35</v>
      </c>
      <c r="E510" s="456">
        <v>0</v>
      </c>
      <c r="M510" s="168" t="s">
        <v>354</v>
      </c>
      <c r="N510" s="455" t="s">
        <v>1553</v>
      </c>
      <c r="O510" s="455" t="s">
        <v>52</v>
      </c>
      <c r="P510" s="455">
        <v>36949</v>
      </c>
      <c r="Q510" s="455">
        <v>18700</v>
      </c>
      <c r="R510" s="523">
        <v>58780</v>
      </c>
      <c r="S510" s="523"/>
      <c r="Z510" s="168" t="s">
        <v>354</v>
      </c>
      <c r="AA510" s="455" t="s">
        <v>1553</v>
      </c>
      <c r="AB510" s="455" t="s">
        <v>52</v>
      </c>
      <c r="AC510" s="455">
        <v>36949</v>
      </c>
      <c r="AD510" s="455">
        <v>18700</v>
      </c>
      <c r="AE510" s="168">
        <v>58780.58</v>
      </c>
      <c r="AF510" s="523">
        <v>58780</v>
      </c>
    </row>
    <row r="511" spans="1:32">
      <c r="A511" s="455" t="s">
        <v>2001</v>
      </c>
      <c r="D511" s="456">
        <v>0</v>
      </c>
      <c r="E511" s="456">
        <v>0</v>
      </c>
      <c r="M511" s="168" t="s">
        <v>363</v>
      </c>
      <c r="N511" s="455" t="s">
        <v>18</v>
      </c>
      <c r="O511" s="455" t="s">
        <v>344</v>
      </c>
      <c r="P511" s="455">
        <v>353525</v>
      </c>
      <c r="Q511" s="455"/>
      <c r="R511" s="523">
        <v>0</v>
      </c>
      <c r="S511" s="523"/>
      <c r="Z511" s="168" t="s">
        <v>363</v>
      </c>
      <c r="AA511" s="455" t="s">
        <v>18</v>
      </c>
      <c r="AB511" s="455" t="s">
        <v>344</v>
      </c>
      <c r="AC511" s="455">
        <v>353525</v>
      </c>
      <c r="AD511" s="455"/>
      <c r="AE511" s="168">
        <v>0</v>
      </c>
      <c r="AF511" s="523">
        <v>0</v>
      </c>
    </row>
    <row r="512" spans="1:32">
      <c r="A512" s="455" t="s">
        <v>1989</v>
      </c>
      <c r="D512" s="456">
        <v>6905313.6699999999</v>
      </c>
      <c r="E512" s="456">
        <v>0</v>
      </c>
      <c r="M512" s="168" t="s">
        <v>364</v>
      </c>
      <c r="N512" s="455" t="s">
        <v>1553</v>
      </c>
      <c r="O512" s="455" t="s">
        <v>622</v>
      </c>
      <c r="P512" s="455">
        <v>4751</v>
      </c>
      <c r="Q512" s="455"/>
      <c r="R512" s="523">
        <v>0</v>
      </c>
      <c r="S512" s="523"/>
      <c r="Z512" s="168" t="s">
        <v>364</v>
      </c>
      <c r="AA512" s="455" t="s">
        <v>1553</v>
      </c>
      <c r="AB512" s="455" t="s">
        <v>622</v>
      </c>
      <c r="AC512" s="455">
        <v>4751</v>
      </c>
      <c r="AD512" s="455"/>
      <c r="AE512" s="168">
        <v>0</v>
      </c>
      <c r="AF512" s="523">
        <v>0</v>
      </c>
    </row>
    <row r="513" spans="1:32">
      <c r="A513" s="455" t="s">
        <v>1190</v>
      </c>
      <c r="D513" s="456">
        <v>0</v>
      </c>
      <c r="E513" s="456">
        <v>0</v>
      </c>
      <c r="M513" s="168" t="s">
        <v>365</v>
      </c>
      <c r="N513" s="455" t="s">
        <v>1553</v>
      </c>
      <c r="O513" s="455" t="s">
        <v>2322</v>
      </c>
      <c r="P513" s="455">
        <v>4800</v>
      </c>
      <c r="Q513" s="455">
        <v>4800</v>
      </c>
      <c r="R513" s="523">
        <v>0</v>
      </c>
      <c r="S513" s="523"/>
      <c r="Z513" s="168" t="s">
        <v>365</v>
      </c>
      <c r="AA513" s="455" t="s">
        <v>1553</v>
      </c>
      <c r="AB513" s="455" t="s">
        <v>2322</v>
      </c>
      <c r="AC513" s="455">
        <v>4800</v>
      </c>
      <c r="AD513" s="455">
        <v>4800</v>
      </c>
      <c r="AE513" s="168">
        <v>0</v>
      </c>
      <c r="AF513" s="523">
        <v>0</v>
      </c>
    </row>
    <row r="514" spans="1:32">
      <c r="A514" s="455" t="s">
        <v>1191</v>
      </c>
      <c r="D514" s="456">
        <v>0</v>
      </c>
      <c r="E514" s="456">
        <v>0</v>
      </c>
      <c r="M514" s="168" t="s">
        <v>366</v>
      </c>
      <c r="N514" s="455" t="s">
        <v>1553</v>
      </c>
      <c r="O514" s="455" t="s">
        <v>633</v>
      </c>
      <c r="P514" s="455">
        <v>1057</v>
      </c>
      <c r="Q514" s="455"/>
      <c r="R514" s="523">
        <v>0</v>
      </c>
      <c r="S514" s="523"/>
      <c r="Z514" s="168" t="s">
        <v>366</v>
      </c>
      <c r="AA514" s="455" t="s">
        <v>1553</v>
      </c>
      <c r="AB514" s="455" t="s">
        <v>633</v>
      </c>
      <c r="AC514" s="455">
        <v>1057</v>
      </c>
      <c r="AD514" s="455"/>
      <c r="AE514" s="168">
        <v>0</v>
      </c>
      <c r="AF514" s="523">
        <v>0</v>
      </c>
    </row>
    <row r="515" spans="1:32">
      <c r="A515" s="455" t="s">
        <v>1193</v>
      </c>
      <c r="D515" s="456">
        <v>0</v>
      </c>
      <c r="E515" s="456">
        <v>0</v>
      </c>
      <c r="M515" s="168" t="s">
        <v>367</v>
      </c>
      <c r="N515" s="455" t="s">
        <v>1553</v>
      </c>
      <c r="O515" s="455" t="s">
        <v>253</v>
      </c>
      <c r="P515" s="455">
        <v>628</v>
      </c>
      <c r="Q515" s="455"/>
      <c r="R515" s="523">
        <v>0</v>
      </c>
      <c r="S515" s="523"/>
      <c r="Z515" s="168" t="s">
        <v>367</v>
      </c>
      <c r="AA515" s="455" t="s">
        <v>1553</v>
      </c>
      <c r="AB515" s="455" t="s">
        <v>253</v>
      </c>
      <c r="AC515" s="455">
        <v>628</v>
      </c>
      <c r="AD515" s="455"/>
      <c r="AE515" s="168">
        <v>0</v>
      </c>
      <c r="AF515" s="523">
        <v>0</v>
      </c>
    </row>
    <row r="516" spans="1:32">
      <c r="A516" s="455" t="s">
        <v>1193</v>
      </c>
      <c r="B516" s="455" t="s">
        <v>1865</v>
      </c>
      <c r="D516" s="456">
        <v>0</v>
      </c>
      <c r="E516" s="456">
        <v>0</v>
      </c>
      <c r="M516" s="168" t="s">
        <v>370</v>
      </c>
      <c r="N516" s="455" t="s">
        <v>1553</v>
      </c>
      <c r="O516" s="455" t="s">
        <v>616</v>
      </c>
      <c r="P516" s="455">
        <v>3523</v>
      </c>
      <c r="Q516" s="455">
        <v>1942</v>
      </c>
      <c r="R516" s="523">
        <v>2446</v>
      </c>
      <c r="S516" s="523"/>
      <c r="Z516" s="168" t="s">
        <v>370</v>
      </c>
      <c r="AA516" s="455" t="s">
        <v>1553</v>
      </c>
      <c r="AB516" s="455" t="s">
        <v>616</v>
      </c>
      <c r="AC516" s="455">
        <v>3523</v>
      </c>
      <c r="AD516" s="455">
        <v>1942</v>
      </c>
      <c r="AE516" s="168">
        <v>2446.89</v>
      </c>
      <c r="AF516" s="523">
        <v>2446</v>
      </c>
    </row>
    <row r="517" spans="1:32">
      <c r="A517" s="455" t="s">
        <v>1197</v>
      </c>
      <c r="D517" s="456">
        <v>16.850000000000001</v>
      </c>
      <c r="E517" s="456">
        <v>0</v>
      </c>
      <c r="M517" s="168" t="s">
        <v>371</v>
      </c>
      <c r="N517" s="455" t="s">
        <v>1553</v>
      </c>
      <c r="O517" s="455" t="s">
        <v>2322</v>
      </c>
      <c r="P517" s="455">
        <v>3957</v>
      </c>
      <c r="Q517" s="455">
        <v>3957</v>
      </c>
      <c r="R517" s="523">
        <v>0</v>
      </c>
      <c r="S517" s="523"/>
      <c r="Z517" s="168" t="s">
        <v>371</v>
      </c>
      <c r="AA517" s="455" t="s">
        <v>1553</v>
      </c>
      <c r="AB517" s="455" t="s">
        <v>2322</v>
      </c>
      <c r="AC517" s="455">
        <v>3957</v>
      </c>
      <c r="AD517" s="455">
        <v>3957</v>
      </c>
      <c r="AE517" s="168">
        <v>0</v>
      </c>
      <c r="AF517" s="523">
        <v>0</v>
      </c>
    </row>
    <row r="518" spans="1:32">
      <c r="A518" s="455" t="s">
        <v>2004</v>
      </c>
      <c r="D518" s="456">
        <v>0</v>
      </c>
      <c r="E518" s="456">
        <v>0</v>
      </c>
      <c r="M518" s="168" t="s">
        <v>372</v>
      </c>
      <c r="N518" s="455" t="s">
        <v>1553</v>
      </c>
      <c r="O518" s="455" t="s">
        <v>633</v>
      </c>
      <c r="P518" s="455">
        <v>203</v>
      </c>
      <c r="Q518" s="455">
        <v>112</v>
      </c>
      <c r="R518" s="523">
        <v>0</v>
      </c>
      <c r="S518" s="523"/>
      <c r="Z518" s="168" t="s">
        <v>372</v>
      </c>
      <c r="AA518" s="455" t="s">
        <v>1553</v>
      </c>
      <c r="AB518" s="455" t="s">
        <v>633</v>
      </c>
      <c r="AC518" s="455">
        <v>203</v>
      </c>
      <c r="AD518" s="455">
        <v>112</v>
      </c>
      <c r="AE518" s="168">
        <v>0</v>
      </c>
      <c r="AF518" s="523">
        <v>0</v>
      </c>
    </row>
    <row r="519" spans="1:32">
      <c r="A519" s="455" t="s">
        <v>1989</v>
      </c>
      <c r="D519" s="456">
        <v>0</v>
      </c>
      <c r="E519" s="456">
        <v>0</v>
      </c>
      <c r="M519" s="168" t="s">
        <v>373</v>
      </c>
      <c r="N519" s="455" t="s">
        <v>1553</v>
      </c>
      <c r="O519" s="455" t="s">
        <v>253</v>
      </c>
      <c r="P519" s="455">
        <v>106</v>
      </c>
      <c r="Q519" s="455">
        <v>58</v>
      </c>
      <c r="R519" s="523">
        <v>0</v>
      </c>
      <c r="S519" s="523"/>
      <c r="Z519" s="168" t="s">
        <v>373</v>
      </c>
      <c r="AA519" s="455" t="s">
        <v>1553</v>
      </c>
      <c r="AB519" s="455" t="s">
        <v>253</v>
      </c>
      <c r="AC519" s="455">
        <v>106</v>
      </c>
      <c r="AD519" s="455">
        <v>58</v>
      </c>
      <c r="AE519" s="168">
        <v>0</v>
      </c>
      <c r="AF519" s="523">
        <v>0</v>
      </c>
    </row>
    <row r="520" spans="1:32">
      <c r="A520" s="455" t="s">
        <v>1194</v>
      </c>
      <c r="B520" s="455" t="s">
        <v>1202</v>
      </c>
      <c r="D520" s="456">
        <v>130728.31</v>
      </c>
      <c r="E520" s="456">
        <v>0</v>
      </c>
      <c r="M520" s="168" t="s">
        <v>381</v>
      </c>
      <c r="N520" s="455" t="s">
        <v>1553</v>
      </c>
      <c r="O520" s="455" t="s">
        <v>610</v>
      </c>
      <c r="P520" s="455">
        <v>2482</v>
      </c>
      <c r="Q520" s="455">
        <v>2482</v>
      </c>
      <c r="R520" s="523">
        <v>0</v>
      </c>
      <c r="S520" s="523"/>
      <c r="Z520" s="168" t="s">
        <v>381</v>
      </c>
      <c r="AA520" s="455" t="s">
        <v>1553</v>
      </c>
      <c r="AB520" s="455" t="s">
        <v>610</v>
      </c>
      <c r="AC520" s="455">
        <v>2482</v>
      </c>
      <c r="AD520" s="455">
        <v>2482</v>
      </c>
      <c r="AE520" s="168">
        <v>0</v>
      </c>
      <c r="AF520" s="523">
        <v>0</v>
      </c>
    </row>
    <row r="521" spans="1:32">
      <c r="A521" s="455" t="s">
        <v>1203</v>
      </c>
      <c r="D521" s="456">
        <v>-130728.31</v>
      </c>
      <c r="E521" s="456">
        <v>0</v>
      </c>
      <c r="M521" s="168" t="s">
        <v>382</v>
      </c>
      <c r="N521" s="455" t="s">
        <v>1553</v>
      </c>
      <c r="O521" s="455" t="s">
        <v>50</v>
      </c>
      <c r="P521" s="455">
        <v>24879</v>
      </c>
      <c r="Q521" s="455">
        <v>90000</v>
      </c>
      <c r="R521" s="523">
        <v>166189</v>
      </c>
      <c r="S521" s="523"/>
      <c r="Z521" s="168" t="s">
        <v>382</v>
      </c>
      <c r="AA521" s="455" t="s">
        <v>1553</v>
      </c>
      <c r="AB521" s="455" t="s">
        <v>50</v>
      </c>
      <c r="AC521" s="455">
        <v>24879</v>
      </c>
      <c r="AD521" s="455">
        <v>90000</v>
      </c>
      <c r="AE521" s="168">
        <v>166189.49</v>
      </c>
      <c r="AF521" s="523">
        <v>166189</v>
      </c>
    </row>
    <row r="522" spans="1:32">
      <c r="A522" s="455" t="s">
        <v>1194</v>
      </c>
      <c r="D522" s="456">
        <v>0</v>
      </c>
      <c r="E522" s="456">
        <v>0</v>
      </c>
      <c r="M522" s="168" t="s">
        <v>383</v>
      </c>
      <c r="N522" s="455" t="s">
        <v>1553</v>
      </c>
      <c r="O522" s="455" t="s">
        <v>52</v>
      </c>
      <c r="P522" s="455">
        <v>150869</v>
      </c>
      <c r="Q522" s="455">
        <v>100000</v>
      </c>
      <c r="R522" s="523">
        <v>0</v>
      </c>
      <c r="S522" s="523"/>
      <c r="Z522" s="168" t="s">
        <v>383</v>
      </c>
      <c r="AA522" s="455" t="s">
        <v>1553</v>
      </c>
      <c r="AB522" s="455" t="s">
        <v>52</v>
      </c>
      <c r="AC522" s="455">
        <v>150869</v>
      </c>
      <c r="AD522" s="455">
        <v>100000</v>
      </c>
      <c r="AE522" s="168">
        <v>0</v>
      </c>
      <c r="AF522" s="523">
        <v>0</v>
      </c>
    </row>
    <row r="523" spans="1:32">
      <c r="A523" s="455" t="s">
        <v>1206</v>
      </c>
      <c r="B523" s="455" t="s">
        <v>1207</v>
      </c>
      <c r="D523" s="456">
        <v>-104.04</v>
      </c>
      <c r="E523" s="456">
        <v>0</v>
      </c>
      <c r="M523" s="168" t="s">
        <v>384</v>
      </c>
      <c r="N523" s="455" t="s">
        <v>1553</v>
      </c>
      <c r="O523" s="455" t="s">
        <v>458</v>
      </c>
      <c r="P523" s="455">
        <v>251449</v>
      </c>
      <c r="Q523" s="455">
        <v>100000</v>
      </c>
      <c r="R523" s="523">
        <v>0</v>
      </c>
      <c r="S523" s="523"/>
      <c r="Z523" s="168" t="s">
        <v>384</v>
      </c>
      <c r="AA523" s="455" t="s">
        <v>1553</v>
      </c>
      <c r="AB523" s="455" t="s">
        <v>458</v>
      </c>
      <c r="AC523" s="455">
        <v>251449</v>
      </c>
      <c r="AD523" s="455">
        <v>100000</v>
      </c>
      <c r="AE523" s="168">
        <v>0</v>
      </c>
      <c r="AF523" s="523">
        <v>0</v>
      </c>
    </row>
    <row r="524" spans="1:32">
      <c r="A524" s="455" t="s">
        <v>1206</v>
      </c>
      <c r="B524" s="455" t="s">
        <v>1207</v>
      </c>
      <c r="D524" s="456">
        <v>0</v>
      </c>
      <c r="E524" s="456">
        <v>0</v>
      </c>
      <c r="M524" s="168" t="s">
        <v>2720</v>
      </c>
      <c r="N524" s="455" t="s">
        <v>1553</v>
      </c>
      <c r="O524" s="455" t="s">
        <v>3772</v>
      </c>
      <c r="P524" s="455">
        <v>450000</v>
      </c>
      <c r="Q524" s="455"/>
      <c r="R524" s="523">
        <v>0</v>
      </c>
      <c r="S524" s="523"/>
      <c r="Z524" s="168" t="s">
        <v>2720</v>
      </c>
      <c r="AA524" s="455"/>
      <c r="AB524" s="455"/>
      <c r="AC524" s="455">
        <v>450000</v>
      </c>
      <c r="AD524" s="455"/>
      <c r="AE524" s="168">
        <v>0</v>
      </c>
      <c r="AF524" s="523">
        <v>0</v>
      </c>
    </row>
    <row r="525" spans="1:32">
      <c r="A525" s="455" t="s">
        <v>1206</v>
      </c>
      <c r="B525" s="455" t="s">
        <v>1207</v>
      </c>
      <c r="D525" s="456">
        <v>0</v>
      </c>
      <c r="E525" s="456">
        <v>0</v>
      </c>
      <c r="M525" s="168" t="s">
        <v>385</v>
      </c>
      <c r="N525" s="455" t="s">
        <v>1553</v>
      </c>
      <c r="O525" s="455" t="s">
        <v>458</v>
      </c>
      <c r="P525" s="455"/>
      <c r="Q525" s="455">
        <v>245000</v>
      </c>
      <c r="R525" s="523">
        <v>0</v>
      </c>
      <c r="S525" s="523"/>
      <c r="Z525" s="168" t="s">
        <v>385</v>
      </c>
      <c r="AA525" s="455" t="s">
        <v>1553</v>
      </c>
      <c r="AB525" s="455" t="s">
        <v>458</v>
      </c>
      <c r="AC525" s="455"/>
      <c r="AD525" s="455">
        <v>245000</v>
      </c>
      <c r="AE525" s="168">
        <v>0</v>
      </c>
      <c r="AF525" s="523">
        <v>0</v>
      </c>
    </row>
    <row r="526" spans="1:32">
      <c r="A526" s="455" t="s">
        <v>1206</v>
      </c>
      <c r="B526" s="455" t="s">
        <v>1207</v>
      </c>
      <c r="D526" s="456">
        <v>0</v>
      </c>
      <c r="E526" s="456">
        <v>0</v>
      </c>
      <c r="M526" s="168" t="s">
        <v>1410</v>
      </c>
      <c r="N526" s="455" t="s">
        <v>1553</v>
      </c>
      <c r="O526" s="455" t="s">
        <v>3739</v>
      </c>
      <c r="P526" s="455"/>
      <c r="Q526" s="455">
        <v>40232</v>
      </c>
      <c r="R526" s="523"/>
      <c r="S526" s="523"/>
      <c r="Z526" s="168" t="s">
        <v>1410</v>
      </c>
      <c r="AA526" s="455"/>
      <c r="AB526" s="455" t="s">
        <v>3739</v>
      </c>
      <c r="AC526" s="455"/>
      <c r="AD526" s="455">
        <v>40232</v>
      </c>
      <c r="AF526" s="523"/>
    </row>
    <row r="527" spans="1:32">
      <c r="A527" s="455" t="s">
        <v>1213</v>
      </c>
      <c r="D527" s="456">
        <v>0</v>
      </c>
      <c r="E527" s="456">
        <v>0</v>
      </c>
      <c r="M527" s="168" t="s">
        <v>1407</v>
      </c>
      <c r="N527" s="455" t="s">
        <v>1553</v>
      </c>
      <c r="O527" s="455" t="s">
        <v>610</v>
      </c>
      <c r="P527" s="455">
        <v>5030</v>
      </c>
      <c r="Q527" s="455">
        <v>5030</v>
      </c>
      <c r="R527" s="523">
        <v>0</v>
      </c>
      <c r="S527" s="523"/>
      <c r="Z527" s="168" t="s">
        <v>1407</v>
      </c>
      <c r="AA527" s="455" t="s">
        <v>1553</v>
      </c>
      <c r="AB527" s="455" t="s">
        <v>610</v>
      </c>
      <c r="AC527" s="455">
        <v>5030</v>
      </c>
      <c r="AD527" s="455">
        <v>5030</v>
      </c>
      <c r="AE527" s="168">
        <v>0</v>
      </c>
      <c r="AF527" s="523">
        <v>0</v>
      </c>
    </row>
    <row r="528" spans="1:32">
      <c r="A528" s="455" t="s">
        <v>1214</v>
      </c>
      <c r="D528" s="456">
        <v>0</v>
      </c>
      <c r="E528" s="456">
        <v>0</v>
      </c>
      <c r="M528" s="168" t="s">
        <v>1408</v>
      </c>
      <c r="N528" s="455" t="s">
        <v>1553</v>
      </c>
      <c r="O528" s="455" t="s">
        <v>633</v>
      </c>
      <c r="P528" s="455">
        <v>40232</v>
      </c>
      <c r="Q528" s="455">
        <v>5000</v>
      </c>
      <c r="R528" s="523">
        <v>4023</v>
      </c>
      <c r="S528" s="523"/>
      <c r="Z528" s="168" t="s">
        <v>1408</v>
      </c>
      <c r="AA528" s="455" t="s">
        <v>1553</v>
      </c>
      <c r="AB528" s="455" t="s">
        <v>633</v>
      </c>
      <c r="AC528" s="455">
        <v>40232</v>
      </c>
      <c r="AD528" s="455">
        <v>5000</v>
      </c>
      <c r="AE528" s="168">
        <v>4022.15</v>
      </c>
      <c r="AF528" s="523">
        <v>4023</v>
      </c>
    </row>
    <row r="529" spans="1:32">
      <c r="A529" s="455" t="s">
        <v>1216</v>
      </c>
      <c r="D529" s="456">
        <v>-1619314.19</v>
      </c>
      <c r="E529" s="456">
        <v>0</v>
      </c>
      <c r="M529" s="168" t="s">
        <v>1409</v>
      </c>
      <c r="N529" s="455" t="s">
        <v>1553</v>
      </c>
      <c r="O529" s="455" t="s">
        <v>50</v>
      </c>
      <c r="P529" s="455">
        <v>35203</v>
      </c>
      <c r="Q529" s="455">
        <v>35203</v>
      </c>
      <c r="R529" s="523">
        <v>30439</v>
      </c>
      <c r="S529" s="523"/>
      <c r="Z529" s="168" t="s">
        <v>1409</v>
      </c>
      <c r="AA529" s="455" t="s">
        <v>1553</v>
      </c>
      <c r="AB529" s="455" t="s">
        <v>50</v>
      </c>
      <c r="AC529" s="455">
        <v>35203</v>
      </c>
      <c r="AD529" s="455">
        <v>35203</v>
      </c>
      <c r="AE529" s="168">
        <v>30438.09</v>
      </c>
      <c r="AF529" s="523">
        <v>30439</v>
      </c>
    </row>
    <row r="530" spans="1:32">
      <c r="A530" s="455" t="s">
        <v>1219</v>
      </c>
      <c r="D530" s="456">
        <v>1.28</v>
      </c>
      <c r="E530" s="456">
        <v>0</v>
      </c>
      <c r="M530" s="168" t="s">
        <v>1410</v>
      </c>
      <c r="N530" s="455" t="s">
        <v>1553</v>
      </c>
      <c r="O530" s="455" t="s">
        <v>461</v>
      </c>
      <c r="P530" s="455">
        <v>40232</v>
      </c>
      <c r="Q530" s="455"/>
      <c r="R530" s="523">
        <v>27545</v>
      </c>
      <c r="S530" s="523"/>
      <c r="Z530" s="168" t="s">
        <v>1410</v>
      </c>
      <c r="AA530" s="455" t="s">
        <v>1553</v>
      </c>
      <c r="AB530" s="455" t="s">
        <v>461</v>
      </c>
      <c r="AC530" s="455">
        <v>40232</v>
      </c>
      <c r="AD530" s="455"/>
      <c r="AE530" s="168">
        <v>27544.85</v>
      </c>
      <c r="AF530" s="523">
        <v>27545</v>
      </c>
    </row>
    <row r="531" spans="1:32">
      <c r="A531" s="455" t="s">
        <v>1537</v>
      </c>
      <c r="D531" s="456">
        <v>-7060213.7400000002</v>
      </c>
      <c r="E531" s="456">
        <v>0</v>
      </c>
      <c r="M531" s="168" t="s">
        <v>1411</v>
      </c>
      <c r="N531" s="455" t="s">
        <v>1553</v>
      </c>
      <c r="O531" s="455" t="s">
        <v>612</v>
      </c>
      <c r="P531" s="455">
        <v>15000</v>
      </c>
      <c r="Q531" s="455">
        <v>15000</v>
      </c>
      <c r="R531" s="523">
        <v>0</v>
      </c>
      <c r="S531" s="523"/>
      <c r="Z531" s="168" t="s">
        <v>1411</v>
      </c>
      <c r="AA531" s="455" t="s">
        <v>1553</v>
      </c>
      <c r="AB531" s="455" t="s">
        <v>612</v>
      </c>
      <c r="AC531" s="455">
        <v>15000</v>
      </c>
      <c r="AD531" s="455">
        <v>15000</v>
      </c>
      <c r="AE531" s="168">
        <v>0</v>
      </c>
      <c r="AF531" s="523">
        <v>0</v>
      </c>
    </row>
    <row r="532" spans="1:32">
      <c r="A532" s="455" t="s">
        <v>746</v>
      </c>
      <c r="B532" s="455" t="s">
        <v>1540</v>
      </c>
      <c r="D532" s="456">
        <v>-84316.73</v>
      </c>
      <c r="E532" s="456">
        <v>0</v>
      </c>
      <c r="M532" s="168" t="s">
        <v>1412</v>
      </c>
      <c r="N532" s="455" t="s">
        <v>1553</v>
      </c>
      <c r="O532" s="455" t="s">
        <v>616</v>
      </c>
      <c r="P532" s="455">
        <v>360</v>
      </c>
      <c r="Q532" s="455">
        <v>198</v>
      </c>
      <c r="R532" s="523">
        <v>0</v>
      </c>
      <c r="S532" s="523"/>
      <c r="Z532" s="168" t="s">
        <v>1412</v>
      </c>
      <c r="AA532" s="455" t="s">
        <v>1553</v>
      </c>
      <c r="AB532" s="455" t="s">
        <v>616</v>
      </c>
      <c r="AC532" s="455">
        <v>360</v>
      </c>
      <c r="AD532" s="455">
        <v>198</v>
      </c>
      <c r="AE532" s="168">
        <v>0</v>
      </c>
      <c r="AF532" s="523">
        <v>0</v>
      </c>
    </row>
    <row r="533" spans="1:32">
      <c r="A533" s="455" t="s">
        <v>1206</v>
      </c>
      <c r="B533" s="455" t="s">
        <v>1207</v>
      </c>
      <c r="D533" s="456">
        <v>0</v>
      </c>
      <c r="E533" s="456">
        <v>0</v>
      </c>
      <c r="M533" s="168" t="s">
        <v>1413</v>
      </c>
      <c r="N533" s="455" t="s">
        <v>1553</v>
      </c>
      <c r="O533" s="455" t="s">
        <v>631</v>
      </c>
      <c r="P533" s="455">
        <v>1369</v>
      </c>
      <c r="Q533" s="455">
        <v>755</v>
      </c>
      <c r="R533" s="523">
        <v>0</v>
      </c>
      <c r="S533" s="523"/>
      <c r="Z533" s="168" t="s">
        <v>1413</v>
      </c>
      <c r="AA533" s="455" t="s">
        <v>1553</v>
      </c>
      <c r="AB533" s="455" t="s">
        <v>631</v>
      </c>
      <c r="AC533" s="455">
        <v>1369</v>
      </c>
      <c r="AD533" s="455">
        <v>755</v>
      </c>
      <c r="AE533" s="168">
        <v>0</v>
      </c>
      <c r="AF533" s="523">
        <v>0</v>
      </c>
    </row>
    <row r="534" spans="1:32">
      <c r="A534" s="455" t="s">
        <v>1542</v>
      </c>
      <c r="D534" s="456">
        <v>0</v>
      </c>
      <c r="E534" s="456">
        <v>0</v>
      </c>
      <c r="M534" s="168" t="s">
        <v>1414</v>
      </c>
      <c r="N534" s="455" t="s">
        <v>1553</v>
      </c>
      <c r="O534" s="455" t="s">
        <v>633</v>
      </c>
      <c r="P534" s="455">
        <v>31</v>
      </c>
      <c r="Q534" s="455">
        <v>17</v>
      </c>
      <c r="R534" s="523">
        <v>239</v>
      </c>
      <c r="S534" s="523"/>
      <c r="Z534" s="168" t="s">
        <v>1414</v>
      </c>
      <c r="AA534" s="455" t="s">
        <v>1553</v>
      </c>
      <c r="AB534" s="455" t="s">
        <v>633</v>
      </c>
      <c r="AC534" s="455">
        <v>31</v>
      </c>
      <c r="AD534" s="455">
        <v>17</v>
      </c>
      <c r="AE534" s="168">
        <v>239.97</v>
      </c>
      <c r="AF534" s="523">
        <v>239</v>
      </c>
    </row>
    <row r="535" spans="1:32">
      <c r="A535" s="455" t="s">
        <v>1544</v>
      </c>
      <c r="D535" s="456">
        <v>0</v>
      </c>
      <c r="E535" s="456">
        <v>0</v>
      </c>
      <c r="M535" s="168" t="s">
        <v>1415</v>
      </c>
      <c r="N535" s="455" t="s">
        <v>1553</v>
      </c>
      <c r="O535" s="455" t="s">
        <v>253</v>
      </c>
      <c r="P535" s="455"/>
      <c r="Q535" s="455"/>
      <c r="R535" s="523">
        <v>0</v>
      </c>
      <c r="S535" s="523"/>
      <c r="Z535" s="168" t="s">
        <v>1415</v>
      </c>
      <c r="AA535" s="455" t="s">
        <v>1553</v>
      </c>
      <c r="AB535" s="455" t="s">
        <v>253</v>
      </c>
      <c r="AC535" s="455"/>
      <c r="AD535" s="455"/>
      <c r="AE535" s="168">
        <v>0</v>
      </c>
      <c r="AF535" s="523">
        <v>0</v>
      </c>
    </row>
    <row r="536" spans="1:32">
      <c r="A536" s="455" t="s">
        <v>1546</v>
      </c>
      <c r="D536" s="456">
        <v>0</v>
      </c>
      <c r="E536" s="456">
        <v>0</v>
      </c>
      <c r="M536" s="168" t="s">
        <v>1416</v>
      </c>
      <c r="N536" s="455" t="s">
        <v>1553</v>
      </c>
      <c r="O536" s="455" t="s">
        <v>50</v>
      </c>
      <c r="P536" s="455">
        <v>15000</v>
      </c>
      <c r="Q536" s="455">
        <v>11025</v>
      </c>
      <c r="R536" s="523">
        <v>458</v>
      </c>
      <c r="S536" s="523"/>
      <c r="Z536" s="168" t="s">
        <v>1416</v>
      </c>
      <c r="AA536" s="455" t="s">
        <v>1553</v>
      </c>
      <c r="AB536" s="455" t="s">
        <v>50</v>
      </c>
      <c r="AC536" s="455">
        <v>15000</v>
      </c>
      <c r="AD536" s="455">
        <v>11025</v>
      </c>
      <c r="AE536" s="168">
        <v>457.14</v>
      </c>
      <c r="AF536" s="523">
        <v>458</v>
      </c>
    </row>
    <row r="537" spans="1:32">
      <c r="A537" s="455"/>
      <c r="D537" s="456">
        <v>-70185.39</v>
      </c>
      <c r="E537" s="456">
        <v>1767511</v>
      </c>
      <c r="M537" s="168" t="s">
        <v>1417</v>
      </c>
      <c r="N537" s="455" t="s">
        <v>1553</v>
      </c>
      <c r="O537" s="455" t="s">
        <v>52</v>
      </c>
      <c r="P537" s="455">
        <v>67</v>
      </c>
      <c r="Q537" s="455">
        <v>37</v>
      </c>
      <c r="R537" s="523">
        <v>0</v>
      </c>
      <c r="S537" s="523"/>
      <c r="Z537" s="168" t="s">
        <v>1417</v>
      </c>
      <c r="AA537" s="455" t="s">
        <v>1553</v>
      </c>
      <c r="AB537" s="455" t="s">
        <v>52</v>
      </c>
      <c r="AC537" s="455">
        <v>67</v>
      </c>
      <c r="AD537" s="455">
        <v>37</v>
      </c>
      <c r="AE537" s="168">
        <v>0</v>
      </c>
      <c r="AF537" s="523">
        <v>0</v>
      </c>
    </row>
    <row r="538" spans="1:32">
      <c r="M538" s="168" t="s">
        <v>1418</v>
      </c>
      <c r="N538" s="455" t="s">
        <v>1553</v>
      </c>
      <c r="O538" s="455" t="s">
        <v>52</v>
      </c>
      <c r="P538" s="455"/>
      <c r="Q538" s="455"/>
      <c r="R538" s="523">
        <v>0</v>
      </c>
      <c r="S538" s="523"/>
      <c r="Z538" s="168" t="s">
        <v>1418</v>
      </c>
      <c r="AA538" s="455" t="s">
        <v>1553</v>
      </c>
      <c r="AB538" s="455" t="s">
        <v>52</v>
      </c>
      <c r="AC538" s="455"/>
      <c r="AD538" s="455"/>
      <c r="AE538" s="168">
        <v>0</v>
      </c>
      <c r="AF538" s="523">
        <v>0</v>
      </c>
    </row>
    <row r="539" spans="1:32">
      <c r="M539" s="168" t="s">
        <v>1419</v>
      </c>
      <c r="N539" s="455" t="s">
        <v>1553</v>
      </c>
      <c r="O539" s="455" t="s">
        <v>612</v>
      </c>
      <c r="P539" s="455">
        <v>30000</v>
      </c>
      <c r="Q539" s="455">
        <v>10000</v>
      </c>
      <c r="R539" s="523">
        <v>3085</v>
      </c>
      <c r="S539" s="523"/>
      <c r="Z539" s="168" t="s">
        <v>1419</v>
      </c>
      <c r="AA539" s="455" t="s">
        <v>1553</v>
      </c>
      <c r="AB539" s="455" t="s">
        <v>612</v>
      </c>
      <c r="AC539" s="455">
        <v>30000</v>
      </c>
      <c r="AD539" s="455">
        <v>10000</v>
      </c>
      <c r="AE539" s="168">
        <v>3085</v>
      </c>
      <c r="AF539" s="523">
        <v>3085</v>
      </c>
    </row>
    <row r="540" spans="1:32">
      <c r="M540" s="168" t="s">
        <v>1420</v>
      </c>
      <c r="N540" s="455" t="s">
        <v>1553</v>
      </c>
      <c r="O540" s="455" t="s">
        <v>616</v>
      </c>
      <c r="P540" s="455">
        <v>2190</v>
      </c>
      <c r="Q540" s="455">
        <v>1000</v>
      </c>
      <c r="R540" s="523">
        <v>0</v>
      </c>
      <c r="S540" s="523"/>
      <c r="Z540" s="168" t="s">
        <v>1420</v>
      </c>
      <c r="AA540" s="455" t="s">
        <v>1553</v>
      </c>
      <c r="AB540" s="455" t="s">
        <v>616</v>
      </c>
      <c r="AC540" s="455">
        <v>2190</v>
      </c>
      <c r="AD540" s="455">
        <v>1000</v>
      </c>
      <c r="AE540" s="168">
        <v>0</v>
      </c>
      <c r="AF540" s="523">
        <v>0</v>
      </c>
    </row>
    <row r="541" spans="1:32">
      <c r="M541" s="168" t="s">
        <v>1421</v>
      </c>
      <c r="N541" s="455" t="s">
        <v>1553</v>
      </c>
      <c r="O541" s="455" t="s">
        <v>631</v>
      </c>
      <c r="P541" s="455">
        <v>1081</v>
      </c>
      <c r="Q541" s="455">
        <v>596</v>
      </c>
      <c r="R541" s="523">
        <v>0</v>
      </c>
      <c r="S541" s="523"/>
      <c r="Z541" s="168" t="s">
        <v>1421</v>
      </c>
      <c r="AA541" s="455" t="s">
        <v>1553</v>
      </c>
      <c r="AB541" s="455" t="s">
        <v>631</v>
      </c>
      <c r="AC541" s="455">
        <v>1081</v>
      </c>
      <c r="AD541" s="455">
        <v>596</v>
      </c>
      <c r="AE541" s="168">
        <v>0</v>
      </c>
      <c r="AF541" s="523">
        <v>0</v>
      </c>
    </row>
    <row r="542" spans="1:32">
      <c r="M542" s="168" t="s">
        <v>1422</v>
      </c>
      <c r="N542" s="455" t="s">
        <v>1553</v>
      </c>
      <c r="O542" s="455" t="s">
        <v>633</v>
      </c>
      <c r="P542" s="455">
        <v>1708</v>
      </c>
      <c r="Q542" s="455">
        <v>942</v>
      </c>
      <c r="R542" s="523">
        <v>0</v>
      </c>
      <c r="S542" s="523"/>
      <c r="Z542" s="168" t="s">
        <v>1422</v>
      </c>
      <c r="AA542" s="455" t="s">
        <v>1553</v>
      </c>
      <c r="AB542" s="455" t="s">
        <v>633</v>
      </c>
      <c r="AC542" s="455">
        <v>1708</v>
      </c>
      <c r="AD542" s="455">
        <v>942</v>
      </c>
      <c r="AE542" s="168">
        <v>0</v>
      </c>
      <c r="AF542" s="523">
        <v>0</v>
      </c>
    </row>
    <row r="543" spans="1:32">
      <c r="M543" s="168" t="s">
        <v>1423</v>
      </c>
      <c r="N543" s="455" t="s">
        <v>1553</v>
      </c>
      <c r="O543" s="455" t="s">
        <v>253</v>
      </c>
      <c r="P543" s="455"/>
      <c r="Q543" s="455"/>
      <c r="R543" s="523">
        <v>0</v>
      </c>
      <c r="S543" s="523"/>
      <c r="Z543" s="168" t="s">
        <v>1423</v>
      </c>
      <c r="AA543" s="455" t="s">
        <v>1553</v>
      </c>
      <c r="AB543" s="455" t="s">
        <v>253</v>
      </c>
      <c r="AC543" s="455"/>
      <c r="AD543" s="455"/>
      <c r="AE543" s="168">
        <v>0</v>
      </c>
      <c r="AF543" s="523">
        <v>0</v>
      </c>
    </row>
    <row r="544" spans="1:32">
      <c r="M544" s="168" t="s">
        <v>1424</v>
      </c>
      <c r="N544" s="455" t="s">
        <v>1553</v>
      </c>
      <c r="O544" s="455" t="s">
        <v>50</v>
      </c>
      <c r="P544" s="455">
        <v>40000</v>
      </c>
      <c r="Q544" s="455">
        <v>7000</v>
      </c>
      <c r="R544" s="523">
        <v>3031</v>
      </c>
      <c r="S544" s="523"/>
      <c r="Z544" s="168" t="s">
        <v>1424</v>
      </c>
      <c r="AA544" s="455" t="s">
        <v>1553</v>
      </c>
      <c r="AB544" s="455" t="s">
        <v>50</v>
      </c>
      <c r="AC544" s="455">
        <v>40000</v>
      </c>
      <c r="AD544" s="455">
        <v>7000</v>
      </c>
      <c r="AE544" s="168">
        <v>3030.67</v>
      </c>
      <c r="AF544" s="523">
        <v>3031</v>
      </c>
    </row>
    <row r="545" spans="13:32">
      <c r="M545" s="168" t="s">
        <v>1425</v>
      </c>
      <c r="N545" s="455" t="s">
        <v>1553</v>
      </c>
      <c r="O545" s="455" t="s">
        <v>52</v>
      </c>
      <c r="P545" s="455"/>
      <c r="Q545" s="455"/>
      <c r="R545" s="523">
        <v>0</v>
      </c>
      <c r="S545" s="523"/>
      <c r="Z545" s="168" t="s">
        <v>1425</v>
      </c>
      <c r="AA545" s="455" t="s">
        <v>1553</v>
      </c>
      <c r="AB545" s="455" t="s">
        <v>52</v>
      </c>
      <c r="AC545" s="455"/>
      <c r="AD545" s="455"/>
      <c r="AE545" s="168">
        <v>0</v>
      </c>
      <c r="AF545" s="523">
        <v>0</v>
      </c>
    </row>
    <row r="546" spans="13:32">
      <c r="M546" s="168" t="s">
        <v>1426</v>
      </c>
      <c r="N546" s="455" t="s">
        <v>1553</v>
      </c>
      <c r="O546" s="455" t="s">
        <v>52</v>
      </c>
      <c r="P546" s="455"/>
      <c r="Q546" s="455"/>
      <c r="R546" s="523">
        <v>0</v>
      </c>
      <c r="S546" s="523"/>
      <c r="Z546" s="168" t="s">
        <v>1426</v>
      </c>
      <c r="AA546" s="455" t="s">
        <v>1553</v>
      </c>
      <c r="AB546" s="455" t="s">
        <v>52</v>
      </c>
      <c r="AC546" s="455"/>
      <c r="AD546" s="455"/>
      <c r="AE546" s="168">
        <v>0</v>
      </c>
      <c r="AF546" s="523">
        <v>0</v>
      </c>
    </row>
    <row r="547" spans="13:32">
      <c r="M547" s="168" t="s">
        <v>1427</v>
      </c>
      <c r="N547" s="455" t="s">
        <v>1553</v>
      </c>
      <c r="O547" s="455" t="s">
        <v>612</v>
      </c>
      <c r="P547" s="455">
        <v>20000</v>
      </c>
      <c r="Q547" s="455">
        <v>8500</v>
      </c>
      <c r="R547" s="523">
        <v>981</v>
      </c>
      <c r="S547" s="523"/>
      <c r="Z547" s="168" t="s">
        <v>1427</v>
      </c>
      <c r="AA547" s="455" t="s">
        <v>1553</v>
      </c>
      <c r="AB547" s="455" t="s">
        <v>612</v>
      </c>
      <c r="AC547" s="455">
        <v>20000</v>
      </c>
      <c r="AD547" s="455">
        <v>8500</v>
      </c>
      <c r="AE547" s="168">
        <v>981</v>
      </c>
      <c r="AF547" s="523">
        <v>981</v>
      </c>
    </row>
    <row r="548" spans="13:32">
      <c r="M548" s="168" t="s">
        <v>1428</v>
      </c>
      <c r="N548" s="455" t="s">
        <v>1553</v>
      </c>
      <c r="O548" s="455" t="s">
        <v>616</v>
      </c>
      <c r="P548" s="455">
        <v>2441</v>
      </c>
      <c r="Q548" s="455">
        <v>2325</v>
      </c>
      <c r="R548" s="523">
        <v>0</v>
      </c>
      <c r="S548" s="523"/>
      <c r="Z548" s="168" t="s">
        <v>1428</v>
      </c>
      <c r="AA548" s="455" t="s">
        <v>1553</v>
      </c>
      <c r="AB548" s="455" t="s">
        <v>616</v>
      </c>
      <c r="AC548" s="455">
        <v>2441</v>
      </c>
      <c r="AD548" s="455">
        <v>2325</v>
      </c>
      <c r="AE548" s="168">
        <v>0</v>
      </c>
      <c r="AF548" s="523">
        <v>0</v>
      </c>
    </row>
    <row r="549" spans="13:32">
      <c r="M549" s="168" t="s">
        <v>1429</v>
      </c>
      <c r="N549" s="455" t="s">
        <v>1553</v>
      </c>
      <c r="O549" s="455" t="s">
        <v>631</v>
      </c>
      <c r="P549" s="455">
        <v>1953</v>
      </c>
      <c r="Q549" s="455">
        <v>953</v>
      </c>
      <c r="R549" s="523">
        <v>0</v>
      </c>
      <c r="S549" s="523"/>
      <c r="Z549" s="168" t="s">
        <v>1429</v>
      </c>
      <c r="AA549" s="455" t="s">
        <v>1553</v>
      </c>
      <c r="AB549" s="455" t="s">
        <v>631</v>
      </c>
      <c r="AC549" s="455">
        <v>1953</v>
      </c>
      <c r="AD549" s="455">
        <v>953</v>
      </c>
      <c r="AE549" s="168">
        <v>0</v>
      </c>
      <c r="AF549" s="523">
        <v>0</v>
      </c>
    </row>
    <row r="550" spans="13:32">
      <c r="M550" s="168" t="s">
        <v>1430</v>
      </c>
      <c r="N550" s="455" t="s">
        <v>1553</v>
      </c>
      <c r="O550" s="455" t="s">
        <v>633</v>
      </c>
      <c r="P550" s="455">
        <v>14648</v>
      </c>
      <c r="Q550" s="455">
        <v>8500</v>
      </c>
      <c r="R550" s="523">
        <v>0</v>
      </c>
      <c r="S550" s="523"/>
      <c r="Z550" s="168" t="s">
        <v>1430</v>
      </c>
      <c r="AA550" s="455" t="s">
        <v>1553</v>
      </c>
      <c r="AB550" s="455" t="s">
        <v>633</v>
      </c>
      <c r="AC550" s="455">
        <v>14648</v>
      </c>
      <c r="AD550" s="455">
        <v>8500</v>
      </c>
      <c r="AE550" s="168">
        <v>0</v>
      </c>
      <c r="AF550" s="523">
        <v>0</v>
      </c>
    </row>
    <row r="551" spans="13:32">
      <c r="M551" s="168" t="s">
        <v>1431</v>
      </c>
      <c r="N551" s="455" t="s">
        <v>1553</v>
      </c>
      <c r="O551" s="455" t="s">
        <v>253</v>
      </c>
      <c r="P551" s="455">
        <v>9765</v>
      </c>
      <c r="Q551" s="455">
        <v>9765</v>
      </c>
      <c r="R551" s="523">
        <v>550</v>
      </c>
      <c r="S551" s="523"/>
      <c r="Z551" s="168" t="s">
        <v>1431</v>
      </c>
      <c r="AA551" s="455" t="s">
        <v>1553</v>
      </c>
      <c r="AB551" s="455" t="s">
        <v>253</v>
      </c>
      <c r="AC551" s="455">
        <v>9765</v>
      </c>
      <c r="AD551" s="455">
        <v>9765</v>
      </c>
      <c r="AE551" s="168">
        <v>550</v>
      </c>
      <c r="AF551" s="523">
        <v>550</v>
      </c>
    </row>
    <row r="552" spans="13:32">
      <c r="M552" s="168" t="s">
        <v>1432</v>
      </c>
      <c r="N552" s="455" t="s">
        <v>1553</v>
      </c>
      <c r="O552" s="455" t="s">
        <v>50</v>
      </c>
      <c r="P552" s="455">
        <v>42000</v>
      </c>
      <c r="Q552" s="455">
        <v>8500</v>
      </c>
      <c r="R552" s="523">
        <v>3672</v>
      </c>
      <c r="S552" s="523"/>
      <c r="Z552" s="168" t="s">
        <v>1432</v>
      </c>
      <c r="AA552" s="455" t="s">
        <v>1553</v>
      </c>
      <c r="AB552" s="455" t="s">
        <v>50</v>
      </c>
      <c r="AC552" s="455">
        <v>42000</v>
      </c>
      <c r="AD552" s="455">
        <v>8500</v>
      </c>
      <c r="AE552" s="168">
        <v>3671.58</v>
      </c>
      <c r="AF552" s="523">
        <v>3672</v>
      </c>
    </row>
    <row r="553" spans="13:32">
      <c r="M553" s="168" t="s">
        <v>1433</v>
      </c>
      <c r="N553" s="455" t="s">
        <v>1553</v>
      </c>
      <c r="O553" s="455" t="s">
        <v>52</v>
      </c>
      <c r="P553" s="455"/>
      <c r="Q553" s="455"/>
      <c r="R553" s="523">
        <v>0</v>
      </c>
      <c r="S553" s="523"/>
      <c r="Z553" s="168" t="s">
        <v>1433</v>
      </c>
      <c r="AA553" s="455" t="s">
        <v>1553</v>
      </c>
      <c r="AB553" s="455" t="s">
        <v>52</v>
      </c>
      <c r="AC553" s="455"/>
      <c r="AD553" s="455"/>
      <c r="AE553" s="168">
        <v>0</v>
      </c>
      <c r="AF553" s="523">
        <v>0</v>
      </c>
    </row>
    <row r="554" spans="13:32">
      <c r="M554" s="168" t="s">
        <v>1434</v>
      </c>
      <c r="N554" s="455" t="s">
        <v>1553</v>
      </c>
      <c r="O554" s="455" t="s">
        <v>52</v>
      </c>
      <c r="P554" s="455"/>
      <c r="Q554" s="455"/>
      <c r="R554" s="523">
        <v>0</v>
      </c>
      <c r="S554" s="523"/>
      <c r="Z554" s="168" t="s">
        <v>1434</v>
      </c>
      <c r="AA554" s="455" t="s">
        <v>1553</v>
      </c>
      <c r="AB554" s="455" t="s">
        <v>52</v>
      </c>
      <c r="AC554" s="455"/>
      <c r="AD554" s="455"/>
      <c r="AE554" s="168">
        <v>0</v>
      </c>
      <c r="AF554" s="523">
        <v>0</v>
      </c>
    </row>
    <row r="555" spans="13:32">
      <c r="M555" s="147" t="s">
        <v>3733</v>
      </c>
      <c r="N555" s="455" t="s">
        <v>1553</v>
      </c>
      <c r="O555" s="148" t="s">
        <v>3734</v>
      </c>
      <c r="P555" s="148">
        <v>2500</v>
      </c>
      <c r="Q555" s="148">
        <v>1500</v>
      </c>
      <c r="R555" s="523"/>
      <c r="S555" s="523"/>
      <c r="U555" s="147"/>
      <c r="V555" s="147"/>
      <c r="W555" s="147"/>
      <c r="X555" s="147"/>
      <c r="Y555" s="147"/>
      <c r="Z555" s="147" t="s">
        <v>3733</v>
      </c>
      <c r="AA555" s="148"/>
      <c r="AB555" s="148" t="s">
        <v>3734</v>
      </c>
      <c r="AC555" s="148">
        <v>2500</v>
      </c>
      <c r="AD555" s="148">
        <v>1500</v>
      </c>
      <c r="AF555" s="523"/>
    </row>
    <row r="556" spans="13:32">
      <c r="M556" s="168" t="s">
        <v>1459</v>
      </c>
      <c r="N556" s="455" t="s">
        <v>1553</v>
      </c>
      <c r="O556" s="455" t="s">
        <v>612</v>
      </c>
      <c r="P556" s="455">
        <v>2233</v>
      </c>
      <c r="Q556" s="455">
        <v>20000</v>
      </c>
      <c r="R556" s="523">
        <v>17161</v>
      </c>
      <c r="S556" s="523"/>
      <c r="Z556" s="168" t="s">
        <v>1459</v>
      </c>
      <c r="AA556" s="455" t="s">
        <v>1553</v>
      </c>
      <c r="AB556" s="455" t="s">
        <v>612</v>
      </c>
      <c r="AC556" s="455">
        <v>2233</v>
      </c>
      <c r="AD556" s="455">
        <v>20000</v>
      </c>
      <c r="AE556" s="168">
        <v>17160.96</v>
      </c>
      <c r="AF556" s="523">
        <v>17161</v>
      </c>
    </row>
    <row r="557" spans="13:32">
      <c r="M557" s="168" t="s">
        <v>1460</v>
      </c>
      <c r="N557" s="455" t="s">
        <v>1553</v>
      </c>
      <c r="O557" s="455" t="s">
        <v>616</v>
      </c>
      <c r="P557" s="455">
        <v>1657</v>
      </c>
      <c r="Q557" s="455">
        <v>1657</v>
      </c>
      <c r="R557" s="523">
        <v>2698</v>
      </c>
      <c r="S557" s="523"/>
      <c r="Z557" s="168" t="s">
        <v>1460</v>
      </c>
      <c r="AA557" s="455" t="s">
        <v>1553</v>
      </c>
      <c r="AB557" s="455" t="s">
        <v>616</v>
      </c>
      <c r="AC557" s="455">
        <v>1657</v>
      </c>
      <c r="AD557" s="455">
        <v>1657</v>
      </c>
      <c r="AE557" s="168">
        <v>2698.13</v>
      </c>
      <c r="AF557" s="523">
        <v>2698</v>
      </c>
    </row>
    <row r="558" spans="13:32">
      <c r="M558" s="168" t="s">
        <v>1461</v>
      </c>
      <c r="N558" s="455" t="s">
        <v>1553</v>
      </c>
      <c r="O558" s="455" t="s">
        <v>622</v>
      </c>
      <c r="P558" s="455">
        <v>58000</v>
      </c>
      <c r="Q558" s="455">
        <v>58000</v>
      </c>
      <c r="R558" s="523">
        <v>84842</v>
      </c>
      <c r="S558" s="523"/>
      <c r="Z558" s="168" t="s">
        <v>1461</v>
      </c>
      <c r="AA558" s="455" t="s">
        <v>1553</v>
      </c>
      <c r="AB558" s="455" t="s">
        <v>622</v>
      </c>
      <c r="AC558" s="455">
        <v>58000</v>
      </c>
      <c r="AD558" s="455">
        <v>58000</v>
      </c>
      <c r="AE558" s="168">
        <v>84842.67</v>
      </c>
      <c r="AF558" s="523">
        <v>84842</v>
      </c>
    </row>
    <row r="559" spans="13:32">
      <c r="M559" s="168" t="s">
        <v>1462</v>
      </c>
      <c r="N559" s="455" t="s">
        <v>1553</v>
      </c>
      <c r="O559" s="455" t="s">
        <v>2322</v>
      </c>
      <c r="P559" s="455">
        <v>14556</v>
      </c>
      <c r="Q559" s="455">
        <v>14556</v>
      </c>
      <c r="R559" s="523">
        <v>3024</v>
      </c>
      <c r="S559" s="523"/>
      <c r="Z559" s="168" t="s">
        <v>1462</v>
      </c>
      <c r="AA559" s="455" t="s">
        <v>1553</v>
      </c>
      <c r="AB559" s="455" t="s">
        <v>2322</v>
      </c>
      <c r="AC559" s="455">
        <v>14556</v>
      </c>
      <c r="AD559" s="455">
        <v>14556</v>
      </c>
      <c r="AE559" s="168">
        <v>3023.67</v>
      </c>
      <c r="AF559" s="523">
        <v>3024</v>
      </c>
    </row>
    <row r="560" spans="13:32">
      <c r="M560" s="168" t="s">
        <v>1463</v>
      </c>
      <c r="N560" s="455" t="s">
        <v>1553</v>
      </c>
      <c r="O560" s="455" t="s">
        <v>624</v>
      </c>
      <c r="P560" s="455">
        <v>1268</v>
      </c>
      <c r="Q560" s="455">
        <v>1000</v>
      </c>
      <c r="R560" s="523">
        <v>1555</v>
      </c>
      <c r="S560" s="523"/>
      <c r="Z560" s="168" t="s">
        <v>1463</v>
      </c>
      <c r="AA560" s="455" t="s">
        <v>1553</v>
      </c>
      <c r="AB560" s="455" t="s">
        <v>624</v>
      </c>
      <c r="AC560" s="455">
        <v>1268</v>
      </c>
      <c r="AD560" s="455">
        <v>1000</v>
      </c>
      <c r="AE560" s="168">
        <v>1555</v>
      </c>
      <c r="AF560" s="523">
        <v>1555</v>
      </c>
    </row>
    <row r="561" spans="13:32">
      <c r="M561" s="168" t="s">
        <v>1464</v>
      </c>
      <c r="N561" s="455" t="s">
        <v>1553</v>
      </c>
      <c r="O561" s="455" t="s">
        <v>631</v>
      </c>
      <c r="P561" s="455">
        <v>0</v>
      </c>
      <c r="Q561" s="455">
        <v>3000</v>
      </c>
      <c r="R561" s="523">
        <v>3401</v>
      </c>
      <c r="S561" s="523"/>
      <c r="Z561" s="168" t="s">
        <v>1464</v>
      </c>
      <c r="AA561" s="455" t="s">
        <v>1553</v>
      </c>
      <c r="AB561" s="455" t="s">
        <v>631</v>
      </c>
      <c r="AC561" s="455">
        <v>0</v>
      </c>
      <c r="AD561" s="455">
        <v>3000</v>
      </c>
      <c r="AE561" s="168">
        <v>3401.51</v>
      </c>
      <c r="AF561" s="523">
        <v>3401</v>
      </c>
    </row>
    <row r="562" spans="13:32">
      <c r="M562" s="168" t="s">
        <v>1465</v>
      </c>
      <c r="N562" s="455" t="s">
        <v>1553</v>
      </c>
      <c r="O562" s="455" t="s">
        <v>633</v>
      </c>
      <c r="P562" s="455">
        <v>93524</v>
      </c>
      <c r="Q562" s="455">
        <v>67000</v>
      </c>
      <c r="R562" s="523">
        <v>64034</v>
      </c>
      <c r="S562" s="523"/>
      <c r="Z562" s="168" t="s">
        <v>1465</v>
      </c>
      <c r="AA562" s="455" t="s">
        <v>1553</v>
      </c>
      <c r="AB562" s="455" t="s">
        <v>633</v>
      </c>
      <c r="AC562" s="455">
        <v>93524</v>
      </c>
      <c r="AD562" s="455">
        <v>67000</v>
      </c>
      <c r="AE562" s="168">
        <v>64033.74</v>
      </c>
      <c r="AF562" s="523">
        <v>64034</v>
      </c>
    </row>
    <row r="563" spans="13:32">
      <c r="M563" s="168" t="s">
        <v>1466</v>
      </c>
      <c r="N563" s="455" t="s">
        <v>1553</v>
      </c>
      <c r="O563" s="455" t="s">
        <v>253</v>
      </c>
      <c r="P563" s="455">
        <v>4299</v>
      </c>
      <c r="Q563" s="455">
        <v>4299</v>
      </c>
      <c r="R563" s="523">
        <v>21646</v>
      </c>
      <c r="S563" s="523"/>
      <c r="Z563" s="168" t="s">
        <v>1466</v>
      </c>
      <c r="AA563" s="455" t="s">
        <v>1553</v>
      </c>
      <c r="AB563" s="455" t="s">
        <v>253</v>
      </c>
      <c r="AC563" s="455">
        <v>4299</v>
      </c>
      <c r="AD563" s="455">
        <v>4299</v>
      </c>
      <c r="AE563" s="168">
        <v>21646.55</v>
      </c>
      <c r="AF563" s="523">
        <v>21646</v>
      </c>
    </row>
    <row r="564" spans="13:32">
      <c r="M564" s="168" t="s">
        <v>1467</v>
      </c>
      <c r="N564" s="455" t="s">
        <v>1553</v>
      </c>
      <c r="O564" s="455" t="s">
        <v>50</v>
      </c>
      <c r="P564" s="455">
        <v>109352</v>
      </c>
      <c r="Q564" s="455">
        <v>96000</v>
      </c>
      <c r="R564" s="523">
        <v>123330</v>
      </c>
      <c r="S564" s="523"/>
      <c r="Z564" s="168" t="s">
        <v>1467</v>
      </c>
      <c r="AA564" s="455" t="s">
        <v>1553</v>
      </c>
      <c r="AB564" s="455" t="s">
        <v>50</v>
      </c>
      <c r="AC564" s="455">
        <v>109352</v>
      </c>
      <c r="AD564" s="455">
        <v>96000</v>
      </c>
      <c r="AE564" s="168">
        <v>123330.38</v>
      </c>
      <c r="AF564" s="523">
        <v>123330</v>
      </c>
    </row>
    <row r="565" spans="13:32">
      <c r="M565" s="168" t="s">
        <v>1468</v>
      </c>
      <c r="N565" s="455" t="s">
        <v>1553</v>
      </c>
      <c r="O565" s="455" t="s">
        <v>52</v>
      </c>
      <c r="P565" s="455">
        <v>17275</v>
      </c>
      <c r="Q565" s="455">
        <v>17275</v>
      </c>
      <c r="R565" s="523">
        <v>20445</v>
      </c>
      <c r="S565" s="523"/>
      <c r="Z565" s="168" t="s">
        <v>1468</v>
      </c>
      <c r="AA565" s="455" t="s">
        <v>1553</v>
      </c>
      <c r="AB565" s="455" t="s">
        <v>52</v>
      </c>
      <c r="AC565" s="455">
        <v>17275</v>
      </c>
      <c r="AD565" s="455">
        <v>17275</v>
      </c>
      <c r="AE565" s="168">
        <v>20445.560000000001</v>
      </c>
      <c r="AF565" s="523">
        <v>20445</v>
      </c>
    </row>
    <row r="566" spans="13:32">
      <c r="M566" s="168" t="s">
        <v>1469</v>
      </c>
      <c r="N566" s="455" t="s">
        <v>1553</v>
      </c>
      <c r="O566" s="455" t="s">
        <v>52</v>
      </c>
      <c r="P566" s="455">
        <v>78084</v>
      </c>
      <c r="Q566" s="455">
        <v>30000</v>
      </c>
      <c r="R566" s="523">
        <v>76030</v>
      </c>
      <c r="S566" s="523"/>
      <c r="Z566" s="168" t="s">
        <v>1469</v>
      </c>
      <c r="AA566" s="455" t="s">
        <v>1553</v>
      </c>
      <c r="AB566" s="455" t="s">
        <v>52</v>
      </c>
      <c r="AC566" s="455">
        <v>78084</v>
      </c>
      <c r="AD566" s="455">
        <v>30000</v>
      </c>
      <c r="AE566" s="168">
        <v>76030.210000000006</v>
      </c>
      <c r="AF566" s="523">
        <v>76030</v>
      </c>
    </row>
    <row r="567" spans="13:32">
      <c r="M567" s="168" t="s">
        <v>2721</v>
      </c>
      <c r="N567" s="455" t="s">
        <v>1553</v>
      </c>
      <c r="O567" s="455" t="s">
        <v>3773</v>
      </c>
      <c r="P567" s="455"/>
      <c r="Q567" s="455">
        <v>25000</v>
      </c>
      <c r="R567" s="523">
        <v>321096</v>
      </c>
      <c r="S567" s="523"/>
      <c r="Z567" s="168" t="s">
        <v>2721</v>
      </c>
      <c r="AA567" s="455"/>
      <c r="AB567" s="455"/>
      <c r="AC567" s="455"/>
      <c r="AD567" s="455">
        <v>25000</v>
      </c>
      <c r="AE567" s="168">
        <v>321096</v>
      </c>
      <c r="AF567" s="523">
        <v>321096</v>
      </c>
    </row>
    <row r="568" spans="13:32">
      <c r="M568" s="168" t="s">
        <v>2722</v>
      </c>
      <c r="N568" s="455" t="s">
        <v>1553</v>
      </c>
      <c r="O568" s="455" t="s">
        <v>3774</v>
      </c>
      <c r="P568" s="455"/>
      <c r="Q568" s="455"/>
      <c r="R568" s="523">
        <v>376950</v>
      </c>
      <c r="S568" s="523"/>
      <c r="Z568" s="168" t="s">
        <v>2722</v>
      </c>
      <c r="AA568" s="455"/>
      <c r="AB568" s="455"/>
      <c r="AC568" s="455"/>
      <c r="AD568" s="455"/>
      <c r="AE568" s="168">
        <v>376950.47</v>
      </c>
      <c r="AF568" s="523">
        <v>376950</v>
      </c>
    </row>
    <row r="569" spans="13:32">
      <c r="M569" s="168" t="s">
        <v>1470</v>
      </c>
      <c r="N569" s="455" t="s">
        <v>1553</v>
      </c>
      <c r="O569" s="455" t="s">
        <v>1455</v>
      </c>
      <c r="P569" s="455">
        <v>20000</v>
      </c>
      <c r="Q569" s="455">
        <v>10000</v>
      </c>
      <c r="R569" s="523">
        <v>0</v>
      </c>
      <c r="S569" s="523"/>
      <c r="Z569" s="168" t="s">
        <v>1470</v>
      </c>
      <c r="AA569" s="455" t="s">
        <v>1553</v>
      </c>
      <c r="AB569" s="455" t="s">
        <v>1455</v>
      </c>
      <c r="AC569" s="455">
        <v>20000</v>
      </c>
      <c r="AD569" s="455">
        <v>10000</v>
      </c>
      <c r="AE569" s="168">
        <v>0</v>
      </c>
      <c r="AF569" s="523">
        <v>0</v>
      </c>
    </row>
    <row r="570" spans="13:32">
      <c r="M570" s="168" t="s">
        <v>835</v>
      </c>
      <c r="N570" s="455" t="s">
        <v>1553</v>
      </c>
      <c r="O570" s="455" t="s">
        <v>62</v>
      </c>
      <c r="P570" s="455">
        <v>20000</v>
      </c>
      <c r="Q570" s="455">
        <v>10000</v>
      </c>
      <c r="R570" s="523">
        <v>0</v>
      </c>
      <c r="S570" s="523"/>
      <c r="Z570" s="168" t="s">
        <v>835</v>
      </c>
      <c r="AA570" s="455" t="s">
        <v>1553</v>
      </c>
      <c r="AB570" s="455" t="s">
        <v>62</v>
      </c>
      <c r="AC570" s="455">
        <v>20000</v>
      </c>
      <c r="AD570" s="455">
        <v>10000</v>
      </c>
      <c r="AE570" s="168">
        <v>0</v>
      </c>
      <c r="AF570" s="523">
        <v>0</v>
      </c>
    </row>
    <row r="571" spans="13:32">
      <c r="M571" s="168" t="s">
        <v>836</v>
      </c>
      <c r="N571" s="455" t="s">
        <v>1553</v>
      </c>
      <c r="O571" s="455" t="s">
        <v>837</v>
      </c>
      <c r="P571" s="455">
        <v>182700</v>
      </c>
      <c r="Q571" s="455">
        <v>100000</v>
      </c>
      <c r="R571" s="523">
        <v>0</v>
      </c>
      <c r="S571" s="523"/>
      <c r="Z571" s="168" t="s">
        <v>836</v>
      </c>
      <c r="AA571" s="455" t="s">
        <v>1553</v>
      </c>
      <c r="AB571" s="455" t="s">
        <v>837</v>
      </c>
      <c r="AC571" s="455">
        <v>182700</v>
      </c>
      <c r="AD571" s="455">
        <v>100000</v>
      </c>
      <c r="AE571" s="168">
        <v>0</v>
      </c>
      <c r="AF571" s="523">
        <v>0</v>
      </c>
    </row>
    <row r="572" spans="13:32">
      <c r="P572" s="168">
        <f>SUM(P279:P571)</f>
        <v>27129954</v>
      </c>
      <c r="Q572" s="168">
        <f>SUM(Q279:Q571)</f>
        <v>20801570</v>
      </c>
      <c r="R572" s="168">
        <f>SUM(R279:R571)</f>
        <v>19470932</v>
      </c>
    </row>
    <row r="573" spans="13:32">
      <c r="R573" s="168">
        <v>-19345532</v>
      </c>
    </row>
    <row r="574" spans="13:32">
      <c r="R574" s="168">
        <f>SUM(R572:R573)</f>
        <v>125400</v>
      </c>
    </row>
  </sheetData>
  <sortState ref="M3:R183">
    <sortCondition ref="O3:O183"/>
  </sortState>
  <pageMargins left="0.7" right="0.7" top="0.75" bottom="0.75" header="0.3" footer="0.3"/>
</worksheet>
</file>

<file path=xl/worksheets/sheet4.xml><?xml version="1.0" encoding="utf-8"?>
<worksheet xmlns="http://schemas.openxmlformats.org/spreadsheetml/2006/main" xmlns:r="http://schemas.openxmlformats.org/officeDocument/2006/relationships">
  <sheetPr>
    <pageSetUpPr fitToPage="1"/>
  </sheetPr>
  <dimension ref="A1:G125"/>
  <sheetViews>
    <sheetView tabSelected="1" view="pageBreakPreview" topLeftCell="A28" zoomScaleSheetLayoutView="100" workbookViewId="0">
      <selection activeCell="B43" sqref="B43"/>
    </sheetView>
  </sheetViews>
  <sheetFormatPr defaultRowHeight="15"/>
  <cols>
    <col min="1" max="1" width="9.140625" style="238"/>
    <col min="2" max="2" width="32.5703125" style="238" bestFit="1" customWidth="1"/>
    <col min="3" max="3" width="22.42578125" style="238" bestFit="1" customWidth="1"/>
    <col min="4" max="4" width="19.7109375" style="238" customWidth="1"/>
    <col min="5" max="16384" width="9.140625" style="238"/>
  </cols>
  <sheetData>
    <row r="1" spans="1:4" ht="16.5" thickBot="1">
      <c r="A1" s="312"/>
      <c r="B1" s="381"/>
      <c r="C1" s="381"/>
      <c r="D1" s="382"/>
    </row>
    <row r="2" spans="1:4" ht="16.5" thickTop="1">
      <c r="A2" s="312"/>
      <c r="B2" s="383"/>
      <c r="C2" s="384"/>
      <c r="D2" s="385"/>
    </row>
    <row r="3" spans="1:4" ht="15.75">
      <c r="A3" s="312"/>
      <c r="B3" s="1784" t="s">
        <v>995</v>
      </c>
      <c r="C3" s="1785"/>
      <c r="D3" s="1786"/>
    </row>
    <row r="4" spans="1:4" ht="16.5" thickBot="1">
      <c r="A4" s="312"/>
      <c r="B4" s="386"/>
      <c r="C4" s="387"/>
      <c r="D4" s="388"/>
    </row>
    <row r="5" spans="1:4" ht="16.5" thickTop="1">
      <c r="A5" s="312"/>
      <c r="B5" s="381"/>
      <c r="C5" s="381"/>
      <c r="D5" s="381"/>
    </row>
    <row r="6" spans="1:4" ht="15.75">
      <c r="A6" s="312"/>
      <c r="B6" s="381"/>
      <c r="C6" s="381"/>
      <c r="D6" s="381"/>
    </row>
    <row r="7" spans="1:4" ht="15.75">
      <c r="A7" s="312"/>
      <c r="B7" s="389" t="s">
        <v>1550</v>
      </c>
      <c r="C7" s="381"/>
      <c r="D7" s="381"/>
    </row>
    <row r="8" spans="1:4" ht="15.75">
      <c r="A8" s="312"/>
      <c r="B8" s="381" t="s">
        <v>584</v>
      </c>
      <c r="C8" s="390" t="s">
        <v>996</v>
      </c>
      <c r="D8" s="381"/>
    </row>
    <row r="9" spans="1:4" ht="15.75">
      <c r="A9" s="312"/>
      <c r="B9" s="381" t="s">
        <v>997</v>
      </c>
      <c r="C9" s="390" t="s">
        <v>3148</v>
      </c>
      <c r="D9" s="381" t="s">
        <v>45</v>
      </c>
    </row>
    <row r="10" spans="1:4" ht="15.75">
      <c r="A10" s="312"/>
      <c r="B10" s="381" t="s">
        <v>997</v>
      </c>
      <c r="C10" s="390" t="s">
        <v>998</v>
      </c>
      <c r="D10" s="381" t="s">
        <v>45</v>
      </c>
    </row>
    <row r="11" spans="1:4" ht="15.75">
      <c r="A11" s="312"/>
      <c r="B11" s="381" t="s">
        <v>997</v>
      </c>
      <c r="C11" s="390" t="s">
        <v>999</v>
      </c>
      <c r="D11" s="381" t="s">
        <v>45</v>
      </c>
    </row>
    <row r="12" spans="1:4" ht="15.75">
      <c r="A12" s="312"/>
      <c r="B12" s="381" t="s">
        <v>997</v>
      </c>
      <c r="C12" s="390" t="s">
        <v>1000</v>
      </c>
      <c r="D12" s="381" t="s">
        <v>45</v>
      </c>
    </row>
    <row r="13" spans="1:4" ht="15.75">
      <c r="A13" s="312"/>
      <c r="B13" s="381" t="s">
        <v>997</v>
      </c>
      <c r="C13" s="390" t="s">
        <v>1001</v>
      </c>
      <c r="D13" s="381" t="s">
        <v>45</v>
      </c>
    </row>
    <row r="14" spans="1:4" ht="15.75">
      <c r="A14" s="312"/>
      <c r="B14" s="381" t="s">
        <v>997</v>
      </c>
      <c r="C14" s="312" t="s">
        <v>1002</v>
      </c>
      <c r="D14" s="381" t="s">
        <v>45</v>
      </c>
    </row>
    <row r="15" spans="1:4" ht="15.75">
      <c r="A15" s="312"/>
      <c r="B15" s="381" t="s">
        <v>997</v>
      </c>
      <c r="C15" s="390" t="s">
        <v>1003</v>
      </c>
      <c r="D15" s="381"/>
    </row>
    <row r="16" spans="1:4" ht="15.75">
      <c r="A16" s="312"/>
      <c r="B16" s="381" t="s">
        <v>997</v>
      </c>
      <c r="C16" s="390" t="s">
        <v>1004</v>
      </c>
      <c r="D16" s="381" t="s">
        <v>45</v>
      </c>
    </row>
    <row r="17" spans="1:4" ht="15.75">
      <c r="A17" s="312"/>
      <c r="B17" s="381" t="s">
        <v>997</v>
      </c>
      <c r="C17" s="390" t="s">
        <v>3149</v>
      </c>
      <c r="D17" s="381"/>
    </row>
    <row r="18" spans="1:4" ht="15.75">
      <c r="A18" s="312"/>
      <c r="B18" s="381" t="s">
        <v>997</v>
      </c>
      <c r="C18" s="381" t="s">
        <v>1005</v>
      </c>
      <c r="D18" s="381"/>
    </row>
    <row r="19" spans="1:4" ht="15.75">
      <c r="A19" s="312"/>
      <c r="B19" s="381"/>
      <c r="C19" s="381"/>
      <c r="D19" s="381"/>
    </row>
    <row r="20" spans="1:4" ht="15.75">
      <c r="A20" s="312"/>
      <c r="B20" s="389" t="s">
        <v>1006</v>
      </c>
      <c r="C20" s="381"/>
      <c r="D20" s="381"/>
    </row>
    <row r="21" spans="1:4" ht="15.75">
      <c r="A21" s="312"/>
      <c r="B21" s="381" t="s">
        <v>1007</v>
      </c>
      <c r="C21" s="381"/>
      <c r="D21" s="381"/>
    </row>
    <row r="22" spans="1:4" ht="15.75">
      <c r="A22" s="312"/>
      <c r="B22" s="381"/>
      <c r="C22" s="381"/>
      <c r="D22" s="381"/>
    </row>
    <row r="23" spans="1:4" ht="15.75">
      <c r="A23" s="312"/>
      <c r="B23" s="381"/>
      <c r="C23" s="381"/>
      <c r="D23" s="381"/>
    </row>
    <row r="24" spans="1:4" ht="15.75">
      <c r="A24" s="312"/>
      <c r="B24" s="389" t="s">
        <v>1008</v>
      </c>
      <c r="C24" s="381"/>
      <c r="D24" s="381"/>
    </row>
    <row r="25" spans="1:4" ht="15.75">
      <c r="A25" s="312"/>
      <c r="B25" s="381" t="s">
        <v>1009</v>
      </c>
      <c r="C25" s="381"/>
      <c r="D25" s="381"/>
    </row>
    <row r="26" spans="1:4" ht="15.75">
      <c r="A26" s="312"/>
      <c r="B26" s="381"/>
      <c r="C26" s="381"/>
      <c r="D26" s="381"/>
    </row>
    <row r="27" spans="1:4" ht="15.75">
      <c r="A27" s="312"/>
      <c r="B27" s="381"/>
      <c r="C27" s="381"/>
      <c r="D27" s="381"/>
    </row>
    <row r="28" spans="1:4" ht="15.75">
      <c r="A28" s="312"/>
      <c r="B28" s="389" t="s">
        <v>1010</v>
      </c>
      <c r="C28" s="381"/>
      <c r="D28" s="381"/>
    </row>
    <row r="29" spans="1:4" ht="15.75">
      <c r="A29" s="312"/>
      <c r="B29" s="381" t="s">
        <v>1011</v>
      </c>
      <c r="C29" s="381"/>
      <c r="D29" s="381"/>
    </row>
    <row r="30" spans="1:4" ht="15.75">
      <c r="A30" s="312"/>
      <c r="B30" s="381"/>
      <c r="C30" s="381"/>
      <c r="D30" s="381"/>
    </row>
    <row r="31" spans="1:4" ht="15.75">
      <c r="A31" s="312"/>
      <c r="B31" s="381"/>
      <c r="C31" s="381"/>
      <c r="D31" s="381"/>
    </row>
    <row r="32" spans="1:4" ht="15.75">
      <c r="A32" s="312"/>
      <c r="B32" s="389" t="s">
        <v>1012</v>
      </c>
      <c r="C32" s="381"/>
      <c r="D32" s="381"/>
    </row>
    <row r="33" spans="1:4" ht="15.75">
      <c r="A33" s="312"/>
      <c r="B33" s="381" t="s">
        <v>1013</v>
      </c>
      <c r="C33" s="381"/>
      <c r="D33" s="381"/>
    </row>
    <row r="34" spans="1:4" ht="15.75">
      <c r="A34" s="312"/>
      <c r="B34" s="381" t="s">
        <v>0</v>
      </c>
      <c r="C34" s="381"/>
      <c r="D34" s="381"/>
    </row>
    <row r="35" spans="1:4" ht="15.75">
      <c r="A35" s="312"/>
      <c r="B35" s="381" t="s">
        <v>59</v>
      </c>
      <c r="C35" s="381"/>
      <c r="D35" s="381"/>
    </row>
    <row r="36" spans="1:4" ht="15.75">
      <c r="A36" s="312"/>
      <c r="B36" s="381" t="s">
        <v>1</v>
      </c>
      <c r="C36" s="381"/>
      <c r="D36" s="381"/>
    </row>
    <row r="37" spans="1:4" ht="15.75">
      <c r="A37" s="312"/>
      <c r="B37" s="381"/>
      <c r="C37" s="381"/>
      <c r="D37" s="381"/>
    </row>
    <row r="38" spans="1:4" ht="15.75">
      <c r="A38" s="312"/>
      <c r="B38" s="381" t="s">
        <v>2</v>
      </c>
      <c r="C38" s="381"/>
      <c r="D38" s="381"/>
    </row>
    <row r="39" spans="1:4" ht="15.75">
      <c r="A39" s="312"/>
      <c r="B39" s="381" t="s">
        <v>59</v>
      </c>
      <c r="C39" s="381"/>
      <c r="D39" s="381"/>
    </row>
    <row r="40" spans="1:4" ht="15.75">
      <c r="A40" s="312"/>
      <c r="B40" s="381" t="s">
        <v>1</v>
      </c>
      <c r="C40" s="381"/>
      <c r="D40" s="381"/>
    </row>
    <row r="41" spans="1:4" ht="15.75">
      <c r="A41" s="312"/>
      <c r="B41" s="381"/>
      <c r="C41" s="381"/>
      <c r="D41" s="381"/>
    </row>
    <row r="42" spans="1:4" ht="15.75">
      <c r="A42" s="312"/>
      <c r="B42" s="381" t="s">
        <v>3</v>
      </c>
      <c r="C42" s="381" t="s">
        <v>4</v>
      </c>
      <c r="D42" s="381"/>
    </row>
    <row r="43" spans="1:4" ht="15.75">
      <c r="A43" s="312"/>
      <c r="B43" s="381" t="s">
        <v>5</v>
      </c>
      <c r="C43" s="381" t="s">
        <v>6</v>
      </c>
      <c r="D43" s="381"/>
    </row>
    <row r="44" spans="1:4" ht="15.75">
      <c r="A44" s="312"/>
      <c r="B44" s="381"/>
      <c r="C44" s="381"/>
      <c r="D44" s="381"/>
    </row>
    <row r="45" spans="1:4" ht="15.75">
      <c r="A45" s="312"/>
      <c r="B45" s="381"/>
      <c r="C45" s="381"/>
      <c r="D45" s="381"/>
    </row>
    <row r="46" spans="1:4" ht="15.75">
      <c r="A46" s="312"/>
      <c r="B46" s="389" t="s">
        <v>7</v>
      </c>
      <c r="C46" s="381"/>
      <c r="D46" s="381"/>
    </row>
    <row r="47" spans="1:4" ht="15.75">
      <c r="A47" s="312"/>
      <c r="B47" s="381" t="s">
        <v>8</v>
      </c>
      <c r="C47" s="381"/>
      <c r="D47" s="381"/>
    </row>
    <row r="48" spans="1:4" ht="15.75">
      <c r="A48" s="312"/>
      <c r="B48" s="381" t="s">
        <v>3899</v>
      </c>
      <c r="C48" s="381"/>
      <c r="D48" s="381"/>
    </row>
    <row r="49" spans="1:4" ht="15.75">
      <c r="A49" s="312"/>
      <c r="B49" s="381"/>
      <c r="C49" s="381"/>
      <c r="D49" s="381"/>
    </row>
    <row r="50" spans="1:4" ht="15.75">
      <c r="A50" s="312"/>
      <c r="B50" s="381"/>
      <c r="C50" s="381"/>
      <c r="D50" s="381"/>
    </row>
    <row r="51" spans="1:4" ht="15.75">
      <c r="A51" s="312"/>
      <c r="B51" s="389" t="s">
        <v>9</v>
      </c>
      <c r="C51" s="381"/>
      <c r="D51" s="381"/>
    </row>
    <row r="52" spans="1:4" ht="15.75">
      <c r="A52" s="312"/>
      <c r="B52" s="381" t="s">
        <v>1088</v>
      </c>
      <c r="C52" s="381"/>
      <c r="D52" s="381"/>
    </row>
    <row r="53" spans="1:4" ht="15.75">
      <c r="A53" s="312"/>
      <c r="B53" s="381" t="s">
        <v>10</v>
      </c>
      <c r="C53" s="381"/>
      <c r="D53" s="381"/>
    </row>
    <row r="54" spans="1:4" ht="15.75">
      <c r="A54" s="312"/>
      <c r="B54" s="381" t="s">
        <v>11</v>
      </c>
      <c r="C54" s="381"/>
      <c r="D54" s="381"/>
    </row>
    <row r="55" spans="1:4" ht="15.75">
      <c r="B55" s="381" t="s">
        <v>3900</v>
      </c>
    </row>
    <row r="125" spans="7:7">
      <c r="G125" s="238">
        <v>5253981.1399999997</v>
      </c>
    </row>
  </sheetData>
  <mergeCells count="1">
    <mergeCell ref="B3:D3"/>
  </mergeCells>
  <phoneticPr fontId="15" type="noConversion"/>
  <printOptions horizontalCentered="1"/>
  <pageMargins left="0.70866141732283472" right="0.70866141732283472" top="0.74803149606299213" bottom="0.74803149606299213" header="0.31496062992125984" footer="0.31496062992125984"/>
  <pageSetup paperSize="9" scale="81" orientation="portrait" r:id="rId1"/>
  <headerFooter>
    <oddFooter>&amp;C&amp;P</oddFooter>
  </headerFooter>
</worksheet>
</file>

<file path=xl/worksheets/sheet40.xml><?xml version="1.0" encoding="utf-8"?>
<worksheet xmlns="http://schemas.openxmlformats.org/spreadsheetml/2006/main" xmlns:r="http://schemas.openxmlformats.org/officeDocument/2006/relationships">
  <dimension ref="A1:F88"/>
  <sheetViews>
    <sheetView topLeftCell="A23" workbookViewId="0">
      <selection activeCell="B177" sqref="B177"/>
    </sheetView>
  </sheetViews>
  <sheetFormatPr defaultColWidth="19" defaultRowHeight="15"/>
  <cols>
    <col min="1" max="3" width="19" style="139" customWidth="1"/>
    <col min="4" max="16384" width="19" style="139"/>
  </cols>
  <sheetData>
    <row r="1" spans="1:5">
      <c r="A1" s="139" t="s">
        <v>33</v>
      </c>
      <c r="B1" s="140" t="s">
        <v>1556</v>
      </c>
      <c r="C1" s="139" t="s">
        <v>3530</v>
      </c>
      <c r="D1" s="141" t="s">
        <v>3485</v>
      </c>
      <c r="E1" s="141" t="s">
        <v>3486</v>
      </c>
    </row>
    <row r="2" spans="1:5">
      <c r="B2" s="140"/>
      <c r="D2" s="141"/>
      <c r="E2" s="141"/>
    </row>
    <row r="3" spans="1:5">
      <c r="A3" s="139" t="s">
        <v>21</v>
      </c>
      <c r="B3" s="140"/>
      <c r="D3" s="141"/>
      <c r="E3" s="141"/>
    </row>
    <row r="4" spans="1:5">
      <c r="A4" s="139" t="s">
        <v>547</v>
      </c>
      <c r="B4" s="140" t="s">
        <v>21</v>
      </c>
      <c r="C4" s="140" t="s">
        <v>548</v>
      </c>
      <c r="D4" s="139">
        <f>'TRAIL BALANCE'!S2</f>
        <v>-4533786.2</v>
      </c>
      <c r="E4" s="516">
        <f>'TRAIL BALANCE'!T2</f>
        <v>-4685019</v>
      </c>
    </row>
    <row r="5" spans="1:5">
      <c r="A5" s="139" t="s">
        <v>549</v>
      </c>
      <c r="B5" s="140" t="s">
        <v>21</v>
      </c>
      <c r="C5" s="140" t="s">
        <v>550</v>
      </c>
      <c r="D5" s="139">
        <f>'TRAIL BALANCE'!S3</f>
        <v>-388601.39</v>
      </c>
      <c r="E5" s="516">
        <f>'TRAIL BALANCE'!T3</f>
        <v>-396611</v>
      </c>
    </row>
    <row r="6" spans="1:5">
      <c r="A6" s="139" t="s">
        <v>551</v>
      </c>
      <c r="B6" s="140" t="s">
        <v>21</v>
      </c>
      <c r="C6" s="140" t="s">
        <v>552</v>
      </c>
      <c r="D6" s="139">
        <f>'TRAIL BALANCE'!S4</f>
        <v>-1783100.34</v>
      </c>
      <c r="E6" s="516">
        <f>'TRAIL BALANCE'!T4</f>
        <v>-1783100</v>
      </c>
    </row>
    <row r="7" spans="1:5">
      <c r="A7" s="139" t="s">
        <v>553</v>
      </c>
      <c r="B7" s="140" t="s">
        <v>21</v>
      </c>
      <c r="C7" s="140" t="s">
        <v>554</v>
      </c>
      <c r="D7" s="139">
        <f>'TRAIL BALANCE'!S5</f>
        <v>-2752108.07</v>
      </c>
      <c r="E7" s="516">
        <f>'TRAIL BALANCE'!T5</f>
        <v>-3032704</v>
      </c>
    </row>
    <row r="8" spans="1:5">
      <c r="A8" s="139" t="s">
        <v>3446</v>
      </c>
      <c r="B8" s="140" t="s">
        <v>21</v>
      </c>
      <c r="C8" s="140" t="s">
        <v>3447</v>
      </c>
      <c r="D8" s="139">
        <v>0</v>
      </c>
      <c r="E8" s="516">
        <f>'TRAIL BALANCE'!T6</f>
        <v>-473324</v>
      </c>
    </row>
    <row r="9" spans="1:5" ht="15.75" thickBot="1">
      <c r="A9" s="139" t="s">
        <v>3448</v>
      </c>
      <c r="B9" s="140" t="s">
        <v>21</v>
      </c>
      <c r="C9" s="140" t="s">
        <v>3449</v>
      </c>
      <c r="D9" s="139">
        <v>0</v>
      </c>
      <c r="E9" s="516">
        <f>'TRAIL BALANCE'!T7</f>
        <v>-306944</v>
      </c>
    </row>
    <row r="10" spans="1:5" ht="19.5" thickBot="1">
      <c r="A10" s="529" t="s">
        <v>3532</v>
      </c>
      <c r="B10" s="530"/>
      <c r="C10" s="530"/>
      <c r="D10" s="568">
        <f>SUM(D4:D9)</f>
        <v>-9457596</v>
      </c>
      <c r="E10" s="569">
        <v>0</v>
      </c>
    </row>
    <row r="11" spans="1:5">
      <c r="B11" s="140"/>
      <c r="C11" s="140"/>
      <c r="E11" s="516"/>
    </row>
    <row r="12" spans="1:5">
      <c r="A12" s="139" t="s">
        <v>558</v>
      </c>
      <c r="B12" s="140"/>
      <c r="C12" s="140" t="s">
        <v>3531</v>
      </c>
      <c r="D12" s="139">
        <f>'TRAIL BALANCE'!S10</f>
        <v>0</v>
      </c>
      <c r="E12" s="516">
        <f>'TRAIL BALANCE'!T10</f>
        <v>-1129232</v>
      </c>
    </row>
    <row r="13" spans="1:5">
      <c r="B13" s="140"/>
      <c r="C13" s="140"/>
      <c r="E13" s="516"/>
    </row>
    <row r="14" spans="1:5">
      <c r="A14" s="139" t="s">
        <v>3451</v>
      </c>
      <c r="B14" s="140" t="s">
        <v>431</v>
      </c>
      <c r="C14" s="140" t="s">
        <v>560</v>
      </c>
      <c r="D14" s="160">
        <f>'TRAIL BALANCE'!S11</f>
        <v>-13191.93</v>
      </c>
      <c r="E14" s="516">
        <f>'TRAIL BALANCE'!T11</f>
        <v>-13191</v>
      </c>
    </row>
    <row r="15" spans="1:5">
      <c r="A15" s="139" t="s">
        <v>3452</v>
      </c>
      <c r="B15" s="140" t="s">
        <v>431</v>
      </c>
      <c r="C15" s="140" t="s">
        <v>3453</v>
      </c>
      <c r="D15" s="160">
        <f>'TRAIL BALANCE'!S12</f>
        <v>-18127.2</v>
      </c>
      <c r="E15" s="516">
        <f>'TRAIL BALANCE'!T12</f>
        <v>-18127</v>
      </c>
    </row>
    <row r="16" spans="1:5">
      <c r="A16" s="139" t="s">
        <v>3454</v>
      </c>
      <c r="B16" s="140" t="s">
        <v>431</v>
      </c>
      <c r="C16" s="140" t="s">
        <v>3455</v>
      </c>
      <c r="D16" s="160">
        <f>'TRAIL BALANCE'!S15</f>
        <v>-2399.2199999999998</v>
      </c>
      <c r="E16" s="516">
        <f>'TRAIL BALANCE'!T15</f>
        <v>-2399</v>
      </c>
    </row>
    <row r="17" spans="1:5">
      <c r="A17" s="139" t="s">
        <v>2706</v>
      </c>
      <c r="B17" s="140" t="s">
        <v>431</v>
      </c>
      <c r="C17" s="140" t="s">
        <v>3541</v>
      </c>
      <c r="D17" s="160">
        <f>'TRAIL BALANCE'!S441</f>
        <v>-104622.56</v>
      </c>
      <c r="E17" s="516">
        <f>'TRAIL BALANCE'!T441</f>
        <v>-80000</v>
      </c>
    </row>
    <row r="18" spans="1:5">
      <c r="A18" s="139" t="s">
        <v>3482</v>
      </c>
      <c r="B18" s="140" t="s">
        <v>431</v>
      </c>
      <c r="C18" s="140" t="s">
        <v>3538</v>
      </c>
      <c r="D18" s="139">
        <f>'TRAIL BALANCE'!S765</f>
        <v>-14819.44</v>
      </c>
      <c r="E18" s="516"/>
    </row>
    <row r="19" spans="1:5">
      <c r="A19" s="139" t="s">
        <v>172</v>
      </c>
      <c r="B19" s="140" t="s">
        <v>431</v>
      </c>
      <c r="C19" s="140" t="s">
        <v>3540</v>
      </c>
      <c r="D19" s="160">
        <f>'TRAIL BALANCE'!S217</f>
        <v>-7621.47</v>
      </c>
      <c r="E19" s="516">
        <f>'TRAIL BALANCE'!T217</f>
        <v>-5675</v>
      </c>
    </row>
    <row r="20" spans="1:5">
      <c r="A20" s="139" t="s">
        <v>2697</v>
      </c>
      <c r="B20" s="140" t="s">
        <v>25</v>
      </c>
      <c r="C20" s="140" t="s">
        <v>3542</v>
      </c>
      <c r="D20" s="160">
        <f>'TRAIL BALANCE'!S274</f>
        <v>-21038.45</v>
      </c>
      <c r="E20" s="516">
        <f>'TRAIL BALANCE'!T274</f>
        <v>-15000</v>
      </c>
    </row>
    <row r="21" spans="1:5">
      <c r="A21" s="139" t="s">
        <v>2711</v>
      </c>
      <c r="B21" s="140" t="s">
        <v>25</v>
      </c>
      <c r="C21" s="140" t="s">
        <v>2710</v>
      </c>
      <c r="D21" s="160">
        <f>'TRAIL BALANCE'!S544</f>
        <v>-71070.2</v>
      </c>
      <c r="E21" s="516">
        <f>'TRAIL BALANCE'!T544</f>
        <v>-76752</v>
      </c>
    </row>
    <row r="22" spans="1:5" ht="18.75">
      <c r="B22" s="140"/>
      <c r="C22" s="140"/>
      <c r="D22" s="570">
        <f>SUM(D14:D21)</f>
        <v>-252890.47000000003</v>
      </c>
      <c r="E22" s="516"/>
    </row>
    <row r="23" spans="1:5">
      <c r="B23" s="140"/>
      <c r="C23" s="140"/>
      <c r="E23" s="516"/>
    </row>
    <row r="24" spans="1:5">
      <c r="B24" s="140"/>
      <c r="C24" s="140"/>
      <c r="E24" s="516"/>
    </row>
    <row r="25" spans="1:5">
      <c r="A25" s="139" t="s">
        <v>564</v>
      </c>
      <c r="B25" s="140" t="s">
        <v>22</v>
      </c>
      <c r="C25" s="140" t="s">
        <v>565</v>
      </c>
      <c r="D25" s="139">
        <f>'TRAIL BALANCE'!S17</f>
        <v>0</v>
      </c>
      <c r="E25" s="516">
        <f>'TRAIL BALANCE'!T17</f>
        <v>-1500000</v>
      </c>
    </row>
    <row r="26" spans="1:5">
      <c r="B26" s="140"/>
      <c r="C26" s="140"/>
      <c r="E26" s="516"/>
    </row>
    <row r="27" spans="1:5">
      <c r="B27" s="140"/>
      <c r="C27" s="140"/>
      <c r="E27" s="516"/>
    </row>
    <row r="28" spans="1:5">
      <c r="A28" s="139" t="s">
        <v>3456</v>
      </c>
      <c r="B28" s="140" t="s">
        <v>3457</v>
      </c>
      <c r="C28" s="140" t="s">
        <v>568</v>
      </c>
      <c r="D28" s="160">
        <f>'TRAIL BALANCE'!S19</f>
        <v>-350000</v>
      </c>
      <c r="E28" s="516">
        <f>'TRAIL BALANCE'!T19</f>
        <v>-350000</v>
      </c>
    </row>
    <row r="29" spans="1:5">
      <c r="A29" s="139" t="s">
        <v>2698</v>
      </c>
      <c r="B29" s="140" t="s">
        <v>27</v>
      </c>
      <c r="C29" s="140" t="s">
        <v>27</v>
      </c>
      <c r="D29" s="160">
        <f>'TRAIL BALANCE'!S275</f>
        <v>-2750000</v>
      </c>
      <c r="E29" s="516">
        <f>'TRAIL BALANCE'!T275</f>
        <v>-2750000</v>
      </c>
    </row>
    <row r="30" spans="1:5">
      <c r="A30" s="139" t="s">
        <v>3467</v>
      </c>
      <c r="B30" s="140" t="s">
        <v>26</v>
      </c>
      <c r="C30" s="140" t="s">
        <v>224</v>
      </c>
      <c r="D30" s="160">
        <f>'TRAIL BALANCE'!S276</f>
        <v>-19589329.829999998</v>
      </c>
      <c r="E30" s="516">
        <f>'TRAIL BALANCE'!T276</f>
        <v>-19589000</v>
      </c>
    </row>
    <row r="31" spans="1:5">
      <c r="A31" s="139" t="s">
        <v>2703</v>
      </c>
      <c r="B31" s="140" t="s">
        <v>28</v>
      </c>
      <c r="C31" s="140" t="s">
        <v>28</v>
      </c>
      <c r="D31" s="160">
        <f>'TRAIL BALANCE'!S344</f>
        <v>-735000</v>
      </c>
      <c r="E31" s="516">
        <f>'TRAIL BALANCE'!T344</f>
        <v>-735000</v>
      </c>
    </row>
    <row r="32" spans="1:5" ht="18.75">
      <c r="B32" s="140"/>
      <c r="C32" s="140"/>
      <c r="D32" s="570">
        <f>SUM(D28:D31)</f>
        <v>-23424329.829999998</v>
      </c>
      <c r="E32" s="516"/>
    </row>
    <row r="33" spans="1:6">
      <c r="B33" s="140"/>
      <c r="C33" s="140"/>
      <c r="E33" s="516"/>
    </row>
    <row r="34" spans="1:6">
      <c r="A34" s="139" t="s">
        <v>1367</v>
      </c>
      <c r="B34" s="140" t="s">
        <v>1730</v>
      </c>
      <c r="C34" s="140" t="s">
        <v>2707</v>
      </c>
      <c r="D34" s="139">
        <v>0</v>
      </c>
      <c r="E34" s="516">
        <f>'TRAIL BALANCE'!T442</f>
        <v>-2500000</v>
      </c>
    </row>
    <row r="35" spans="1:6">
      <c r="A35" s="139" t="s">
        <v>3475</v>
      </c>
      <c r="B35" s="140" t="s">
        <v>3476</v>
      </c>
      <c r="C35" s="140" t="s">
        <v>3539</v>
      </c>
      <c r="D35" s="160">
        <f>'TRAIL BALANCE'!S545</f>
        <v>-7902795.96</v>
      </c>
      <c r="E35" s="516">
        <f>'TRAIL BALANCE'!T545</f>
        <v>-8722000</v>
      </c>
    </row>
    <row r="36" spans="1:6">
      <c r="B36" s="140"/>
      <c r="C36" s="140"/>
      <c r="D36" s="139">
        <f>SUM(D34:D35)</f>
        <v>-7902795.96</v>
      </c>
      <c r="E36" s="516">
        <f>SUM(E34:E35)</f>
        <v>-11222000</v>
      </c>
    </row>
    <row r="37" spans="1:6">
      <c r="B37" s="140"/>
      <c r="C37" s="140"/>
      <c r="E37" s="516"/>
    </row>
    <row r="38" spans="1:6">
      <c r="A38" s="139" t="s">
        <v>2713</v>
      </c>
      <c r="B38" s="140"/>
      <c r="C38" s="140"/>
      <c r="D38" s="139">
        <f>'TRAIL BALANCE'!S629</f>
        <v>0</v>
      </c>
      <c r="E38" s="516">
        <f>'TRAIL BALANCE'!T629</f>
        <v>-943000</v>
      </c>
    </row>
    <row r="39" spans="1:6">
      <c r="B39" s="140"/>
      <c r="C39" s="140"/>
      <c r="E39" s="516"/>
    </row>
    <row r="40" spans="1:6">
      <c r="B40" s="140"/>
      <c r="C40" s="140"/>
      <c r="E40" s="516"/>
    </row>
    <row r="41" spans="1:6">
      <c r="A41" s="139" t="s">
        <v>3529</v>
      </c>
      <c r="B41" s="140" t="s">
        <v>1730</v>
      </c>
      <c r="C41" s="140" t="s">
        <v>3533</v>
      </c>
      <c r="D41" s="160">
        <f>'TRAIL BALANCE'!S546</f>
        <v>-50276</v>
      </c>
      <c r="E41" s="516">
        <v>0</v>
      </c>
    </row>
    <row r="42" spans="1:6" ht="18.75">
      <c r="D42" s="570">
        <f>SUM(D41)</f>
        <v>-50276</v>
      </c>
    </row>
    <row r="44" spans="1:6">
      <c r="F44" s="168"/>
    </row>
    <row r="46" spans="1:6">
      <c r="B46" s="140"/>
      <c r="C46" s="140"/>
      <c r="E46" s="516"/>
    </row>
    <row r="47" spans="1:6">
      <c r="A47" s="139" t="s">
        <v>220</v>
      </c>
      <c r="B47" s="140" t="s">
        <v>23</v>
      </c>
      <c r="C47" s="140" t="s">
        <v>221</v>
      </c>
      <c r="D47" s="160">
        <f>'TRAIL BALANCE'!S272</f>
        <v>-67227.759999999995</v>
      </c>
      <c r="E47" s="516">
        <f>'TRAIL BALANCE'!T272</f>
        <v>-210800</v>
      </c>
    </row>
    <row r="48" spans="1:6" ht="18.75">
      <c r="B48" s="140"/>
      <c r="C48" s="140"/>
      <c r="D48" s="570">
        <f>SUM(D47)</f>
        <v>-67227.759999999995</v>
      </c>
      <c r="E48" s="516"/>
    </row>
    <row r="49" spans="1:5">
      <c r="B49" s="140"/>
      <c r="C49" s="140"/>
      <c r="E49" s="516"/>
    </row>
    <row r="50" spans="1:5">
      <c r="A50" s="139" t="s">
        <v>222</v>
      </c>
      <c r="B50" s="140" t="s">
        <v>24</v>
      </c>
      <c r="C50" s="140" t="s">
        <v>221</v>
      </c>
      <c r="D50" s="160">
        <f>'TRAIL BALANCE'!S273</f>
        <v>-799677.8</v>
      </c>
      <c r="E50" s="516">
        <f>'TRAIL BALANCE'!T273</f>
        <v>-1250000</v>
      </c>
    </row>
    <row r="51" spans="1:5" ht="18.75">
      <c r="B51" s="140"/>
      <c r="C51" s="140"/>
      <c r="D51" s="570">
        <f>SUM(D50)</f>
        <v>-799677.8</v>
      </c>
      <c r="E51" s="516"/>
    </row>
    <row r="52" spans="1:5">
      <c r="B52" s="140"/>
      <c r="C52" s="140"/>
      <c r="E52" s="516"/>
    </row>
    <row r="53" spans="1:5">
      <c r="A53" s="139" t="s">
        <v>2568</v>
      </c>
      <c r="B53" s="140" t="s">
        <v>431</v>
      </c>
      <c r="C53" s="140" t="s">
        <v>3544</v>
      </c>
      <c r="D53" s="160">
        <f>'TRAIL BALANCE'!S540</f>
        <v>-792062.21</v>
      </c>
      <c r="E53" s="516">
        <f>'TRAIL BALANCE'!T540</f>
        <v>-10031397</v>
      </c>
    </row>
    <row r="54" spans="1:5" ht="18.75">
      <c r="B54" s="140"/>
      <c r="C54" s="140"/>
      <c r="D54" s="570">
        <f>SUM(D53)</f>
        <v>-792062.21</v>
      </c>
      <c r="E54" s="516"/>
    </row>
    <row r="56" spans="1:5">
      <c r="A56" s="139" t="s">
        <v>1390</v>
      </c>
      <c r="B56" s="140" t="s">
        <v>29</v>
      </c>
      <c r="C56" s="140" t="s">
        <v>2328</v>
      </c>
      <c r="D56" s="160">
        <f>'TRAIL BALANCE'!S467</f>
        <v>-5016917.6399999997</v>
      </c>
      <c r="E56" s="516">
        <f>'TRAIL BALANCE'!T467</f>
        <v>-3975169</v>
      </c>
    </row>
    <row r="57" spans="1:5" ht="18.75">
      <c r="D57" s="570">
        <f>SUM(D56)</f>
        <v>-5016917.6399999997</v>
      </c>
    </row>
    <row r="58" spans="1:5">
      <c r="B58" s="140"/>
      <c r="C58" s="140"/>
      <c r="E58" s="516"/>
    </row>
    <row r="59" spans="1:5">
      <c r="A59" s="139" t="s">
        <v>1342</v>
      </c>
      <c r="B59" s="140" t="s">
        <v>1179</v>
      </c>
      <c r="C59" s="140" t="s">
        <v>1147</v>
      </c>
      <c r="D59" s="139">
        <f>'TRAIL BALANCE'!S411</f>
        <v>0</v>
      </c>
      <c r="E59" s="516">
        <f>'TRAIL BALANCE'!T411</f>
        <v>-17786</v>
      </c>
    </row>
    <row r="60" spans="1:5">
      <c r="A60" s="139" t="s">
        <v>3474</v>
      </c>
      <c r="B60" s="140" t="s">
        <v>1179</v>
      </c>
      <c r="C60" s="140" t="s">
        <v>3547</v>
      </c>
      <c r="D60" s="160">
        <f>'TRAIL BALANCE'!S542</f>
        <v>-1219.28</v>
      </c>
      <c r="E60" s="516">
        <v>0</v>
      </c>
    </row>
    <row r="61" spans="1:5">
      <c r="A61" s="139" t="s">
        <v>2569</v>
      </c>
      <c r="B61" s="140" t="s">
        <v>1179</v>
      </c>
      <c r="C61" s="140" t="s">
        <v>3547</v>
      </c>
      <c r="D61" s="160">
        <f>'TRAIL BALANCE'!S543</f>
        <v>-225223.43</v>
      </c>
      <c r="E61" s="516">
        <f>'TRAIL BALANCE'!T543</f>
        <v>-135074</v>
      </c>
    </row>
    <row r="62" spans="1:5">
      <c r="A62" s="139" t="s">
        <v>3479</v>
      </c>
      <c r="B62" s="140" t="s">
        <v>1179</v>
      </c>
      <c r="C62" s="140" t="s">
        <v>1147</v>
      </c>
      <c r="D62" s="139">
        <f>'TRAIL BALANCE'!S589</f>
        <v>0</v>
      </c>
      <c r="E62" s="516">
        <f>'TRAIL BALANCE'!T589</f>
        <v>-5000</v>
      </c>
    </row>
    <row r="63" spans="1:5" ht="18.75">
      <c r="D63" s="570">
        <f>SUM(D59:D62)</f>
        <v>-226442.71</v>
      </c>
    </row>
    <row r="65" spans="1:5">
      <c r="B65" s="140"/>
      <c r="C65" s="140"/>
      <c r="E65" s="516"/>
    </row>
    <row r="66" spans="1:5">
      <c r="B66" s="140"/>
      <c r="C66" s="140"/>
      <c r="E66" s="516"/>
    </row>
    <row r="67" spans="1:5">
      <c r="A67" s="139" t="s">
        <v>318</v>
      </c>
      <c r="B67" s="140" t="s">
        <v>1244</v>
      </c>
      <c r="C67" s="140" t="s">
        <v>1368</v>
      </c>
      <c r="D67" s="160">
        <f>'TRAIL BALANCE'!S621</f>
        <v>-26885636.309999999</v>
      </c>
      <c r="E67" s="516">
        <f>'TRAIL BALANCE'!T621</f>
        <v>-17591582</v>
      </c>
    </row>
    <row r="68" spans="1:5">
      <c r="A68" s="139" t="s">
        <v>319</v>
      </c>
      <c r="B68" s="140" t="s">
        <v>1244</v>
      </c>
      <c r="C68" s="140" t="s">
        <v>1368</v>
      </c>
      <c r="D68" s="160">
        <f>'TRAIL BALANCE'!S622</f>
        <v>-248321.23</v>
      </c>
      <c r="E68" s="516">
        <f>'TRAIL BALANCE'!T622</f>
        <v>-254828</v>
      </c>
    </row>
    <row r="69" spans="1:5">
      <c r="A69" s="139" t="s">
        <v>320</v>
      </c>
      <c r="B69" s="140" t="s">
        <v>1244</v>
      </c>
      <c r="C69" s="140" t="s">
        <v>1368</v>
      </c>
      <c r="D69" s="160">
        <f>'TRAIL BALANCE'!S623</f>
        <v>-175884.61</v>
      </c>
      <c r="E69" s="516">
        <f>'TRAIL BALANCE'!T623</f>
        <v>-89759</v>
      </c>
    </row>
    <row r="70" spans="1:5">
      <c r="A70" s="139" t="s">
        <v>321</v>
      </c>
      <c r="B70" s="140" t="s">
        <v>1244</v>
      </c>
      <c r="C70" s="140" t="s">
        <v>1368</v>
      </c>
      <c r="D70" s="160">
        <f>'TRAIL BALANCE'!S624</f>
        <v>-10749142.550000001</v>
      </c>
      <c r="E70" s="516">
        <f>'TRAIL BALANCE'!T624</f>
        <v>-9878975</v>
      </c>
    </row>
    <row r="71" spans="1:5">
      <c r="A71" s="139" t="s">
        <v>3480</v>
      </c>
      <c r="B71" s="140" t="s">
        <v>1244</v>
      </c>
      <c r="C71" s="140" t="s">
        <v>3536</v>
      </c>
      <c r="D71" s="160">
        <f>'TRAIL BALANCE'!S627</f>
        <v>-9917.69</v>
      </c>
      <c r="E71" s="516">
        <f>'TRAIL BALANCE'!T627</f>
        <v>0</v>
      </c>
    </row>
    <row r="72" spans="1:5">
      <c r="A72" s="139" t="s">
        <v>2714</v>
      </c>
      <c r="B72" s="140" t="s">
        <v>1244</v>
      </c>
      <c r="C72" s="140" t="s">
        <v>3537</v>
      </c>
      <c r="D72" s="160">
        <f>'TRAIL BALANCE'!S625</f>
        <v>-1492029.19</v>
      </c>
      <c r="E72" s="516">
        <f>'TRAIL BALANCE'!T625</f>
        <v>0</v>
      </c>
    </row>
    <row r="73" spans="1:5">
      <c r="A73" s="139" t="s">
        <v>2715</v>
      </c>
      <c r="B73" s="140" t="s">
        <v>1244</v>
      </c>
      <c r="C73" s="140" t="s">
        <v>3537</v>
      </c>
      <c r="D73" s="160">
        <f>'TRAIL BALANCE'!S626</f>
        <v>-1433810.11</v>
      </c>
      <c r="E73" s="516">
        <f>'TRAIL BALANCE'!T626</f>
        <v>0</v>
      </c>
    </row>
    <row r="74" spans="1:5" ht="18.75">
      <c r="B74" s="140"/>
      <c r="C74" s="140"/>
      <c r="D74" s="570">
        <f>SUM(D67:D73)</f>
        <v>-40994741.689999998</v>
      </c>
      <c r="E74" s="516"/>
    </row>
    <row r="76" spans="1:5">
      <c r="A76" s="139" t="s">
        <v>3534</v>
      </c>
      <c r="B76" s="140" t="s">
        <v>1244</v>
      </c>
      <c r="C76" s="140" t="s">
        <v>3535</v>
      </c>
      <c r="D76" s="160">
        <f>'TRAIL BALANCE'!S628</f>
        <v>-754842.32000000007</v>
      </c>
      <c r="E76" s="516">
        <f>'TRAIL BALANCE'!T628</f>
        <v>0</v>
      </c>
    </row>
    <row r="77" spans="1:5" ht="18.75">
      <c r="B77" s="140"/>
      <c r="C77" s="140"/>
      <c r="D77" s="570">
        <f>SUM(D76)</f>
        <v>-754842.32000000007</v>
      </c>
      <c r="E77" s="516"/>
    </row>
    <row r="79" spans="1:5">
      <c r="A79" s="139" t="s">
        <v>1435</v>
      </c>
      <c r="B79" s="140" t="s">
        <v>30</v>
      </c>
      <c r="C79" s="140" t="s">
        <v>1436</v>
      </c>
      <c r="D79" s="160">
        <f>'TRAIL BALANCE'!S766</f>
        <v>-2343576.65</v>
      </c>
      <c r="E79" s="516">
        <f>'TRAIL BALANCE'!T766</f>
        <v>-2000000</v>
      </c>
    </row>
    <row r="80" spans="1:5" ht="15.75">
      <c r="B80" s="140"/>
      <c r="C80" s="140"/>
      <c r="D80" s="454">
        <f>SUM(D79)</f>
        <v>-2343576.65</v>
      </c>
      <c r="E80" s="516"/>
    </row>
    <row r="81" spans="1:5">
      <c r="B81" s="140"/>
      <c r="C81" s="140"/>
      <c r="E81" s="516"/>
    </row>
    <row r="82" spans="1:5">
      <c r="A82" s="139" t="s">
        <v>1437</v>
      </c>
      <c r="B82" s="140" t="s">
        <v>31</v>
      </c>
      <c r="C82" s="140" t="s">
        <v>1235</v>
      </c>
      <c r="D82" s="160">
        <f>'TRAIL BALANCE'!S767</f>
        <v>-444496</v>
      </c>
      <c r="E82" s="516">
        <f>'TRAIL BALANCE'!T767</f>
        <v>-3000000</v>
      </c>
    </row>
    <row r="83" spans="1:5" ht="18.75">
      <c r="B83" s="140"/>
      <c r="C83" s="140"/>
      <c r="D83" s="570">
        <f>SUM(D82)</f>
        <v>-444496</v>
      </c>
      <c r="E83" s="516"/>
    </row>
    <row r="84" spans="1:5">
      <c r="B84" s="140"/>
      <c r="C84" s="140"/>
      <c r="E84" s="516"/>
    </row>
    <row r="85" spans="1:5">
      <c r="B85" s="140"/>
      <c r="C85" s="140"/>
      <c r="E85" s="516"/>
    </row>
    <row r="86" spans="1:5">
      <c r="A86" s="139" t="s">
        <v>3595</v>
      </c>
      <c r="B86" s="140"/>
      <c r="C86" s="140"/>
      <c r="D86" s="139">
        <v>-783000</v>
      </c>
      <c r="E86" s="516"/>
    </row>
    <row r="87" spans="1:5">
      <c r="B87" s="140"/>
      <c r="C87" s="140"/>
      <c r="E87" s="516"/>
    </row>
    <row r="88" spans="1:5">
      <c r="D88" s="139">
        <f>SUM(D4:D87)/2</f>
        <v>-92919373.039999992</v>
      </c>
      <c r="E88" s="139">
        <f>SUM(E4:E87)</f>
        <v>-108769448</v>
      </c>
    </row>
  </sheetData>
  <pageMargins left="0.7" right="0.7" top="0.75" bottom="0.75" header="0.3" footer="0.3"/>
</worksheet>
</file>

<file path=xl/worksheets/sheet41.xml><?xml version="1.0" encoding="utf-8"?>
<worksheet xmlns="http://schemas.openxmlformats.org/spreadsheetml/2006/main" xmlns:r="http://schemas.openxmlformats.org/officeDocument/2006/relationships">
  <sheetPr>
    <tabColor rgb="FF00B050"/>
  </sheetPr>
  <dimension ref="A1:K162"/>
  <sheetViews>
    <sheetView view="pageBreakPreview" topLeftCell="A143" zoomScaleSheetLayoutView="100" workbookViewId="0">
      <selection activeCell="B177" sqref="B177"/>
    </sheetView>
  </sheetViews>
  <sheetFormatPr defaultRowHeight="15"/>
  <cols>
    <col min="1" max="1" width="9.140625" style="238" customWidth="1"/>
    <col min="2" max="2" width="12.140625" style="238" customWidth="1"/>
    <col min="3" max="3" width="37.5703125" style="238" customWidth="1"/>
    <col min="4" max="4" width="10.28515625" style="238" customWidth="1"/>
    <col min="5" max="5" width="57.42578125" style="238" customWidth="1"/>
    <col min="6" max="6" width="44.7109375" style="238" customWidth="1"/>
    <col min="7" max="16384" width="9.140625" style="238"/>
  </cols>
  <sheetData>
    <row r="1" spans="1:11">
      <c r="A1" s="1919" t="s">
        <v>2601</v>
      </c>
      <c r="B1" s="1919"/>
      <c r="C1" s="1919"/>
      <c r="D1" s="1919"/>
      <c r="E1" s="1919"/>
      <c r="F1" s="1919"/>
    </row>
    <row r="2" spans="1:11">
      <c r="A2" s="1919" t="s">
        <v>2602</v>
      </c>
      <c r="B2" s="1919"/>
      <c r="C2" s="1919"/>
      <c r="D2" s="1919"/>
      <c r="E2" s="1919"/>
      <c r="F2" s="1919"/>
    </row>
    <row r="3" spans="1:11">
      <c r="A3" s="178"/>
      <c r="B3" s="178"/>
      <c r="C3" s="178"/>
      <c r="D3" s="178"/>
      <c r="E3" s="178"/>
      <c r="F3" s="178"/>
    </row>
    <row r="4" spans="1:11">
      <c r="A4" s="1919" t="s">
        <v>2486</v>
      </c>
      <c r="B4" s="1919"/>
      <c r="C4" s="1919"/>
      <c r="D4" s="1919"/>
      <c r="E4" s="1919"/>
      <c r="F4" s="1919"/>
    </row>
    <row r="5" spans="1:11">
      <c r="A5" s="1967" t="s">
        <v>3498</v>
      </c>
      <c r="B5" s="1967"/>
      <c r="C5" s="1967"/>
      <c r="D5" s="1967"/>
      <c r="E5" s="1967"/>
      <c r="F5" s="1967"/>
      <c r="H5" s="209" t="s">
        <v>3324</v>
      </c>
    </row>
    <row r="7" spans="1:11" ht="15.75" customHeight="1">
      <c r="A7" s="286">
        <v>48</v>
      </c>
      <c r="B7" s="1966" t="s">
        <v>2599</v>
      </c>
      <c r="C7" s="1966"/>
      <c r="D7" s="1966"/>
      <c r="E7" s="1966"/>
      <c r="F7" s="1966"/>
      <c r="G7" s="287"/>
      <c r="H7" s="287"/>
      <c r="I7" s="287"/>
      <c r="J7" s="287"/>
      <c r="K7" s="287"/>
    </row>
    <row r="8" spans="1:11">
      <c r="A8" s="235"/>
      <c r="B8" s="235"/>
    </row>
    <row r="9" spans="1:11" ht="84.75" customHeight="1">
      <c r="A9" s="1965" t="s">
        <v>2600</v>
      </c>
      <c r="B9" s="1965"/>
      <c r="C9" s="1965"/>
      <c r="D9" s="1965"/>
      <c r="E9" s="1965"/>
      <c r="F9" s="1965"/>
      <c r="G9" s="288"/>
      <c r="H9" s="288"/>
      <c r="I9" s="288"/>
      <c r="J9" s="288"/>
      <c r="K9" s="288"/>
    </row>
    <row r="10" spans="1:11" ht="15.75" thickBot="1">
      <c r="A10" s="235"/>
      <c r="B10" s="235"/>
      <c r="C10" s="235"/>
      <c r="D10" s="235"/>
      <c r="E10" s="235"/>
      <c r="F10" s="235"/>
    </row>
    <row r="11" spans="1:11" ht="34.5" thickBot="1">
      <c r="A11" s="289" t="s">
        <v>2603</v>
      </c>
      <c r="B11" s="290" t="s">
        <v>2604</v>
      </c>
      <c r="C11" s="290" t="s">
        <v>2605</v>
      </c>
      <c r="D11" s="289" t="s">
        <v>2606</v>
      </c>
      <c r="E11" s="289" t="s">
        <v>3325</v>
      </c>
      <c r="F11" s="289" t="s">
        <v>1269</v>
      </c>
    </row>
    <row r="12" spans="1:11" ht="67.5">
      <c r="A12" s="1959" t="s">
        <v>1270</v>
      </c>
      <c r="B12" s="1959" t="s">
        <v>1271</v>
      </c>
      <c r="C12" s="291" t="s">
        <v>1272</v>
      </c>
      <c r="D12" s="1959" t="s">
        <v>1273</v>
      </c>
      <c r="E12" s="292" t="s">
        <v>3326</v>
      </c>
      <c r="F12" s="291"/>
    </row>
    <row r="13" spans="1:11">
      <c r="A13" s="1960"/>
      <c r="B13" s="1960"/>
      <c r="C13" s="293"/>
      <c r="D13" s="1960"/>
      <c r="E13" s="293" t="s">
        <v>3327</v>
      </c>
      <c r="F13" s="293"/>
    </row>
    <row r="14" spans="1:11" ht="45">
      <c r="A14" s="1960"/>
      <c r="B14" s="1960"/>
      <c r="C14" s="293" t="s">
        <v>1274</v>
      </c>
      <c r="D14" s="1960"/>
      <c r="E14" s="293" t="s">
        <v>1275</v>
      </c>
      <c r="F14" s="293" t="s">
        <v>2607</v>
      </c>
      <c r="G14" s="360"/>
    </row>
    <row r="15" spans="1:11" ht="67.5">
      <c r="A15" s="1960"/>
      <c r="B15" s="1960"/>
      <c r="C15" s="293" t="s">
        <v>2608</v>
      </c>
      <c r="D15" s="1960"/>
      <c r="E15" s="293" t="s">
        <v>2609</v>
      </c>
      <c r="F15" s="293" t="s">
        <v>2610</v>
      </c>
      <c r="G15" s="360"/>
    </row>
    <row r="16" spans="1:11">
      <c r="A16" s="1960"/>
      <c r="B16" s="1960"/>
      <c r="C16" s="293" t="s">
        <v>2611</v>
      </c>
      <c r="D16" s="1960"/>
      <c r="E16" s="293" t="s">
        <v>442</v>
      </c>
      <c r="F16" s="293" t="s">
        <v>443</v>
      </c>
      <c r="G16" s="360"/>
    </row>
    <row r="17" spans="1:7">
      <c r="A17" s="1960"/>
      <c r="B17" s="1960"/>
      <c r="C17" s="293" t="s">
        <v>2613</v>
      </c>
      <c r="D17" s="1960"/>
      <c r="E17" s="293" t="s">
        <v>2614</v>
      </c>
      <c r="F17" s="293" t="s">
        <v>2612</v>
      </c>
      <c r="G17" s="360"/>
    </row>
    <row r="18" spans="1:7">
      <c r="A18" s="1960"/>
      <c r="B18" s="1960"/>
      <c r="C18" s="293" t="s">
        <v>2615</v>
      </c>
      <c r="D18" s="1960"/>
      <c r="E18" s="293" t="s">
        <v>2616</v>
      </c>
      <c r="F18" s="293" t="s">
        <v>2612</v>
      </c>
      <c r="G18" s="360"/>
    </row>
    <row r="19" spans="1:7">
      <c r="A19" s="1960"/>
      <c r="B19" s="1960"/>
      <c r="C19" s="293" t="s">
        <v>2617</v>
      </c>
      <c r="D19" s="1960"/>
      <c r="E19" s="293"/>
      <c r="F19" s="293"/>
      <c r="G19" s="360"/>
    </row>
    <row r="20" spans="1:7" ht="22.5">
      <c r="A20" s="1960"/>
      <c r="B20" s="1960"/>
      <c r="C20" s="293" t="s">
        <v>2618</v>
      </c>
      <c r="D20" s="1960"/>
      <c r="E20" s="293"/>
      <c r="F20" s="293"/>
      <c r="G20" s="360"/>
    </row>
    <row r="21" spans="1:7">
      <c r="A21" s="1960"/>
      <c r="B21" s="1960"/>
      <c r="C21" s="293" t="s">
        <v>2619</v>
      </c>
      <c r="D21" s="1960"/>
      <c r="E21" s="293" t="s">
        <v>2620</v>
      </c>
      <c r="F21" s="293" t="s">
        <v>2612</v>
      </c>
      <c r="G21" s="360"/>
    </row>
    <row r="22" spans="1:7">
      <c r="A22" s="1960"/>
      <c r="B22" s="1960"/>
      <c r="C22" s="293" t="s">
        <v>2621</v>
      </c>
      <c r="D22" s="1960"/>
      <c r="E22" s="293"/>
      <c r="F22" s="294"/>
      <c r="G22" s="360"/>
    </row>
    <row r="23" spans="1:7" ht="33.75">
      <c r="A23" s="1960"/>
      <c r="B23" s="1960"/>
      <c r="C23" s="293" t="s">
        <v>1747</v>
      </c>
      <c r="D23" s="1960"/>
      <c r="E23" s="293" t="s">
        <v>1748</v>
      </c>
      <c r="F23" s="293" t="s">
        <v>1749</v>
      </c>
      <c r="G23" s="360"/>
    </row>
    <row r="24" spans="1:7">
      <c r="A24" s="1960"/>
      <c r="B24" s="1960"/>
      <c r="C24" s="293" t="s">
        <v>1750</v>
      </c>
      <c r="D24" s="1960"/>
      <c r="E24" s="295"/>
      <c r="F24" s="294"/>
      <c r="G24" s="360"/>
    </row>
    <row r="25" spans="1:7">
      <c r="A25" s="1960"/>
      <c r="B25" s="1960"/>
      <c r="C25" s="293" t="s">
        <v>1751</v>
      </c>
      <c r="D25" s="1960"/>
      <c r="E25" s="295"/>
      <c r="F25" s="293"/>
      <c r="G25" s="360"/>
    </row>
    <row r="26" spans="1:7">
      <c r="A26" s="1960"/>
      <c r="B26" s="1960"/>
      <c r="C26" s="293" t="s">
        <v>1752</v>
      </c>
      <c r="D26" s="1960"/>
      <c r="E26" s="295"/>
      <c r="F26" s="293"/>
      <c r="G26" s="360"/>
    </row>
    <row r="27" spans="1:7">
      <c r="A27" s="1960"/>
      <c r="B27" s="1960"/>
      <c r="C27" s="293" t="s">
        <v>1753</v>
      </c>
      <c r="D27" s="1960"/>
      <c r="E27" s="295"/>
      <c r="F27" s="294"/>
      <c r="G27" s="360"/>
    </row>
    <row r="28" spans="1:7" ht="22.5">
      <c r="A28" s="1960"/>
      <c r="B28" s="1960"/>
      <c r="C28" s="293" t="s">
        <v>1754</v>
      </c>
      <c r="D28" s="1960"/>
      <c r="E28" s="295"/>
      <c r="F28" s="295"/>
    </row>
    <row r="29" spans="1:7">
      <c r="A29" s="1960"/>
      <c r="B29" s="1960"/>
      <c r="C29" s="293" t="s">
        <v>1755</v>
      </c>
      <c r="D29" s="1960"/>
      <c r="E29" s="295"/>
      <c r="F29" s="295"/>
    </row>
    <row r="30" spans="1:7">
      <c r="A30" s="1960"/>
      <c r="B30" s="1960"/>
      <c r="C30" s="293" t="s">
        <v>1756</v>
      </c>
      <c r="D30" s="1960"/>
      <c r="E30" s="295"/>
      <c r="F30" s="295"/>
    </row>
    <row r="31" spans="1:7">
      <c r="A31" s="1960"/>
      <c r="B31" s="1960"/>
      <c r="C31" s="293" t="s">
        <v>1757</v>
      </c>
      <c r="D31" s="1960"/>
      <c r="E31" s="295"/>
      <c r="F31" s="295"/>
    </row>
    <row r="32" spans="1:7" ht="15.75" thickBot="1">
      <c r="A32" s="1960"/>
      <c r="B32" s="1960"/>
      <c r="C32" s="296"/>
      <c r="D32" s="1961"/>
      <c r="E32" s="297"/>
      <c r="F32" s="297"/>
    </row>
    <row r="33" spans="1:6" ht="34.5" thickBot="1">
      <c r="A33" s="1961"/>
      <c r="B33" s="1961"/>
      <c r="C33" s="298" t="s">
        <v>1758</v>
      </c>
      <c r="D33" s="298" t="s">
        <v>1273</v>
      </c>
      <c r="E33" s="298" t="s">
        <v>1759</v>
      </c>
      <c r="F33" s="298" t="s">
        <v>1760</v>
      </c>
    </row>
    <row r="34" spans="1:6" ht="45">
      <c r="A34" s="1959" t="s">
        <v>1761</v>
      </c>
      <c r="B34" s="1959" t="s">
        <v>1762</v>
      </c>
      <c r="C34" s="1959" t="s">
        <v>1763</v>
      </c>
      <c r="D34" s="1959" t="s">
        <v>1273</v>
      </c>
      <c r="E34" s="291" t="s">
        <v>1764</v>
      </c>
      <c r="F34" s="1959" t="s">
        <v>1760</v>
      </c>
    </row>
    <row r="35" spans="1:6" ht="45.75" thickBot="1">
      <c r="A35" s="1961"/>
      <c r="B35" s="1961"/>
      <c r="C35" s="1961"/>
      <c r="D35" s="1961"/>
      <c r="E35" s="296" t="s">
        <v>1765</v>
      </c>
      <c r="F35" s="1961"/>
    </row>
    <row r="36" spans="1:6" ht="33.75">
      <c r="A36" s="1959" t="s">
        <v>1766</v>
      </c>
      <c r="B36" s="1959" t="s">
        <v>1767</v>
      </c>
      <c r="C36" s="1959" t="s">
        <v>1768</v>
      </c>
      <c r="D36" s="1959" t="s">
        <v>1273</v>
      </c>
      <c r="E36" s="291" t="s">
        <v>1769</v>
      </c>
      <c r="F36" s="291" t="s">
        <v>1770</v>
      </c>
    </row>
    <row r="37" spans="1:6" ht="15.75" thickBot="1">
      <c r="A37" s="1960"/>
      <c r="B37" s="1960"/>
      <c r="C37" s="1961"/>
      <c r="D37" s="1961"/>
      <c r="E37" s="297"/>
      <c r="F37" s="296"/>
    </row>
    <row r="38" spans="1:6" ht="33.75">
      <c r="A38" s="1960"/>
      <c r="B38" s="1960"/>
      <c r="C38" s="1959" t="s">
        <v>1771</v>
      </c>
      <c r="D38" s="1959" t="s">
        <v>1772</v>
      </c>
      <c r="E38" s="1962" t="s">
        <v>1773</v>
      </c>
      <c r="F38" s="291" t="s">
        <v>1774</v>
      </c>
    </row>
    <row r="39" spans="1:6" ht="15.75" thickBot="1">
      <c r="A39" s="1961"/>
      <c r="B39" s="1961"/>
      <c r="C39" s="1961"/>
      <c r="D39" s="1961"/>
      <c r="E39" s="1963"/>
      <c r="F39" s="296" t="s">
        <v>1775</v>
      </c>
    </row>
    <row r="40" spans="1:6" ht="33.75">
      <c r="A40" s="1959" t="s">
        <v>1776</v>
      </c>
      <c r="B40" s="1959" t="s">
        <v>396</v>
      </c>
      <c r="C40" s="1959" t="s">
        <v>1777</v>
      </c>
      <c r="D40" s="1959" t="s">
        <v>1273</v>
      </c>
      <c r="E40" s="299" t="s">
        <v>3161</v>
      </c>
      <c r="F40" s="291" t="s">
        <v>1778</v>
      </c>
    </row>
    <row r="41" spans="1:6" ht="56.25">
      <c r="A41" s="1960"/>
      <c r="B41" s="1960"/>
      <c r="C41" s="1960"/>
      <c r="D41" s="1960"/>
      <c r="E41" s="300" t="s">
        <v>3162</v>
      </c>
      <c r="F41" s="300" t="s">
        <v>3163</v>
      </c>
    </row>
    <row r="42" spans="1:6" ht="23.25" thickBot="1">
      <c r="A42" s="1960"/>
      <c r="B42" s="1960"/>
      <c r="C42" s="1961"/>
      <c r="D42" s="1961"/>
      <c r="E42" s="301" t="s">
        <v>3164</v>
      </c>
      <c r="F42" s="301" t="s">
        <v>3165</v>
      </c>
    </row>
    <row r="43" spans="1:6" ht="33.75">
      <c r="A43" s="1960"/>
      <c r="B43" s="1960"/>
      <c r="C43" s="1959" t="s">
        <v>1779</v>
      </c>
      <c r="D43" s="1959" t="s">
        <v>1273</v>
      </c>
      <c r="E43" s="299" t="s">
        <v>3166</v>
      </c>
      <c r="F43" s="291" t="s">
        <v>1780</v>
      </c>
    </row>
    <row r="44" spans="1:6" ht="56.25">
      <c r="A44" s="1960"/>
      <c r="B44" s="1960"/>
      <c r="C44" s="1960"/>
      <c r="D44" s="1960"/>
      <c r="E44" s="300" t="s">
        <v>3167</v>
      </c>
      <c r="F44" s="300" t="s">
        <v>3168</v>
      </c>
    </row>
    <row r="45" spans="1:6" ht="33.75">
      <c r="A45" s="1960"/>
      <c r="B45" s="1960"/>
      <c r="C45" s="1960"/>
      <c r="D45" s="1960"/>
      <c r="E45" s="300" t="s">
        <v>3169</v>
      </c>
      <c r="F45" s="300" t="s">
        <v>3165</v>
      </c>
    </row>
    <row r="46" spans="1:6" ht="23.25" thickBot="1">
      <c r="A46" s="1960"/>
      <c r="B46" s="1960"/>
      <c r="C46" s="1961"/>
      <c r="D46" s="1961"/>
      <c r="E46" s="301" t="s">
        <v>3170</v>
      </c>
      <c r="F46" s="297"/>
    </row>
    <row r="47" spans="1:6" ht="33.75">
      <c r="A47" s="1960"/>
      <c r="B47" s="1960"/>
      <c r="C47" s="1959" t="s">
        <v>1781</v>
      </c>
      <c r="D47" s="1959" t="s">
        <v>1273</v>
      </c>
      <c r="E47" s="302" t="s">
        <v>3171</v>
      </c>
      <c r="F47" s="291" t="s">
        <v>1782</v>
      </c>
    </row>
    <row r="48" spans="1:6" ht="33.75">
      <c r="A48" s="1960"/>
      <c r="B48" s="1960"/>
      <c r="C48" s="1960"/>
      <c r="D48" s="1960"/>
      <c r="E48" s="303" t="s">
        <v>3172</v>
      </c>
      <c r="F48" s="300" t="s">
        <v>3173</v>
      </c>
    </row>
    <row r="49" spans="1:6" ht="33.75">
      <c r="A49" s="1960"/>
      <c r="B49" s="1960"/>
      <c r="C49" s="1960"/>
      <c r="D49" s="1960"/>
      <c r="E49" s="303" t="s">
        <v>3174</v>
      </c>
      <c r="F49" s="300" t="s">
        <v>3175</v>
      </c>
    </row>
    <row r="50" spans="1:6" ht="56.25">
      <c r="A50" s="1960"/>
      <c r="B50" s="1960"/>
      <c r="C50" s="1960"/>
      <c r="D50" s="1960"/>
      <c r="E50" s="303" t="s">
        <v>3176</v>
      </c>
      <c r="F50" s="300" t="s">
        <v>3177</v>
      </c>
    </row>
    <row r="51" spans="1:6" ht="22.5">
      <c r="A51" s="1960"/>
      <c r="B51" s="1960"/>
      <c r="C51" s="1960"/>
      <c r="D51" s="1960"/>
      <c r="E51" s="303" t="s">
        <v>3178</v>
      </c>
      <c r="F51" s="300" t="s">
        <v>3179</v>
      </c>
    </row>
    <row r="52" spans="1:6" ht="22.5">
      <c r="A52" s="1960"/>
      <c r="B52" s="1960"/>
      <c r="C52" s="1960"/>
      <c r="D52" s="1960"/>
      <c r="E52" s="303" t="s">
        <v>3180</v>
      </c>
      <c r="F52" s="300" t="s">
        <v>3181</v>
      </c>
    </row>
    <row r="53" spans="1:6" ht="34.5" thickBot="1">
      <c r="A53" s="1960"/>
      <c r="B53" s="1960"/>
      <c r="C53" s="1961"/>
      <c r="D53" s="1961"/>
      <c r="E53" s="304" t="s">
        <v>3182</v>
      </c>
      <c r="F53" s="296"/>
    </row>
    <row r="54" spans="1:6" ht="33.75">
      <c r="A54" s="1960"/>
      <c r="B54" s="1960"/>
      <c r="C54" s="1959" t="s">
        <v>1783</v>
      </c>
      <c r="D54" s="1959" t="s">
        <v>1273</v>
      </c>
      <c r="E54" s="302" t="s">
        <v>3171</v>
      </c>
      <c r="F54" s="291" t="s">
        <v>1782</v>
      </c>
    </row>
    <row r="55" spans="1:6" ht="33.75">
      <c r="A55" s="1960"/>
      <c r="B55" s="1960"/>
      <c r="C55" s="1960"/>
      <c r="D55" s="1960"/>
      <c r="E55" s="303" t="s">
        <v>3172</v>
      </c>
      <c r="F55" s="300" t="s">
        <v>3173</v>
      </c>
    </row>
    <row r="56" spans="1:6" ht="33.75">
      <c r="A56" s="1960"/>
      <c r="B56" s="1960"/>
      <c r="C56" s="1960"/>
      <c r="D56" s="1960"/>
      <c r="E56" s="303" t="s">
        <v>3174</v>
      </c>
      <c r="F56" s="300" t="s">
        <v>3183</v>
      </c>
    </row>
    <row r="57" spans="1:6" ht="56.25">
      <c r="A57" s="1960"/>
      <c r="B57" s="1960"/>
      <c r="C57" s="1960"/>
      <c r="D57" s="1960"/>
      <c r="E57" s="303" t="s">
        <v>3184</v>
      </c>
      <c r="F57" s="300" t="s">
        <v>3177</v>
      </c>
    </row>
    <row r="58" spans="1:6" ht="22.5">
      <c r="A58" s="1960"/>
      <c r="B58" s="1960"/>
      <c r="C58" s="1960"/>
      <c r="D58" s="1960"/>
      <c r="E58" s="303" t="s">
        <v>3178</v>
      </c>
      <c r="F58" s="300" t="s">
        <v>3179</v>
      </c>
    </row>
    <row r="59" spans="1:6" ht="22.5">
      <c r="A59" s="1960"/>
      <c r="B59" s="1960"/>
      <c r="C59" s="1960"/>
      <c r="D59" s="1960"/>
      <c r="E59" s="303" t="s">
        <v>3180</v>
      </c>
      <c r="F59" s="300" t="s">
        <v>3185</v>
      </c>
    </row>
    <row r="60" spans="1:6" ht="34.5" thickBot="1">
      <c r="A60" s="1961"/>
      <c r="B60" s="1961"/>
      <c r="C60" s="1961"/>
      <c r="D60" s="1961"/>
      <c r="E60" s="296" t="s">
        <v>1784</v>
      </c>
      <c r="F60" s="296"/>
    </row>
    <row r="61" spans="1:6">
      <c r="A61" s="293" t="s">
        <v>1785</v>
      </c>
      <c r="B61" s="1959" t="s">
        <v>1786</v>
      </c>
      <c r="C61" s="1959" t="s">
        <v>1787</v>
      </c>
      <c r="D61" s="1959" t="s">
        <v>1273</v>
      </c>
      <c r="E61" s="1962" t="s">
        <v>1788</v>
      </c>
      <c r="F61" s="1962" t="s">
        <v>1788</v>
      </c>
    </row>
    <row r="62" spans="1:6" ht="15.75" thickBot="1">
      <c r="A62" s="296" t="s">
        <v>1789</v>
      </c>
      <c r="B62" s="1961"/>
      <c r="C62" s="1961"/>
      <c r="D62" s="1961"/>
      <c r="E62" s="1964"/>
      <c r="F62" s="1963"/>
    </row>
    <row r="63" spans="1:6" ht="33.75">
      <c r="A63" s="293" t="s">
        <v>1790</v>
      </c>
      <c r="B63" s="1959" t="s">
        <v>1791</v>
      </c>
      <c r="C63" s="1959" t="s">
        <v>1787</v>
      </c>
      <c r="D63" s="1959" t="s">
        <v>1273</v>
      </c>
      <c r="E63" s="299" t="s">
        <v>3186</v>
      </c>
      <c r="F63" s="291" t="s">
        <v>1792</v>
      </c>
    </row>
    <row r="64" spans="1:6">
      <c r="A64" s="293" t="s">
        <v>1793</v>
      </c>
      <c r="B64" s="1960"/>
      <c r="C64" s="1960"/>
      <c r="D64" s="1960"/>
      <c r="E64" s="300" t="s">
        <v>3187</v>
      </c>
      <c r="F64" s="293" t="s">
        <v>1794</v>
      </c>
    </row>
    <row r="65" spans="1:6" ht="33.75">
      <c r="A65" s="295"/>
      <c r="B65" s="1960"/>
      <c r="C65" s="1960"/>
      <c r="D65" s="1960"/>
      <c r="E65" s="300" t="s">
        <v>3188</v>
      </c>
      <c r="F65" s="300" t="s">
        <v>3189</v>
      </c>
    </row>
    <row r="66" spans="1:6" ht="45">
      <c r="A66" s="295"/>
      <c r="B66" s="1960"/>
      <c r="C66" s="1960"/>
      <c r="D66" s="1960"/>
      <c r="E66" s="300" t="s">
        <v>3190</v>
      </c>
      <c r="F66" s="300" t="s">
        <v>3191</v>
      </c>
    </row>
    <row r="67" spans="1:6" ht="30">
      <c r="A67" s="295"/>
      <c r="B67" s="1960"/>
      <c r="C67" s="1960"/>
      <c r="D67" s="1960"/>
      <c r="E67" s="295"/>
      <c r="F67" s="300" t="s">
        <v>3192</v>
      </c>
    </row>
    <row r="68" spans="1:6" ht="30">
      <c r="A68" s="295"/>
      <c r="B68" s="1960"/>
      <c r="C68" s="1960"/>
      <c r="D68" s="1960"/>
      <c r="E68" s="295"/>
      <c r="F68" s="300" t="s">
        <v>3193</v>
      </c>
    </row>
    <row r="69" spans="1:6" ht="60">
      <c r="A69" s="295"/>
      <c r="B69" s="1960"/>
      <c r="C69" s="1960"/>
      <c r="D69" s="1960"/>
      <c r="E69" s="295"/>
      <c r="F69" s="300" t="s">
        <v>3194</v>
      </c>
    </row>
    <row r="70" spans="1:6" ht="45.75" thickBot="1">
      <c r="A70" s="297"/>
      <c r="B70" s="1961"/>
      <c r="C70" s="1961"/>
      <c r="D70" s="1961"/>
      <c r="E70" s="297"/>
      <c r="F70" s="296" t="s">
        <v>1817</v>
      </c>
    </row>
    <row r="71" spans="1:6" ht="33.75">
      <c r="A71" s="293" t="s">
        <v>1818</v>
      </c>
      <c r="B71" s="1959" t="s">
        <v>482</v>
      </c>
      <c r="C71" s="1959" t="s">
        <v>1819</v>
      </c>
      <c r="D71" s="1959" t="s">
        <v>1273</v>
      </c>
      <c r="E71" s="302" t="s">
        <v>3195</v>
      </c>
      <c r="F71" s="291" t="s">
        <v>1820</v>
      </c>
    </row>
    <row r="72" spans="1:6" ht="135">
      <c r="A72" s="293" t="s">
        <v>1821</v>
      </c>
      <c r="B72" s="1960"/>
      <c r="C72" s="1960"/>
      <c r="D72" s="1960"/>
      <c r="E72" s="305" t="s">
        <v>3196</v>
      </c>
      <c r="F72" s="300" t="s">
        <v>2527</v>
      </c>
    </row>
    <row r="73" spans="1:6" ht="22.5">
      <c r="A73" s="295"/>
      <c r="B73" s="1960"/>
      <c r="C73" s="1960"/>
      <c r="D73" s="1960"/>
      <c r="E73" s="305" t="s">
        <v>3197</v>
      </c>
      <c r="F73" s="295"/>
    </row>
    <row r="74" spans="1:6" ht="34.5" thickBot="1">
      <c r="A74" s="297"/>
      <c r="B74" s="1961"/>
      <c r="C74" s="1961"/>
      <c r="D74" s="1961"/>
      <c r="E74" s="304" t="s">
        <v>3198</v>
      </c>
      <c r="F74" s="297"/>
    </row>
    <row r="75" spans="1:6" ht="22.5">
      <c r="A75" s="293" t="s">
        <v>2528</v>
      </c>
      <c r="B75" s="1959" t="s">
        <v>2529</v>
      </c>
      <c r="C75" s="1959" t="s">
        <v>2530</v>
      </c>
      <c r="D75" s="1959" t="s">
        <v>1273</v>
      </c>
      <c r="E75" s="299" t="s">
        <v>3199</v>
      </c>
      <c r="F75" s="1959" t="s">
        <v>1712</v>
      </c>
    </row>
    <row r="76" spans="1:6" ht="33.75">
      <c r="A76" s="293" t="s">
        <v>1713</v>
      </c>
      <c r="B76" s="1960"/>
      <c r="C76" s="1960"/>
      <c r="D76" s="1960"/>
      <c r="E76" s="300" t="s">
        <v>3200</v>
      </c>
      <c r="F76" s="1960"/>
    </row>
    <row r="77" spans="1:6" ht="15.75" thickBot="1">
      <c r="A77" s="297"/>
      <c r="B77" s="1961"/>
      <c r="C77" s="1961"/>
      <c r="D77" s="1961"/>
      <c r="E77" s="301" t="s">
        <v>3201</v>
      </c>
      <c r="F77" s="1961"/>
    </row>
    <row r="78" spans="1:6" ht="33.75">
      <c r="A78" s="1959" t="s">
        <v>1714</v>
      </c>
      <c r="B78" s="1959" t="s">
        <v>1715</v>
      </c>
      <c r="C78" s="1959" t="s">
        <v>1716</v>
      </c>
      <c r="D78" s="1959" t="s">
        <v>1273</v>
      </c>
      <c r="E78" s="299" t="s">
        <v>3202</v>
      </c>
      <c r="F78" s="299" t="s">
        <v>3203</v>
      </c>
    </row>
    <row r="79" spans="1:6" ht="112.5">
      <c r="A79" s="1960"/>
      <c r="B79" s="1960"/>
      <c r="C79" s="1960"/>
      <c r="D79" s="1960"/>
      <c r="E79" s="300" t="s">
        <v>3204</v>
      </c>
      <c r="F79" s="300" t="s">
        <v>3205</v>
      </c>
    </row>
    <row r="80" spans="1:6" ht="78.75">
      <c r="A80" s="1960"/>
      <c r="B80" s="1960"/>
      <c r="C80" s="1960"/>
      <c r="D80" s="1960"/>
      <c r="E80" s="300" t="s">
        <v>3206</v>
      </c>
      <c r="F80" s="300" t="s">
        <v>3207</v>
      </c>
    </row>
    <row r="81" spans="1:6" ht="45.75" thickBot="1">
      <c r="A81" s="1961"/>
      <c r="B81" s="1961"/>
      <c r="C81" s="1961"/>
      <c r="D81" s="1961"/>
      <c r="E81" s="301" t="s">
        <v>3208</v>
      </c>
      <c r="F81" s="297"/>
    </row>
    <row r="82" spans="1:6" ht="33.75">
      <c r="A82" s="291" t="s">
        <v>1717</v>
      </c>
      <c r="B82" s="1959" t="s">
        <v>1718</v>
      </c>
      <c r="C82" s="1959" t="s">
        <v>1787</v>
      </c>
      <c r="D82" s="1959" t="s">
        <v>1273</v>
      </c>
      <c r="E82" s="302" t="s">
        <v>3171</v>
      </c>
      <c r="F82" s="291" t="s">
        <v>1782</v>
      </c>
    </row>
    <row r="83" spans="1:6" ht="33.75">
      <c r="A83" s="293" t="s">
        <v>1719</v>
      </c>
      <c r="B83" s="1960"/>
      <c r="C83" s="1960"/>
      <c r="D83" s="1960"/>
      <c r="E83" s="303" t="s">
        <v>3172</v>
      </c>
      <c r="F83" s="300" t="s">
        <v>3173</v>
      </c>
    </row>
    <row r="84" spans="1:6" ht="33.75">
      <c r="A84" s="295"/>
      <c r="B84" s="1960"/>
      <c r="C84" s="1960"/>
      <c r="D84" s="1960"/>
      <c r="E84" s="303" t="s">
        <v>3174</v>
      </c>
      <c r="F84" s="300" t="s">
        <v>3183</v>
      </c>
    </row>
    <row r="85" spans="1:6" ht="56.25">
      <c r="A85" s="295"/>
      <c r="B85" s="1960"/>
      <c r="C85" s="1960"/>
      <c r="D85" s="1960"/>
      <c r="E85" s="303" t="s">
        <v>3209</v>
      </c>
      <c r="F85" s="300" t="s">
        <v>3177</v>
      </c>
    </row>
    <row r="86" spans="1:6" ht="22.5">
      <c r="A86" s="295"/>
      <c r="B86" s="1960"/>
      <c r="C86" s="1960"/>
      <c r="D86" s="1960"/>
      <c r="E86" s="303" t="s">
        <v>3178</v>
      </c>
      <c r="F86" s="300" t="s">
        <v>3179</v>
      </c>
    </row>
    <row r="87" spans="1:6" ht="22.5">
      <c r="A87" s="295"/>
      <c r="B87" s="1960"/>
      <c r="C87" s="1960"/>
      <c r="D87" s="1960"/>
      <c r="E87" s="303" t="s">
        <v>3180</v>
      </c>
      <c r="F87" s="300" t="s">
        <v>3185</v>
      </c>
    </row>
    <row r="88" spans="1:6" ht="34.5" thickBot="1">
      <c r="A88" s="297"/>
      <c r="B88" s="1961"/>
      <c r="C88" s="1961"/>
      <c r="D88" s="1961"/>
      <c r="E88" s="301" t="s">
        <v>3210</v>
      </c>
      <c r="F88" s="296"/>
    </row>
    <row r="89" spans="1:6" ht="33.75">
      <c r="A89" s="291" t="s">
        <v>1720</v>
      </c>
      <c r="B89" s="1959" t="s">
        <v>1096</v>
      </c>
      <c r="C89" s="1959" t="s">
        <v>1721</v>
      </c>
      <c r="D89" s="1959" t="s">
        <v>1273</v>
      </c>
      <c r="E89" s="302" t="s">
        <v>3211</v>
      </c>
      <c r="F89" s="291" t="s">
        <v>1722</v>
      </c>
    </row>
    <row r="90" spans="1:6" ht="78.75">
      <c r="A90" s="293" t="s">
        <v>1723</v>
      </c>
      <c r="B90" s="1960"/>
      <c r="C90" s="1960"/>
      <c r="D90" s="1960"/>
      <c r="E90" s="305" t="s">
        <v>3212</v>
      </c>
      <c r="F90" s="306" t="s">
        <v>3213</v>
      </c>
    </row>
    <row r="91" spans="1:6" ht="45">
      <c r="A91" s="295"/>
      <c r="B91" s="1960"/>
      <c r="C91" s="1960"/>
      <c r="D91" s="1960"/>
      <c r="E91" s="307" t="s">
        <v>3214</v>
      </c>
      <c r="F91" s="300" t="s">
        <v>3215</v>
      </c>
    </row>
    <row r="92" spans="1:6" ht="78.75">
      <c r="A92" s="295"/>
      <c r="B92" s="1960"/>
      <c r="C92" s="1960"/>
      <c r="D92" s="1960"/>
      <c r="E92" s="305" t="s">
        <v>3216</v>
      </c>
      <c r="F92" s="300" t="s">
        <v>3217</v>
      </c>
    </row>
    <row r="93" spans="1:6" ht="45">
      <c r="A93" s="295"/>
      <c r="B93" s="1960"/>
      <c r="C93" s="1960"/>
      <c r="D93" s="1960"/>
      <c r="E93" s="294"/>
      <c r="F93" s="300" t="s">
        <v>3218</v>
      </c>
    </row>
    <row r="94" spans="1:6" ht="33.75">
      <c r="A94" s="295"/>
      <c r="B94" s="1960"/>
      <c r="C94" s="1960"/>
      <c r="D94" s="1960"/>
      <c r="E94" s="305"/>
      <c r="F94" s="300" t="s">
        <v>3219</v>
      </c>
    </row>
    <row r="95" spans="1:6" ht="30">
      <c r="A95" s="295"/>
      <c r="B95" s="1960"/>
      <c r="C95" s="1960"/>
      <c r="D95" s="1960"/>
      <c r="E95" s="295"/>
      <c r="F95" s="305" t="s">
        <v>3220</v>
      </c>
    </row>
    <row r="96" spans="1:6" ht="30">
      <c r="A96" s="295"/>
      <c r="B96" s="1960"/>
      <c r="C96" s="1960"/>
      <c r="D96" s="1960"/>
      <c r="E96" s="295"/>
      <c r="F96" s="305" t="s">
        <v>3221</v>
      </c>
    </row>
    <row r="97" spans="1:6" ht="60">
      <c r="A97" s="295"/>
      <c r="B97" s="1960"/>
      <c r="C97" s="1960"/>
      <c r="D97" s="1960"/>
      <c r="E97" s="295"/>
      <c r="F97" s="305" t="s">
        <v>3222</v>
      </c>
    </row>
    <row r="98" spans="1:6" ht="45">
      <c r="A98" s="295"/>
      <c r="B98" s="1960"/>
      <c r="C98" s="1960"/>
      <c r="D98" s="1960"/>
      <c r="E98" s="295"/>
      <c r="F98" s="305" t="s">
        <v>3223</v>
      </c>
    </row>
    <row r="99" spans="1:6" ht="30">
      <c r="A99" s="295"/>
      <c r="B99" s="1960"/>
      <c r="C99" s="1960"/>
      <c r="D99" s="1960"/>
      <c r="E99" s="295"/>
      <c r="F99" s="305" t="s">
        <v>3224</v>
      </c>
    </row>
    <row r="100" spans="1:6" ht="60">
      <c r="A100" s="295"/>
      <c r="B100" s="1960"/>
      <c r="C100" s="1960"/>
      <c r="D100" s="1960"/>
      <c r="E100" s="295"/>
      <c r="F100" s="305" t="s">
        <v>3225</v>
      </c>
    </row>
    <row r="101" spans="1:6" ht="30">
      <c r="A101" s="295"/>
      <c r="B101" s="1960"/>
      <c r="C101" s="1960"/>
      <c r="D101" s="1960"/>
      <c r="E101" s="295"/>
      <c r="F101" s="305" t="s">
        <v>3226</v>
      </c>
    </row>
    <row r="102" spans="1:6">
      <c r="A102" s="295"/>
      <c r="B102" s="1960"/>
      <c r="C102" s="1960"/>
      <c r="D102" s="1960"/>
      <c r="E102" s="295"/>
      <c r="F102" s="305"/>
    </row>
    <row r="103" spans="1:6" ht="60">
      <c r="A103" s="295"/>
      <c r="B103" s="1960"/>
      <c r="C103" s="1960"/>
      <c r="D103" s="1960"/>
      <c r="E103" s="295"/>
      <c r="F103" s="305" t="s">
        <v>3227</v>
      </c>
    </row>
    <row r="104" spans="1:6" ht="45">
      <c r="A104" s="295"/>
      <c r="B104" s="1960"/>
      <c r="C104" s="1960"/>
      <c r="D104" s="1960"/>
      <c r="E104" s="295"/>
      <c r="F104" s="305" t="s">
        <v>3228</v>
      </c>
    </row>
    <row r="105" spans="1:6" ht="30">
      <c r="A105" s="295"/>
      <c r="B105" s="1960"/>
      <c r="C105" s="1960"/>
      <c r="D105" s="1960"/>
      <c r="E105" s="295"/>
      <c r="F105" s="305" t="s">
        <v>3229</v>
      </c>
    </row>
    <row r="106" spans="1:6" ht="57">
      <c r="A106" s="295"/>
      <c r="B106" s="1960"/>
      <c r="C106" s="1960"/>
      <c r="D106" s="1960"/>
      <c r="E106" s="295"/>
      <c r="F106" s="307" t="s">
        <v>3230</v>
      </c>
    </row>
    <row r="107" spans="1:6" ht="42.75">
      <c r="A107" s="295"/>
      <c r="B107" s="1960"/>
      <c r="C107" s="1960"/>
      <c r="D107" s="1960"/>
      <c r="E107" s="295"/>
      <c r="F107" s="307" t="s">
        <v>3231</v>
      </c>
    </row>
    <row r="108" spans="1:6" ht="30">
      <c r="A108" s="295"/>
      <c r="B108" s="1960"/>
      <c r="C108" s="1960"/>
      <c r="D108" s="1960"/>
      <c r="E108" s="295"/>
      <c r="F108" s="305" t="s">
        <v>3232</v>
      </c>
    </row>
    <row r="109" spans="1:6">
      <c r="A109" s="295"/>
      <c r="B109" s="1960"/>
      <c r="C109" s="1960"/>
      <c r="D109" s="1960"/>
      <c r="E109" s="295"/>
      <c r="F109" s="305" t="s">
        <v>3233</v>
      </c>
    </row>
    <row r="110" spans="1:6" ht="45">
      <c r="A110" s="295"/>
      <c r="B110" s="1960"/>
      <c r="C110" s="1960"/>
      <c r="D110" s="1960"/>
      <c r="E110" s="295"/>
      <c r="F110" s="305" t="s">
        <v>3234</v>
      </c>
    </row>
    <row r="111" spans="1:6" ht="29.25" thickBot="1">
      <c r="A111" s="297"/>
      <c r="B111" s="1961"/>
      <c r="C111" s="1961"/>
      <c r="D111" s="1961"/>
      <c r="E111" s="297"/>
      <c r="F111" s="308" t="s">
        <v>3235</v>
      </c>
    </row>
    <row r="112" spans="1:6">
      <c r="A112" s="291" t="s">
        <v>466</v>
      </c>
      <c r="B112" s="1959" t="s">
        <v>467</v>
      </c>
      <c r="C112" s="1959" t="s">
        <v>468</v>
      </c>
      <c r="D112" s="1959" t="s">
        <v>1273</v>
      </c>
      <c r="E112" s="299" t="s">
        <v>3236</v>
      </c>
      <c r="F112" s="1959" t="s">
        <v>469</v>
      </c>
    </row>
    <row r="113" spans="1:6" ht="22.5">
      <c r="A113" s="293" t="s">
        <v>470</v>
      </c>
      <c r="B113" s="1960"/>
      <c r="C113" s="1960"/>
      <c r="D113" s="1960"/>
      <c r="E113" s="300" t="s">
        <v>3237</v>
      </c>
      <c r="F113" s="1960"/>
    </row>
    <row r="114" spans="1:6" ht="23.25" thickBot="1">
      <c r="A114" s="297"/>
      <c r="B114" s="1961"/>
      <c r="C114" s="1961"/>
      <c r="D114" s="1961"/>
      <c r="E114" s="301" t="s">
        <v>3238</v>
      </c>
      <c r="F114" s="1961"/>
    </row>
    <row r="115" spans="1:6" ht="22.5">
      <c r="A115" s="291" t="s">
        <v>471</v>
      </c>
      <c r="B115" s="1959" t="s">
        <v>472</v>
      </c>
      <c r="C115" s="1959" t="s">
        <v>473</v>
      </c>
      <c r="D115" s="1959" t="s">
        <v>1273</v>
      </c>
      <c r="E115" s="299" t="s">
        <v>3239</v>
      </c>
      <c r="F115" s="302" t="s">
        <v>474</v>
      </c>
    </row>
    <row r="116" spans="1:6" ht="33.75">
      <c r="A116" s="293" t="s">
        <v>475</v>
      </c>
      <c r="B116" s="1960"/>
      <c r="C116" s="1960"/>
      <c r="D116" s="1960"/>
      <c r="E116" s="300" t="s">
        <v>3240</v>
      </c>
      <c r="F116" s="307" t="s">
        <v>3241</v>
      </c>
    </row>
    <row r="117" spans="1:6" ht="33.75">
      <c r="A117" s="295"/>
      <c r="B117" s="1960"/>
      <c r="C117" s="1960"/>
      <c r="D117" s="1960"/>
      <c r="E117" s="300" t="s">
        <v>3242</v>
      </c>
      <c r="F117" s="307" t="s">
        <v>3243</v>
      </c>
    </row>
    <row r="118" spans="1:6" ht="33.75">
      <c r="A118" s="295"/>
      <c r="B118" s="1960"/>
      <c r="C118" s="1960"/>
      <c r="D118" s="1960"/>
      <c r="E118" s="300" t="s">
        <v>3244</v>
      </c>
      <c r="F118" s="307" t="s">
        <v>3245</v>
      </c>
    </row>
    <row r="119" spans="1:6" ht="33.75">
      <c r="A119" s="295"/>
      <c r="B119" s="1960"/>
      <c r="C119" s="1960"/>
      <c r="D119" s="1960"/>
      <c r="E119" s="300" t="s">
        <v>3246</v>
      </c>
      <c r="F119" s="307" t="s">
        <v>3247</v>
      </c>
    </row>
    <row r="120" spans="1:6" ht="22.5">
      <c r="A120" s="295"/>
      <c r="B120" s="1960"/>
      <c r="C120" s="1960"/>
      <c r="D120" s="1960"/>
      <c r="E120" s="300" t="s">
        <v>3248</v>
      </c>
      <c r="F120" s="305" t="s">
        <v>3249</v>
      </c>
    </row>
    <row r="121" spans="1:6" ht="45">
      <c r="A121" s="295"/>
      <c r="B121" s="1960"/>
      <c r="C121" s="1960"/>
      <c r="D121" s="1960"/>
      <c r="E121" s="300" t="s">
        <v>3250</v>
      </c>
      <c r="F121" s="305" t="s">
        <v>3251</v>
      </c>
    </row>
    <row r="122" spans="1:6" ht="45">
      <c r="A122" s="295"/>
      <c r="B122" s="1960"/>
      <c r="C122" s="1960"/>
      <c r="D122" s="1960"/>
      <c r="E122" s="295"/>
      <c r="F122" s="305" t="s">
        <v>3252</v>
      </c>
    </row>
    <row r="123" spans="1:6">
      <c r="A123" s="295"/>
      <c r="B123" s="1960"/>
      <c r="C123" s="1960"/>
      <c r="D123" s="1960"/>
      <c r="E123" s="295"/>
      <c r="F123" s="305" t="s">
        <v>3253</v>
      </c>
    </row>
    <row r="124" spans="1:6" ht="57">
      <c r="A124" s="295"/>
      <c r="B124" s="1960"/>
      <c r="C124" s="1960"/>
      <c r="D124" s="1960"/>
      <c r="E124" s="295"/>
      <c r="F124" s="307" t="s">
        <v>3254</v>
      </c>
    </row>
    <row r="125" spans="1:6" ht="57">
      <c r="A125" s="295"/>
      <c r="B125" s="1960"/>
      <c r="C125" s="1960"/>
      <c r="D125" s="1960"/>
      <c r="E125" s="295"/>
      <c r="F125" s="307" t="s">
        <v>3255</v>
      </c>
    </row>
    <row r="126" spans="1:6" ht="42.75">
      <c r="A126" s="295"/>
      <c r="B126" s="1960"/>
      <c r="C126" s="1960"/>
      <c r="D126" s="1960"/>
      <c r="E126" s="295"/>
      <c r="F126" s="307" t="s">
        <v>3256</v>
      </c>
    </row>
    <row r="127" spans="1:6" ht="60">
      <c r="A127" s="295"/>
      <c r="B127" s="1960"/>
      <c r="C127" s="1960"/>
      <c r="D127" s="1960"/>
      <c r="E127" s="295"/>
      <c r="F127" s="305" t="s">
        <v>3257</v>
      </c>
    </row>
    <row r="128" spans="1:6" ht="30">
      <c r="A128" s="295"/>
      <c r="B128" s="1960"/>
      <c r="C128" s="1960"/>
      <c r="D128" s="1960"/>
      <c r="E128" s="295"/>
      <c r="F128" s="305" t="s">
        <v>3258</v>
      </c>
    </row>
    <row r="129" spans="1:6">
      <c r="A129" s="295"/>
      <c r="B129" s="1960"/>
      <c r="C129" s="1960"/>
      <c r="D129" s="1960"/>
      <c r="E129" s="295"/>
      <c r="F129" s="305" t="s">
        <v>3259</v>
      </c>
    </row>
    <row r="130" spans="1:6" ht="30">
      <c r="A130" s="295"/>
      <c r="B130" s="1960"/>
      <c r="C130" s="1960"/>
      <c r="D130" s="1960"/>
      <c r="E130" s="295"/>
      <c r="F130" s="305" t="s">
        <v>3260</v>
      </c>
    </row>
    <row r="131" spans="1:6" ht="30">
      <c r="A131" s="295"/>
      <c r="B131" s="1960"/>
      <c r="C131" s="1960"/>
      <c r="D131" s="1960"/>
      <c r="E131" s="295"/>
      <c r="F131" s="305" t="s">
        <v>3261</v>
      </c>
    </row>
    <row r="132" spans="1:6">
      <c r="A132" s="295"/>
      <c r="B132" s="1960"/>
      <c r="C132" s="1960"/>
      <c r="D132" s="1960"/>
      <c r="E132" s="295"/>
      <c r="F132" s="305" t="s">
        <v>3262</v>
      </c>
    </row>
    <row r="133" spans="1:6" ht="15.75" thickBot="1">
      <c r="A133" s="295"/>
      <c r="B133" s="1960"/>
      <c r="C133" s="1961"/>
      <c r="D133" s="1961"/>
      <c r="E133" s="297"/>
      <c r="F133" s="296"/>
    </row>
    <row r="134" spans="1:6" ht="33.75">
      <c r="A134" s="295"/>
      <c r="B134" s="1960"/>
      <c r="C134" s="1959"/>
      <c r="D134" s="1959"/>
      <c r="E134" s="1959"/>
      <c r="F134" s="302" t="s">
        <v>2372</v>
      </c>
    </row>
    <row r="135" spans="1:6" ht="56.25">
      <c r="A135" s="295"/>
      <c r="B135" s="1960"/>
      <c r="C135" s="1960"/>
      <c r="D135" s="1960"/>
      <c r="E135" s="1960"/>
      <c r="F135" s="305" t="s">
        <v>3263</v>
      </c>
    </row>
    <row r="136" spans="1:6">
      <c r="A136" s="295"/>
      <c r="B136" s="1960"/>
      <c r="C136" s="1960"/>
      <c r="D136" s="1960"/>
      <c r="E136" s="1960"/>
      <c r="F136" s="307" t="s">
        <v>3264</v>
      </c>
    </row>
    <row r="137" spans="1:6">
      <c r="A137" s="295"/>
      <c r="B137" s="1960"/>
      <c r="C137" s="1960"/>
      <c r="D137" s="1960"/>
      <c r="E137" s="1960"/>
      <c r="F137" s="307" t="s">
        <v>3265</v>
      </c>
    </row>
    <row r="138" spans="1:6" ht="33.75">
      <c r="A138" s="295"/>
      <c r="B138" s="1960"/>
      <c r="C138" s="1960"/>
      <c r="D138" s="1960"/>
      <c r="E138" s="1960"/>
      <c r="F138" s="307" t="s">
        <v>3266</v>
      </c>
    </row>
    <row r="139" spans="1:6" ht="33.75">
      <c r="A139" s="295"/>
      <c r="B139" s="1960"/>
      <c r="C139" s="1960"/>
      <c r="D139" s="1960"/>
      <c r="E139" s="1960"/>
      <c r="F139" s="307" t="s">
        <v>3267</v>
      </c>
    </row>
    <row r="140" spans="1:6" ht="33.75">
      <c r="A140" s="295"/>
      <c r="B140" s="1960"/>
      <c r="C140" s="1960"/>
      <c r="D140" s="1960"/>
      <c r="E140" s="1960"/>
      <c r="F140" s="305" t="s">
        <v>3268</v>
      </c>
    </row>
    <row r="141" spans="1:6" ht="22.5">
      <c r="A141" s="295"/>
      <c r="B141" s="1960"/>
      <c r="C141" s="1960"/>
      <c r="D141" s="1960"/>
      <c r="E141" s="1960"/>
      <c r="F141" s="305" t="s">
        <v>3269</v>
      </c>
    </row>
    <row r="142" spans="1:6">
      <c r="A142" s="295"/>
      <c r="B142" s="1960"/>
      <c r="C142" s="1960"/>
      <c r="D142" s="1960"/>
      <c r="E142" s="1960"/>
      <c r="F142" s="305" t="s">
        <v>3270</v>
      </c>
    </row>
    <row r="143" spans="1:6">
      <c r="A143" s="295"/>
      <c r="B143" s="1960"/>
      <c r="C143" s="1960"/>
      <c r="D143" s="1960"/>
      <c r="E143" s="1960"/>
      <c r="F143" s="305" t="s">
        <v>3271</v>
      </c>
    </row>
    <row r="144" spans="1:6" ht="22.5">
      <c r="A144" s="295"/>
      <c r="B144" s="1960"/>
      <c r="C144" s="1960"/>
      <c r="D144" s="1960"/>
      <c r="E144" s="1960"/>
      <c r="F144" s="305" t="s">
        <v>3272</v>
      </c>
    </row>
    <row r="145" spans="1:6" ht="22.5">
      <c r="A145" s="295"/>
      <c r="B145" s="1960"/>
      <c r="C145" s="1960"/>
      <c r="D145" s="1960"/>
      <c r="E145" s="1960"/>
      <c r="F145" s="305" t="s">
        <v>3273</v>
      </c>
    </row>
    <row r="146" spans="1:6" ht="22.5">
      <c r="A146" s="295"/>
      <c r="B146" s="1960"/>
      <c r="C146" s="1960"/>
      <c r="D146" s="1960"/>
      <c r="E146" s="1960"/>
      <c r="F146" s="305" t="s">
        <v>3274</v>
      </c>
    </row>
    <row r="147" spans="1:6">
      <c r="A147" s="295"/>
      <c r="B147" s="1960"/>
      <c r="C147" s="1960"/>
      <c r="D147" s="1960"/>
      <c r="E147" s="1960"/>
      <c r="F147" s="305" t="s">
        <v>3275</v>
      </c>
    </row>
    <row r="148" spans="1:6" ht="45">
      <c r="A148" s="295"/>
      <c r="B148" s="1960"/>
      <c r="C148" s="1960"/>
      <c r="D148" s="1960"/>
      <c r="E148" s="1960"/>
      <c r="F148" s="307" t="s">
        <v>3276</v>
      </c>
    </row>
    <row r="149" spans="1:6">
      <c r="A149" s="295"/>
      <c r="B149" s="1960"/>
      <c r="C149" s="1960"/>
      <c r="D149" s="1960"/>
      <c r="E149" s="1960"/>
      <c r="F149" s="305" t="s">
        <v>3277</v>
      </c>
    </row>
    <row r="150" spans="1:6" ht="22.5">
      <c r="A150" s="295"/>
      <c r="B150" s="1960"/>
      <c r="C150" s="1960"/>
      <c r="D150" s="1960"/>
      <c r="E150" s="1960"/>
      <c r="F150" s="305" t="s">
        <v>3278</v>
      </c>
    </row>
    <row r="151" spans="1:6" ht="22.5">
      <c r="A151" s="295"/>
      <c r="B151" s="1960"/>
      <c r="C151" s="1960"/>
      <c r="D151" s="1960"/>
      <c r="E151" s="1960"/>
      <c r="F151" s="305" t="s">
        <v>3279</v>
      </c>
    </row>
    <row r="152" spans="1:6" ht="15.75" thickBot="1">
      <c r="A152" s="295"/>
      <c r="B152" s="1960"/>
      <c r="C152" s="1961"/>
      <c r="D152" s="1961"/>
      <c r="E152" s="1961"/>
      <c r="F152" s="296"/>
    </row>
    <row r="153" spans="1:6" ht="45.75" thickBot="1">
      <c r="A153" s="309"/>
      <c r="B153" s="296"/>
      <c r="C153" s="298" t="s">
        <v>2123</v>
      </c>
      <c r="D153" s="298" t="s">
        <v>1273</v>
      </c>
      <c r="E153" s="310" t="s">
        <v>3280</v>
      </c>
      <c r="F153" s="310" t="s">
        <v>3281</v>
      </c>
    </row>
    <row r="154" spans="1:6">
      <c r="A154" s="291" t="s">
        <v>2124</v>
      </c>
      <c r="B154" s="1959" t="s">
        <v>2125</v>
      </c>
      <c r="C154" s="1959" t="s">
        <v>1787</v>
      </c>
      <c r="D154" s="1959" t="s">
        <v>1273</v>
      </c>
      <c r="E154" s="299" t="s">
        <v>2126</v>
      </c>
      <c r="F154" s="1962" t="s">
        <v>3282</v>
      </c>
    </row>
    <row r="155" spans="1:6" ht="15.75" thickBot="1">
      <c r="A155" s="296" t="s">
        <v>2127</v>
      </c>
      <c r="B155" s="1961"/>
      <c r="C155" s="1961"/>
      <c r="D155" s="1961"/>
      <c r="E155" s="301"/>
      <c r="F155" s="1963"/>
    </row>
    <row r="156" spans="1:6" ht="45">
      <c r="A156" s="293" t="s">
        <v>2128</v>
      </c>
      <c r="B156" s="1959" t="s">
        <v>2129</v>
      </c>
      <c r="C156" s="1959" t="s">
        <v>2130</v>
      </c>
      <c r="D156" s="1959" t="s">
        <v>1273</v>
      </c>
      <c r="E156" s="302" t="s">
        <v>3283</v>
      </c>
      <c r="F156" s="299" t="s">
        <v>3284</v>
      </c>
    </row>
    <row r="157" spans="1:6" ht="33.75">
      <c r="A157" s="293" t="s">
        <v>2477</v>
      </c>
      <c r="B157" s="1960"/>
      <c r="C157" s="1960"/>
      <c r="D157" s="1960"/>
      <c r="E157" s="305" t="s">
        <v>3285</v>
      </c>
      <c r="F157" s="300" t="s">
        <v>3286</v>
      </c>
    </row>
    <row r="158" spans="1:6" ht="33.75">
      <c r="A158" s="295"/>
      <c r="B158" s="1960"/>
      <c r="C158" s="1960"/>
      <c r="D158" s="1960"/>
      <c r="E158" s="305" t="s">
        <v>3287</v>
      </c>
      <c r="F158" s="300" t="s">
        <v>3288</v>
      </c>
    </row>
    <row r="159" spans="1:6" ht="56.25">
      <c r="A159" s="295"/>
      <c r="B159" s="1960"/>
      <c r="C159" s="1960"/>
      <c r="D159" s="1960"/>
      <c r="E159" s="305" t="s">
        <v>3289</v>
      </c>
      <c r="F159" s="295"/>
    </row>
    <row r="160" spans="1:6" ht="23.25" thickBot="1">
      <c r="A160" s="297"/>
      <c r="B160" s="1961"/>
      <c r="C160" s="1961"/>
      <c r="D160" s="1961"/>
      <c r="E160" s="304" t="s">
        <v>3290</v>
      </c>
      <c r="F160" s="297"/>
    </row>
    <row r="161" spans="1:6" ht="24.75" customHeight="1">
      <c r="A161" s="291" t="s">
        <v>2478</v>
      </c>
      <c r="B161" s="1959" t="s">
        <v>2479</v>
      </c>
      <c r="C161" s="1959" t="s">
        <v>2480</v>
      </c>
      <c r="D161" s="1959" t="s">
        <v>1273</v>
      </c>
      <c r="E161" s="1959" t="s">
        <v>1795</v>
      </c>
      <c r="F161" s="1959" t="s">
        <v>45</v>
      </c>
    </row>
    <row r="162" spans="1:6" ht="22.5" customHeight="1" thickBot="1">
      <c r="A162" s="296" t="s">
        <v>1796</v>
      </c>
      <c r="B162" s="1961"/>
      <c r="C162" s="1961"/>
      <c r="D162" s="1961"/>
      <c r="E162" s="1961"/>
      <c r="F162" s="1961"/>
    </row>
  </sheetData>
  <mergeCells count="78">
    <mergeCell ref="A9:F9"/>
    <mergeCell ref="B7:F7"/>
    <mergeCell ref="A1:F1"/>
    <mergeCell ref="A2:F2"/>
    <mergeCell ref="A4:F4"/>
    <mergeCell ref="A5:F5"/>
    <mergeCell ref="A12:A33"/>
    <mergeCell ref="B12:B33"/>
    <mergeCell ref="D12:D32"/>
    <mergeCell ref="D36:D37"/>
    <mergeCell ref="A36:A39"/>
    <mergeCell ref="B36:B39"/>
    <mergeCell ref="C36:C37"/>
    <mergeCell ref="C38:C39"/>
    <mergeCell ref="D34:D35"/>
    <mergeCell ref="A34:A35"/>
    <mergeCell ref="B34:B35"/>
    <mergeCell ref="C34:C35"/>
    <mergeCell ref="F75:F77"/>
    <mergeCell ref="E61:E62"/>
    <mergeCell ref="B71:B74"/>
    <mergeCell ref="C71:C74"/>
    <mergeCell ref="D71:D74"/>
    <mergeCell ref="F61:F62"/>
    <mergeCell ref="B63:B70"/>
    <mergeCell ref="B61:B62"/>
    <mergeCell ref="D61:D62"/>
    <mergeCell ref="D63:D70"/>
    <mergeCell ref="B75:B77"/>
    <mergeCell ref="F34:F35"/>
    <mergeCell ref="D47:D53"/>
    <mergeCell ref="E38:E39"/>
    <mergeCell ref="C43:C46"/>
    <mergeCell ref="D43:D46"/>
    <mergeCell ref="C47:C53"/>
    <mergeCell ref="D38:D39"/>
    <mergeCell ref="B40:B60"/>
    <mergeCell ref="C40:C42"/>
    <mergeCell ref="D40:D42"/>
    <mergeCell ref="C75:C77"/>
    <mergeCell ref="C61:C62"/>
    <mergeCell ref="C54:C60"/>
    <mergeCell ref="F161:F162"/>
    <mergeCell ref="C134:C152"/>
    <mergeCell ref="D134:D152"/>
    <mergeCell ref="E134:E152"/>
    <mergeCell ref="A40:A60"/>
    <mergeCell ref="B89:B111"/>
    <mergeCell ref="C89:C111"/>
    <mergeCell ref="D89:D111"/>
    <mergeCell ref="D75:D77"/>
    <mergeCell ref="B82:B88"/>
    <mergeCell ref="A78:A81"/>
    <mergeCell ref="B78:B81"/>
    <mergeCell ref="C78:C81"/>
    <mergeCell ref="D78:D81"/>
    <mergeCell ref="D54:D60"/>
    <mergeCell ref="C63:C70"/>
    <mergeCell ref="D82:D88"/>
    <mergeCell ref="E161:E162"/>
    <mergeCell ref="B161:B162"/>
    <mergeCell ref="C161:C162"/>
    <mergeCell ref="D161:D162"/>
    <mergeCell ref="B156:B160"/>
    <mergeCell ref="C156:C160"/>
    <mergeCell ref="D156:D160"/>
    <mergeCell ref="C82:C88"/>
    <mergeCell ref="B112:B114"/>
    <mergeCell ref="B115:B152"/>
    <mergeCell ref="C115:C133"/>
    <mergeCell ref="D115:D133"/>
    <mergeCell ref="B154:B155"/>
    <mergeCell ref="F112:F114"/>
    <mergeCell ref="F154:F155"/>
    <mergeCell ref="C112:C114"/>
    <mergeCell ref="D112:D114"/>
    <mergeCell ref="C154:C155"/>
    <mergeCell ref="D154:D155"/>
  </mergeCells>
  <phoneticPr fontId="15" type="noConversion"/>
  <printOptions horizontalCentered="1"/>
  <pageMargins left="0.39370078740157483" right="0.39370078740157483" top="0.59055118110236227" bottom="0.39370078740157483" header="0" footer="0"/>
  <pageSetup paperSize="9" scale="61" fitToHeight="8" orientation="landscape" r:id="rId1"/>
  <headerFooter>
    <oddFooter>&amp;R&amp;P</oddFooter>
  </headerFooter>
  <rowBreaks count="4" manualBreakCount="4">
    <brk id="35" max="5" man="1"/>
    <brk id="53" max="5" man="1"/>
    <brk id="70" max="5" man="1"/>
    <brk id="81" max="5" man="1"/>
  </rowBreaks>
</worksheet>
</file>

<file path=xl/worksheets/sheet42.xml><?xml version="1.0" encoding="utf-8"?>
<worksheet xmlns="http://schemas.openxmlformats.org/spreadsheetml/2006/main" xmlns:r="http://schemas.openxmlformats.org/officeDocument/2006/relationships">
  <dimension ref="B1:G34"/>
  <sheetViews>
    <sheetView showGridLines="0" workbookViewId="0">
      <selection activeCell="B177" sqref="B177"/>
    </sheetView>
  </sheetViews>
  <sheetFormatPr defaultRowHeight="14.25"/>
  <cols>
    <col min="1" max="1" width="3.42578125" style="13" customWidth="1"/>
    <col min="2" max="2" width="3.85546875" style="13" customWidth="1"/>
    <col min="3" max="3" width="7.7109375" style="13" customWidth="1"/>
    <col min="4" max="4" width="47.140625" style="39" bestFit="1" customWidth="1"/>
    <col min="5" max="5" width="3" style="11" bestFit="1" customWidth="1"/>
    <col min="6" max="6" width="14.7109375" style="40" bestFit="1" customWidth="1"/>
    <col min="7" max="7" width="14" style="13" bestFit="1" customWidth="1"/>
    <col min="8" max="16384" width="9.140625" style="13"/>
  </cols>
  <sheetData>
    <row r="1" spans="2:7">
      <c r="B1" s="1968" t="s">
        <v>2421</v>
      </c>
      <c r="C1" s="1968"/>
      <c r="D1" s="1968"/>
      <c r="E1" s="11" t="s">
        <v>2422</v>
      </c>
      <c r="F1" s="12">
        <f>'main TB'!L37</f>
        <v>-88771205.439999983</v>
      </c>
    </row>
    <row r="2" spans="2:7" ht="34.5" customHeight="1">
      <c r="B2" s="1969" t="s">
        <v>2423</v>
      </c>
      <c r="C2" s="1969"/>
      <c r="D2" s="1969"/>
      <c r="E2" s="14"/>
      <c r="F2" s="12"/>
    </row>
    <row r="3" spans="2:7">
      <c r="C3" s="15" t="s">
        <v>2424</v>
      </c>
      <c r="D3" s="16" t="s">
        <v>2425</v>
      </c>
      <c r="E3" s="17" t="s">
        <v>2422</v>
      </c>
      <c r="F3" s="12">
        <f>SUM(F4:F8)*-1</f>
        <v>0</v>
      </c>
    </row>
    <row r="4" spans="2:7" s="18" customFormat="1">
      <c r="C4" s="19"/>
      <c r="D4" s="20" t="s">
        <v>2426</v>
      </c>
      <c r="E4" s="21" t="s">
        <v>2422</v>
      </c>
      <c r="F4" s="22">
        <v>0</v>
      </c>
    </row>
    <row r="5" spans="2:7" s="18" customFormat="1">
      <c r="C5" s="19"/>
      <c r="D5" s="23" t="s">
        <v>2427</v>
      </c>
      <c r="E5" s="17" t="s">
        <v>2422</v>
      </c>
      <c r="F5" s="24">
        <v>0</v>
      </c>
    </row>
    <row r="6" spans="2:7" s="18" customFormat="1">
      <c r="C6" s="19"/>
      <c r="D6" s="23" t="s">
        <v>2428</v>
      </c>
      <c r="E6" s="17" t="s">
        <v>2422</v>
      </c>
      <c r="F6" s="24">
        <v>0</v>
      </c>
    </row>
    <row r="7" spans="2:7" s="18" customFormat="1">
      <c r="C7" s="19"/>
      <c r="D7" s="23" t="s">
        <v>2230</v>
      </c>
      <c r="E7" s="17" t="s">
        <v>2422</v>
      </c>
      <c r="F7" s="24">
        <v>0</v>
      </c>
    </row>
    <row r="8" spans="2:7" s="18" customFormat="1">
      <c r="C8" s="19"/>
      <c r="D8" s="25" t="s">
        <v>2231</v>
      </c>
      <c r="E8" s="26" t="s">
        <v>2422</v>
      </c>
      <c r="F8" s="27">
        <v>0</v>
      </c>
    </row>
    <row r="9" spans="2:7">
      <c r="C9" s="15" t="s">
        <v>2232</v>
      </c>
      <c r="D9" s="19" t="s">
        <v>2233</v>
      </c>
      <c r="E9" s="28" t="s">
        <v>2422</v>
      </c>
      <c r="F9" s="12">
        <v>0</v>
      </c>
    </row>
    <row r="10" spans="2:7">
      <c r="C10" s="15" t="s">
        <v>2232</v>
      </c>
      <c r="D10" s="15" t="s">
        <v>2234</v>
      </c>
      <c r="E10" s="28" t="s">
        <v>2422</v>
      </c>
      <c r="F10" s="12">
        <v>0</v>
      </c>
    </row>
    <row r="11" spans="2:7">
      <c r="C11" s="15" t="s">
        <v>2424</v>
      </c>
      <c r="D11" s="15" t="s">
        <v>2235</v>
      </c>
      <c r="E11" s="26" t="s">
        <v>2422</v>
      </c>
      <c r="F11" s="29">
        <v>0</v>
      </c>
    </row>
    <row r="12" spans="2:7" s="30" customFormat="1" ht="15">
      <c r="C12" s="31"/>
      <c r="D12" s="31" t="s">
        <v>663</v>
      </c>
      <c r="E12" s="32" t="s">
        <v>2422</v>
      </c>
      <c r="F12" s="33">
        <f>F11+F10+F9+F3+F1</f>
        <v>-88771205.439999983</v>
      </c>
      <c r="G12" s="34"/>
    </row>
    <row r="13" spans="2:7">
      <c r="C13" s="15" t="s">
        <v>2424</v>
      </c>
      <c r="D13" s="15" t="s">
        <v>2236</v>
      </c>
      <c r="E13" s="28" t="s">
        <v>2422</v>
      </c>
      <c r="F13" s="12">
        <v>0</v>
      </c>
    </row>
    <row r="14" spans="2:7">
      <c r="C14" s="15" t="s">
        <v>2424</v>
      </c>
      <c r="D14" s="15" t="s">
        <v>2237</v>
      </c>
      <c r="E14" s="26" t="s">
        <v>2422</v>
      </c>
      <c r="F14" s="29">
        <v>0</v>
      </c>
    </row>
    <row r="15" spans="2:7" ht="15">
      <c r="C15" s="31"/>
      <c r="D15" s="35" t="s">
        <v>2238</v>
      </c>
      <c r="E15" s="32" t="s">
        <v>2422</v>
      </c>
      <c r="F15" s="33">
        <f>SUM(F12:F14)</f>
        <v>-88771205.439999983</v>
      </c>
      <c r="G15" s="36"/>
    </row>
    <row r="16" spans="2:7" ht="15">
      <c r="C16" s="31"/>
      <c r="D16" s="35" t="s">
        <v>2239</v>
      </c>
      <c r="E16" s="32" t="s">
        <v>2422</v>
      </c>
      <c r="F16" s="33">
        <v>0</v>
      </c>
    </row>
    <row r="17" spans="2:6" ht="15.75" thickBot="1">
      <c r="C17" s="31"/>
      <c r="D17" s="35" t="s">
        <v>2240</v>
      </c>
      <c r="E17" s="37" t="s">
        <v>2422</v>
      </c>
      <c r="F17" s="38">
        <f>F16+F15</f>
        <v>-88771205.439999983</v>
      </c>
    </row>
    <row r="18" spans="2:6" ht="15" thickTop="1">
      <c r="E18" s="13"/>
    </row>
    <row r="19" spans="2:6">
      <c r="B19" s="1970" t="s">
        <v>774</v>
      </c>
      <c r="C19" s="1970"/>
      <c r="D19" s="1970"/>
      <c r="E19" s="1970"/>
      <c r="F19" s="1970"/>
    </row>
    <row r="20" spans="2:6">
      <c r="F20" s="41"/>
    </row>
    <row r="21" spans="2:6">
      <c r="B21" s="42" t="s">
        <v>775</v>
      </c>
      <c r="C21" s="42"/>
      <c r="D21" s="42"/>
      <c r="E21" s="42"/>
      <c r="F21" s="43"/>
    </row>
    <row r="22" spans="2:6">
      <c r="B22" s="13" t="s">
        <v>776</v>
      </c>
      <c r="E22" s="42" t="s">
        <v>2422</v>
      </c>
      <c r="F22" s="43">
        <v>10.3</v>
      </c>
    </row>
    <row r="23" spans="2:6">
      <c r="B23" s="42" t="s">
        <v>777</v>
      </c>
      <c r="C23" s="42"/>
      <c r="D23" s="42"/>
      <c r="E23" s="42" t="s">
        <v>2422</v>
      </c>
      <c r="F23" s="43">
        <v>10.7</v>
      </c>
    </row>
    <row r="24" spans="2:6">
      <c r="B24" s="42"/>
      <c r="C24" s="44" t="s">
        <v>778</v>
      </c>
      <c r="D24" s="45"/>
      <c r="E24" s="45" t="s">
        <v>2422</v>
      </c>
      <c r="F24" s="46">
        <v>4.4000000000000004</v>
      </c>
    </row>
    <row r="25" spans="2:6">
      <c r="B25" s="42"/>
      <c r="C25" s="47" t="s">
        <v>779</v>
      </c>
      <c r="D25" s="48"/>
      <c r="E25" s="48" t="s">
        <v>2422</v>
      </c>
      <c r="F25" s="49">
        <v>13.2</v>
      </c>
    </row>
    <row r="26" spans="2:6">
      <c r="B26" s="42"/>
      <c r="C26" s="47" t="s">
        <v>661</v>
      </c>
      <c r="D26" s="48"/>
      <c r="E26" s="48" t="s">
        <v>2422</v>
      </c>
      <c r="F26" s="49">
        <v>-4.5999999999999996</v>
      </c>
    </row>
    <row r="27" spans="2:6">
      <c r="B27" s="42"/>
      <c r="C27" s="50" t="s">
        <v>662</v>
      </c>
      <c r="D27" s="51"/>
      <c r="E27" s="51" t="s">
        <v>2422</v>
      </c>
      <c r="F27" s="52">
        <v>-2.2999999999999998</v>
      </c>
    </row>
    <row r="28" spans="2:6">
      <c r="F28" s="41"/>
    </row>
    <row r="29" spans="2:6" s="54" customFormat="1" ht="43.5" customHeight="1">
      <c r="B29" s="1970" t="s">
        <v>1727</v>
      </c>
      <c r="C29" s="1970"/>
      <c r="D29" s="1970"/>
      <c r="E29" s="1970"/>
      <c r="F29" s="1970"/>
    </row>
    <row r="30" spans="2:6">
      <c r="B30" s="55"/>
    </row>
    <row r="34" spans="6:6">
      <c r="F34" s="41"/>
    </row>
  </sheetData>
  <mergeCells count="4">
    <mergeCell ref="B1:D1"/>
    <mergeCell ref="B2:D2"/>
    <mergeCell ref="B19:F19"/>
    <mergeCell ref="B29:F29"/>
  </mergeCells>
  <phoneticPr fontId="0" type="noConversion"/>
  <pageMargins left="0.7" right="0.7" top="0.75" bottom="0.75" header="0.3" footer="0.3"/>
  <pageSetup paperSize="9" orientation="portrait" r:id="rId1"/>
  <ignoredErrors>
    <ignoredError sqref="F3" formulaRange="1"/>
  </ignoredErrors>
</worksheet>
</file>

<file path=xl/worksheets/sheet43.xml><?xml version="1.0" encoding="utf-8"?>
<worksheet xmlns="http://schemas.openxmlformats.org/spreadsheetml/2006/main" xmlns:r="http://schemas.openxmlformats.org/officeDocument/2006/relationships">
  <dimension ref="A1:E72"/>
  <sheetViews>
    <sheetView workbookViewId="0">
      <selection activeCell="B177" sqref="B177"/>
    </sheetView>
  </sheetViews>
  <sheetFormatPr defaultRowHeight="11.25"/>
  <cols>
    <col min="1" max="1" width="34.85546875" style="96" bestFit="1" customWidth="1"/>
    <col min="2" max="2" width="10.7109375" style="95" bestFit="1" customWidth="1"/>
    <col min="3" max="3" width="9.28515625" style="99" bestFit="1" customWidth="1"/>
    <col min="4" max="4" width="10.5703125" style="99" bestFit="1" customWidth="1"/>
    <col min="5" max="5" width="15.5703125" style="99" bestFit="1" customWidth="1"/>
    <col min="6" max="16384" width="9.140625" style="96"/>
  </cols>
  <sheetData>
    <row r="1" spans="1:5">
      <c r="A1" s="94" t="s">
        <v>1590</v>
      </c>
    </row>
    <row r="3" spans="1:5">
      <c r="A3" s="96" t="str">
        <f>'Statement of Financial Performa'!C61</f>
        <v>NET SURPLUS/(DEFICIT) FOR THE YEAR</v>
      </c>
      <c r="B3" s="95">
        <f>'Statement of Financial Performa'!H61</f>
        <v>76525048.929999992</v>
      </c>
      <c r="C3" s="100">
        <f>B3/1000000</f>
        <v>76.525048929999997</v>
      </c>
      <c r="E3" s="101">
        <f>C3</f>
        <v>76.525048929999997</v>
      </c>
    </row>
    <row r="4" spans="1:5">
      <c r="A4" s="96" t="s">
        <v>2409</v>
      </c>
      <c r="C4" s="100">
        <f>B4/1000000</f>
        <v>0</v>
      </c>
      <c r="E4" s="101">
        <f>C4</f>
        <v>0</v>
      </c>
    </row>
    <row r="5" spans="1:5">
      <c r="E5" s="101"/>
    </row>
    <row r="6" spans="1:5">
      <c r="A6" s="96" t="str">
        <f>'Statement of Financial Performa'!C26</f>
        <v>SUB TOTAL REVENUE</v>
      </c>
      <c r="B6" s="95">
        <f>'Statement of Financial Performa'!H26</f>
        <v>164564268.09</v>
      </c>
      <c r="C6" s="100">
        <f>B6/1000000</f>
        <v>164.56426809000001</v>
      </c>
      <c r="D6" s="99" t="s">
        <v>2410</v>
      </c>
      <c r="E6" s="102">
        <f>C6</f>
        <v>164.56426809000001</v>
      </c>
    </row>
    <row r="7" spans="1:5">
      <c r="B7" s="95">
        <f>'Statement of Financial Performa'!J26</f>
        <v>72681283.420000002</v>
      </c>
      <c r="C7" s="100">
        <f>B7/1000000</f>
        <v>72.68128342</v>
      </c>
      <c r="D7" s="99" t="s">
        <v>2411</v>
      </c>
      <c r="E7" s="102">
        <f>C7</f>
        <v>72.68128342</v>
      </c>
    </row>
    <row r="8" spans="1:5">
      <c r="A8" s="96" t="s">
        <v>2412</v>
      </c>
      <c r="B8" s="97">
        <f>(B6-B7)/B7</f>
        <v>1.2641904538069315</v>
      </c>
      <c r="C8" s="103">
        <f>B8</f>
        <v>1.2641904538069315</v>
      </c>
      <c r="E8" s="101"/>
    </row>
    <row r="9" spans="1:5">
      <c r="E9" s="101"/>
    </row>
    <row r="10" spans="1:5">
      <c r="A10" s="96" t="s">
        <v>2259</v>
      </c>
      <c r="B10" s="95">
        <f>'Statement of Financial Performa'!H22</f>
        <v>16965254</v>
      </c>
      <c r="C10" s="100">
        <f>B10/1000000</f>
        <v>16.965254000000002</v>
      </c>
      <c r="D10" s="99" t="s">
        <v>2410</v>
      </c>
      <c r="E10" s="102">
        <f>C10</f>
        <v>16.965254000000002</v>
      </c>
    </row>
    <row r="11" spans="1:5">
      <c r="A11" s="96" t="s">
        <v>2259</v>
      </c>
      <c r="B11" s="95">
        <f>'Statement of Financial Performa'!J22</f>
        <v>12943512</v>
      </c>
      <c r="C11" s="100">
        <f>B11/1000000</f>
        <v>12.943512</v>
      </c>
      <c r="D11" s="99" t="s">
        <v>2411</v>
      </c>
      <c r="E11" s="102">
        <f>C11</f>
        <v>12.943512</v>
      </c>
    </row>
    <row r="12" spans="1:5">
      <c r="C12" s="100"/>
      <c r="E12" s="101"/>
    </row>
    <row r="13" spans="1:5">
      <c r="A13" s="96" t="s">
        <v>2264</v>
      </c>
      <c r="B13" s="95">
        <f>'Statement of Financial Performa'!H23</f>
        <v>7486868.2199999997</v>
      </c>
      <c r="C13" s="100">
        <f>B13/1000000</f>
        <v>7.4868682199999999</v>
      </c>
      <c r="D13" s="99" t="s">
        <v>2410</v>
      </c>
      <c r="E13" s="101">
        <f>C13</f>
        <v>7.4868682199999999</v>
      </c>
    </row>
    <row r="14" spans="1:5">
      <c r="A14" s="96" t="s">
        <v>2414</v>
      </c>
      <c r="B14" s="95" t="e">
        <f>'Statement of Financial Performa'!#REF!</f>
        <v>#REF!</v>
      </c>
      <c r="C14" s="100" t="e">
        <f>B14/1000000</f>
        <v>#REF!</v>
      </c>
      <c r="D14" s="99" t="s">
        <v>2410</v>
      </c>
      <c r="E14" s="101" t="e">
        <f>C14</f>
        <v>#REF!</v>
      </c>
    </row>
    <row r="15" spans="1:5">
      <c r="A15" s="96" t="s">
        <v>2413</v>
      </c>
      <c r="B15" s="98" t="e">
        <f>SUM(B13:B14)</f>
        <v>#REF!</v>
      </c>
      <c r="C15" s="100" t="e">
        <f>B15/1000000</f>
        <v>#REF!</v>
      </c>
      <c r="D15" s="99" t="s">
        <v>2410</v>
      </c>
      <c r="E15" s="102" t="e">
        <f>C15</f>
        <v>#REF!</v>
      </c>
    </row>
    <row r="16" spans="1:5">
      <c r="E16" s="101"/>
    </row>
    <row r="17" spans="1:5">
      <c r="A17" s="96" t="s">
        <v>2413</v>
      </c>
      <c r="B17" s="98" t="e">
        <f>'Statement of Financial Performa'!J23+'Statement of Financial Performa'!#REF!</f>
        <v>#REF!</v>
      </c>
      <c r="C17" s="100" t="e">
        <f>B17/1000000</f>
        <v>#REF!</v>
      </c>
      <c r="D17" s="99" t="s">
        <v>2411</v>
      </c>
      <c r="E17" s="102" t="e">
        <f>C17</f>
        <v>#REF!</v>
      </c>
    </row>
    <row r="18" spans="1:5">
      <c r="E18" s="101"/>
    </row>
    <row r="19" spans="1:5">
      <c r="A19" s="96" t="s">
        <v>2415</v>
      </c>
      <c r="B19" s="95" t="e">
        <f>'Statement of Financial Performa'!H12+'Statement of Financial Performa'!H14+'Statement of Financial Performa'!#REF!+'Statement of Financial Performa'!#REF!</f>
        <v>#REF!</v>
      </c>
      <c r="C19" s="104" t="e">
        <f>B19/B20</f>
        <v>#REF!</v>
      </c>
      <c r="E19" s="101"/>
    </row>
    <row r="20" spans="1:5">
      <c r="B20" s="95">
        <f>B6</f>
        <v>164564268.09</v>
      </c>
      <c r="E20" s="101"/>
    </row>
    <row r="21" spans="1:5">
      <c r="E21" s="101"/>
    </row>
    <row r="22" spans="1:5">
      <c r="A22" s="96" t="s">
        <v>2416</v>
      </c>
      <c r="B22" s="95">
        <f>'Statement of Financial Performa'!H10</f>
        <v>8713652.1300000008</v>
      </c>
      <c r="C22" s="104">
        <f>B22/B23</f>
        <v>5.2949842825141813E-2</v>
      </c>
      <c r="E22" s="101"/>
    </row>
    <row r="23" spans="1:5">
      <c r="B23" s="95">
        <f>B6</f>
        <v>164564268.09</v>
      </c>
      <c r="E23" s="101"/>
    </row>
    <row r="24" spans="1:5">
      <c r="E24" s="101"/>
    </row>
    <row r="25" spans="1:5">
      <c r="A25" s="96" t="s">
        <v>2417</v>
      </c>
      <c r="B25" s="95">
        <f>'Statement of Financial Performa'!H51</f>
        <v>87838462.400000006</v>
      </c>
      <c r="C25" s="100">
        <f>B25/1000000</f>
        <v>87.838462400000012</v>
      </c>
      <c r="D25" s="99" t="s">
        <v>2410</v>
      </c>
      <c r="E25" s="102">
        <f>C25</f>
        <v>87.838462400000012</v>
      </c>
    </row>
    <row r="26" spans="1:5">
      <c r="B26" s="95">
        <f>'Statement of Financial Performa'!J51</f>
        <v>62166424.869999997</v>
      </c>
      <c r="C26" s="100">
        <f>B26/1000000</f>
        <v>62.16642487</v>
      </c>
      <c r="D26" s="99" t="s">
        <v>2411</v>
      </c>
      <c r="E26" s="102">
        <f>C26</f>
        <v>62.16642487</v>
      </c>
    </row>
    <row r="27" spans="1:5">
      <c r="A27" s="96" t="s">
        <v>2412</v>
      </c>
      <c r="B27" s="97">
        <f>(B25-B26)/B26</f>
        <v>0.41295663348317635</v>
      </c>
      <c r="C27" s="105">
        <f>B27</f>
        <v>0.41295663348317635</v>
      </c>
      <c r="E27" s="101"/>
    </row>
    <row r="28" spans="1:5">
      <c r="E28" s="101"/>
    </row>
    <row r="29" spans="1:5">
      <c r="A29" s="96" t="s">
        <v>2418</v>
      </c>
      <c r="B29" s="95">
        <f>'Statement of Financial Performa'!H37</f>
        <v>23731899.860000003</v>
      </c>
      <c r="C29" s="100">
        <f>B29/1000000</f>
        <v>23.731899860000002</v>
      </c>
      <c r="D29" s="99" t="s">
        <v>2410</v>
      </c>
      <c r="E29" s="102">
        <f>C29</f>
        <v>23.731899860000002</v>
      </c>
    </row>
    <row r="30" spans="1:5">
      <c r="B30" s="95">
        <f>B25</f>
        <v>87838462.400000006</v>
      </c>
      <c r="C30" s="100">
        <f>B30/1000000</f>
        <v>87.838462400000012</v>
      </c>
      <c r="D30" s="99" t="s">
        <v>2410</v>
      </c>
      <c r="E30" s="102">
        <f>C30</f>
        <v>87.838462400000012</v>
      </c>
    </row>
    <row r="31" spans="1:5">
      <c r="B31" s="97">
        <f>B29/B30</f>
        <v>0.2701766311883893</v>
      </c>
      <c r="E31" s="101"/>
    </row>
    <row r="32" spans="1:5">
      <c r="E32" s="101"/>
    </row>
    <row r="33" spans="1:5">
      <c r="A33" s="96" t="s">
        <v>661</v>
      </c>
      <c r="B33" s="95" t="e">
        <f>'Statement of Financial Performa'!H44+'Statement of Financial Performa'!#REF!</f>
        <v>#REF!</v>
      </c>
      <c r="C33" s="100" t="e">
        <f>B33/1000000</f>
        <v>#REF!</v>
      </c>
      <c r="D33" s="99" t="s">
        <v>2410</v>
      </c>
      <c r="E33" s="102" t="e">
        <f>C33</f>
        <v>#REF!</v>
      </c>
    </row>
    <row r="34" spans="1:5">
      <c r="B34" s="95">
        <f>B25</f>
        <v>87838462.400000006</v>
      </c>
      <c r="C34" s="100">
        <f>B34/1000000</f>
        <v>87.838462400000012</v>
      </c>
      <c r="D34" s="99" t="s">
        <v>2410</v>
      </c>
      <c r="E34" s="102">
        <f>C34</f>
        <v>87.838462400000012</v>
      </c>
    </row>
    <row r="35" spans="1:5">
      <c r="B35" s="97" t="e">
        <f>B33/B34</f>
        <v>#REF!</v>
      </c>
      <c r="E35" s="101"/>
    </row>
    <row r="36" spans="1:5">
      <c r="E36" s="101"/>
    </row>
    <row r="37" spans="1:5">
      <c r="A37" s="96" t="s">
        <v>2419</v>
      </c>
      <c r="B37" s="95">
        <f>'Statement of Financial Performa'!H43</f>
        <v>4407466.99</v>
      </c>
      <c r="C37" s="100">
        <f>B37/1000000</f>
        <v>4.4074669900000005</v>
      </c>
      <c r="D37" s="99" t="s">
        <v>2410</v>
      </c>
      <c r="E37" s="102">
        <f>C37</f>
        <v>4.4074669900000005</v>
      </c>
    </row>
    <row r="38" spans="1:5">
      <c r="B38" s="95">
        <f>B25</f>
        <v>87838462.400000006</v>
      </c>
      <c r="C38" s="100">
        <f>B38/1000000</f>
        <v>87.838462400000012</v>
      </c>
      <c r="D38" s="99" t="s">
        <v>2410</v>
      </c>
      <c r="E38" s="102">
        <f>C38</f>
        <v>87.838462400000012</v>
      </c>
    </row>
    <row r="39" spans="1:5">
      <c r="B39" s="97">
        <f>B37/B38</f>
        <v>5.0176959723284044E-2</v>
      </c>
      <c r="E39" s="101"/>
    </row>
    <row r="40" spans="1:5">
      <c r="E40" s="101"/>
    </row>
    <row r="41" spans="1:5">
      <c r="E41" s="101"/>
    </row>
    <row r="42" spans="1:5">
      <c r="A42" s="96" t="s">
        <v>2420</v>
      </c>
      <c r="B42" s="95">
        <f>'Graphs - Linked '!B58</f>
        <v>0</v>
      </c>
      <c r="C42" s="100">
        <f>B42/1000000</f>
        <v>0</v>
      </c>
      <c r="D42" s="99" t="s">
        <v>2410</v>
      </c>
      <c r="E42" s="102">
        <f>C42</f>
        <v>0</v>
      </c>
    </row>
    <row r="43" spans="1:5">
      <c r="E43" s="101"/>
    </row>
    <row r="44" spans="1:5">
      <c r="E44" s="101"/>
    </row>
    <row r="45" spans="1:5">
      <c r="E45" s="101"/>
    </row>
    <row r="46" spans="1:5">
      <c r="E46" s="101"/>
    </row>
    <row r="47" spans="1:5">
      <c r="E47" s="101"/>
    </row>
    <row r="48" spans="1:5">
      <c r="E48" s="101"/>
    </row>
    <row r="49" spans="5:5">
      <c r="E49" s="101"/>
    </row>
    <row r="50" spans="5:5">
      <c r="E50" s="101"/>
    </row>
    <row r="51" spans="5:5">
      <c r="E51" s="101"/>
    </row>
    <row r="52" spans="5:5">
      <c r="E52" s="101"/>
    </row>
    <row r="53" spans="5:5">
      <c r="E53" s="101"/>
    </row>
    <row r="54" spans="5:5">
      <c r="E54" s="101"/>
    </row>
    <row r="55" spans="5:5">
      <c r="E55" s="101"/>
    </row>
    <row r="56" spans="5:5">
      <c r="E56" s="101"/>
    </row>
    <row r="57" spans="5:5">
      <c r="E57" s="101"/>
    </row>
    <row r="58" spans="5:5">
      <c r="E58" s="101"/>
    </row>
    <row r="59" spans="5:5">
      <c r="E59" s="101"/>
    </row>
    <row r="60" spans="5:5">
      <c r="E60" s="101"/>
    </row>
    <row r="61" spans="5:5">
      <c r="E61" s="101"/>
    </row>
    <row r="62" spans="5:5">
      <c r="E62" s="101"/>
    </row>
    <row r="63" spans="5:5">
      <c r="E63" s="101"/>
    </row>
    <row r="64" spans="5:5">
      <c r="E64" s="101"/>
    </row>
    <row r="65" spans="5:5">
      <c r="E65" s="101"/>
    </row>
    <row r="66" spans="5:5">
      <c r="E66" s="101"/>
    </row>
    <row r="67" spans="5:5">
      <c r="E67" s="101"/>
    </row>
    <row r="68" spans="5:5">
      <c r="E68" s="101"/>
    </row>
    <row r="69" spans="5:5">
      <c r="E69" s="101"/>
    </row>
    <row r="70" spans="5:5">
      <c r="E70" s="101"/>
    </row>
    <row r="71" spans="5:5">
      <c r="E71" s="101"/>
    </row>
    <row r="72" spans="5:5">
      <c r="E72" s="101"/>
    </row>
  </sheetData>
  <phoneticPr fontId="0"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sheetPr>
    <tabColor rgb="FFFFFF00"/>
  </sheetPr>
  <dimension ref="A1:E70"/>
  <sheetViews>
    <sheetView topLeftCell="A28" zoomScale="80" zoomScaleNormal="80" workbookViewId="0">
      <selection activeCell="B177" sqref="B177"/>
    </sheetView>
  </sheetViews>
  <sheetFormatPr defaultRowHeight="12.75"/>
  <cols>
    <col min="1" max="1" width="25.140625" style="3" customWidth="1"/>
    <col min="2" max="2" width="15.140625" style="9" bestFit="1" customWidth="1"/>
    <col min="3" max="3" width="14" style="3" bestFit="1" customWidth="1"/>
    <col min="4" max="4" width="21.85546875" style="3" bestFit="1" customWidth="1"/>
    <col min="5" max="5" width="15" style="3" customWidth="1"/>
    <col min="6" max="16384" width="9.140625" style="3"/>
  </cols>
  <sheetData>
    <row r="1" spans="1:2">
      <c r="A1" s="1971" t="s">
        <v>2395</v>
      </c>
      <c r="B1" s="1972"/>
    </row>
    <row r="2" spans="1:2">
      <c r="A2" s="77"/>
      <c r="B2" s="78"/>
    </row>
    <row r="3" spans="1:2">
      <c r="A3" s="77" t="s">
        <v>782</v>
      </c>
      <c r="B3" s="79">
        <f>'Statement of Financial Performa'!H10</f>
        <v>8713652.1300000008</v>
      </c>
    </row>
    <row r="4" spans="1:2">
      <c r="A4" s="77" t="s">
        <v>738</v>
      </c>
      <c r="B4" s="79">
        <f>'Statement of Financial Performa'!H12</f>
        <v>29200709.390000001</v>
      </c>
    </row>
    <row r="5" spans="1:2">
      <c r="A5" s="77" t="s">
        <v>739</v>
      </c>
      <c r="B5" s="79">
        <f>'Statement of Financial Performa'!H14</f>
        <v>4232136.21</v>
      </c>
    </row>
    <row r="6" spans="1:2">
      <c r="A6" s="77" t="s">
        <v>740</v>
      </c>
      <c r="B6" s="79" t="e">
        <f>'Statement of Financial Performa'!#REF!</f>
        <v>#REF!</v>
      </c>
    </row>
    <row r="7" spans="1:2">
      <c r="A7" s="77" t="s">
        <v>2381</v>
      </c>
      <c r="B7" s="79" t="e">
        <f>'Statement of Financial Performa'!#REF!</f>
        <v>#REF!</v>
      </c>
    </row>
    <row r="8" spans="1:2">
      <c r="A8" s="77" t="s">
        <v>2376</v>
      </c>
      <c r="B8" s="79">
        <f>'Statement of Financial Performa'!H16+'Statement of Financial Performa'!H17</f>
        <v>0</v>
      </c>
    </row>
    <row r="9" spans="1:2">
      <c r="A9" s="77" t="s">
        <v>2377</v>
      </c>
      <c r="B9" s="79">
        <f>'Statement of Financial Performa'!H22</f>
        <v>16965254</v>
      </c>
    </row>
    <row r="10" spans="1:2">
      <c r="A10" s="77" t="s">
        <v>2378</v>
      </c>
      <c r="B10" s="79">
        <f>'Statement of Financial Performa'!H23</f>
        <v>7486868.2199999997</v>
      </c>
    </row>
    <row r="11" spans="1:2">
      <c r="A11" s="77" t="s">
        <v>2379</v>
      </c>
      <c r="B11" s="79">
        <f>'Statement of Financial Performa'!H25</f>
        <v>92998490</v>
      </c>
    </row>
    <row r="12" spans="1:2">
      <c r="A12" s="77" t="s">
        <v>2380</v>
      </c>
      <c r="B12" s="79" t="e">
        <f>'Statement of Financial Performa'!H15+'Statement of Financial Performa'!H18+'Statement of Financial Performa'!H19+'Statement of Financial Performa'!H20+'Statement of Financial Performa'!H24+'Statement of Financial Performa'!#REF!</f>
        <v>#REF!</v>
      </c>
    </row>
    <row r="13" spans="1:2" ht="13.5" thickBot="1">
      <c r="A13" s="77"/>
      <c r="B13" s="80" t="e">
        <f>SUM(B3:B12)</f>
        <v>#REF!</v>
      </c>
    </row>
    <row r="14" spans="1:2" ht="13.5" thickTop="1">
      <c r="A14" s="77" t="s">
        <v>2382</v>
      </c>
      <c r="B14" s="81" t="e">
        <f>B13-B15</f>
        <v>#REF!</v>
      </c>
    </row>
    <row r="15" spans="1:2">
      <c r="A15" s="77"/>
      <c r="B15" s="78">
        <f>'Statement of Financial Performa'!H26</f>
        <v>164564268.09</v>
      </c>
    </row>
    <row r="16" spans="1:2" ht="13.5" thickBot="1">
      <c r="A16" s="82"/>
      <c r="B16" s="83"/>
    </row>
    <row r="18" spans="1:5" ht="13.5" thickBot="1"/>
    <row r="19" spans="1:5">
      <c r="A19" s="1971" t="s">
        <v>2396</v>
      </c>
      <c r="B19" s="1972"/>
    </row>
    <row r="20" spans="1:5">
      <c r="A20" s="77"/>
      <c r="B20" s="78"/>
    </row>
    <row r="21" spans="1:5">
      <c r="A21" s="77" t="s">
        <v>2383</v>
      </c>
      <c r="B21" s="79">
        <f>'Statement of Financial Performa'!H37</f>
        <v>23731899.860000003</v>
      </c>
    </row>
    <row r="22" spans="1:5">
      <c r="A22" s="77" t="s">
        <v>1133</v>
      </c>
      <c r="B22" s="79">
        <f>'Statement of Financial Performa'!H41</f>
        <v>6100070</v>
      </c>
    </row>
    <row r="23" spans="1:5">
      <c r="A23" s="77" t="s">
        <v>2384</v>
      </c>
      <c r="B23" s="79">
        <f>'Statement of Financial Performa'!H43</f>
        <v>4407466.99</v>
      </c>
    </row>
    <row r="24" spans="1:5">
      <c r="A24" s="77" t="s">
        <v>2385</v>
      </c>
      <c r="B24" s="79" t="e">
        <f>'Statement of Financial Performa'!#REF!</f>
        <v>#REF!</v>
      </c>
    </row>
    <row r="25" spans="1:5">
      <c r="A25" s="77" t="s">
        <v>2386</v>
      </c>
      <c r="B25" s="79" t="e">
        <f>'Statement of Financial Performa'!H44+'Statement of Financial Performa'!#REF!</f>
        <v>#REF!</v>
      </c>
    </row>
    <row r="26" spans="1:5">
      <c r="A26" s="77" t="s">
        <v>2388</v>
      </c>
      <c r="B26" s="79">
        <f>'Statement of Financial Performa'!H47</f>
        <v>3154161.04</v>
      </c>
    </row>
    <row r="27" spans="1:5">
      <c r="A27" s="77" t="s">
        <v>2389</v>
      </c>
      <c r="B27" s="79">
        <f>'Statement of Financial Performa'!H38</f>
        <v>2567686.87</v>
      </c>
    </row>
    <row r="28" spans="1:5">
      <c r="A28" s="77" t="s">
        <v>2387</v>
      </c>
      <c r="B28" s="79" t="e">
        <f>'Statement of Financial Performa'!H39+'Statement of Financial Performa'!H40+'Statement of Financial Performa'!#REF!+'Statement of Financial Performa'!H49+'Statement of Financial Performa'!H50</f>
        <v>#REF!</v>
      </c>
    </row>
    <row r="29" spans="1:5" ht="13.5" thickBot="1">
      <c r="A29" s="77"/>
      <c r="B29" s="80" t="e">
        <f>SUM(B21:B28)</f>
        <v>#REF!</v>
      </c>
    </row>
    <row r="30" spans="1:5" ht="13.5" thickTop="1">
      <c r="A30" s="77" t="s">
        <v>2382</v>
      </c>
      <c r="B30" s="81" t="e">
        <f>B29-B31</f>
        <v>#REF!</v>
      </c>
    </row>
    <row r="31" spans="1:5">
      <c r="A31" s="77"/>
      <c r="B31" s="78">
        <f>'Statement of Financial Performa'!H51</f>
        <v>87838462.400000006</v>
      </c>
      <c r="D31" s="106" t="e">
        <f>B13-B29</f>
        <v>#REF!</v>
      </c>
      <c r="E31" s="3">
        <f>'Statement of Financial Performa'!H61</f>
        <v>76525048.929999992</v>
      </c>
    </row>
    <row r="32" spans="1:5" ht="13.5" thickBot="1">
      <c r="A32" s="82"/>
      <c r="B32" s="83"/>
      <c r="E32" s="106" t="e">
        <f>E31-D31</f>
        <v>#REF!</v>
      </c>
    </row>
    <row r="33" spans="1:3" ht="13.5" thickBot="1"/>
    <row r="34" spans="1:3">
      <c r="A34" s="1971" t="s">
        <v>2397</v>
      </c>
      <c r="B34" s="1973"/>
      <c r="C34" s="1972"/>
    </row>
    <row r="35" spans="1:3">
      <c r="A35" s="84"/>
      <c r="B35" s="8"/>
      <c r="C35" s="85"/>
    </row>
    <row r="36" spans="1:3">
      <c r="A36" s="77"/>
      <c r="B36" s="2" t="s">
        <v>2534</v>
      </c>
      <c r="C36" s="86" t="s">
        <v>2533</v>
      </c>
    </row>
    <row r="37" spans="1:3">
      <c r="A37" s="77" t="s">
        <v>2224</v>
      </c>
      <c r="B37" s="73">
        <f>'Note 15'!C112</f>
        <v>0</v>
      </c>
      <c r="C37" s="78">
        <f>'Note 15'!E112</f>
        <v>0</v>
      </c>
    </row>
    <row r="38" spans="1:3">
      <c r="A38" s="77" t="s">
        <v>2390</v>
      </c>
      <c r="B38" s="73">
        <f>'Note 15'!C113</f>
        <v>87.72</v>
      </c>
      <c r="C38" s="78">
        <f>'Note 15'!E113</f>
        <v>120.61</v>
      </c>
    </row>
    <row r="39" spans="1:3">
      <c r="A39" s="77" t="s">
        <v>2391</v>
      </c>
      <c r="B39" s="73">
        <f>'Note 15'!C114</f>
        <v>144.86000000000001</v>
      </c>
      <c r="C39" s="78">
        <f>'Note 15'!E114</f>
        <v>189.36</v>
      </c>
    </row>
    <row r="40" spans="1:3">
      <c r="A40" s="77" t="s">
        <v>2392</v>
      </c>
      <c r="B40" s="73">
        <f>'Note 15'!C115</f>
        <v>143.97</v>
      </c>
      <c r="C40" s="78">
        <f>'Note 15'!E115</f>
        <v>189.35</v>
      </c>
    </row>
    <row r="41" spans="1:3">
      <c r="A41" s="77" t="s">
        <v>2393</v>
      </c>
      <c r="B41" s="73">
        <f>'Note 15'!C116</f>
        <v>143.97</v>
      </c>
      <c r="C41" s="78">
        <f>'Note 15'!E116</f>
        <v>183.11</v>
      </c>
    </row>
    <row r="42" spans="1:3">
      <c r="A42" s="77" t="s">
        <v>2394</v>
      </c>
      <c r="B42" s="73">
        <f>'Note 15'!C117</f>
        <v>177502.65000000002</v>
      </c>
      <c r="C42" s="78">
        <f>'Note 15'!E117</f>
        <v>189056.71999999997</v>
      </c>
    </row>
    <row r="43" spans="1:3" ht="13.5" thickBot="1">
      <c r="A43" s="82"/>
      <c r="B43" s="87">
        <f>'Note 15'!C118</f>
        <v>0</v>
      </c>
      <c r="C43" s="88">
        <f>'Note 15'!E118</f>
        <v>0</v>
      </c>
    </row>
    <row r="45" spans="1:3" s="4" customFormat="1">
      <c r="A45" s="6"/>
      <c r="B45" s="5"/>
    </row>
    <row r="46" spans="1:3" ht="13.5" thickBot="1"/>
    <row r="47" spans="1:3" ht="39" customHeight="1">
      <c r="A47" s="1974" t="s">
        <v>2407</v>
      </c>
      <c r="B47" s="1975"/>
    </row>
    <row r="48" spans="1:3">
      <c r="A48" s="77"/>
      <c r="B48" s="78"/>
    </row>
    <row r="49" spans="1:2">
      <c r="A49" s="77"/>
      <c r="B49" s="89" t="str">
        <f>'Capital Exp by Asset Type '!B4</f>
        <v>R</v>
      </c>
    </row>
    <row r="50" spans="1:2">
      <c r="A50" s="77" t="str">
        <f>'Capital Exp by Asset Type '!A5</f>
        <v>Roads and Stormwter</v>
      </c>
      <c r="B50" s="78">
        <f>'Capital Exp by Asset Type '!B5</f>
        <v>0</v>
      </c>
    </row>
    <row r="51" spans="1:2">
      <c r="A51" s="77" t="str">
        <f>'Capital Exp by Asset Type '!A6</f>
        <v>Water Reticulation</v>
      </c>
      <c r="B51" s="78">
        <f>'Capital Exp by Asset Type '!B6</f>
        <v>0</v>
      </c>
    </row>
    <row r="52" spans="1:2">
      <c r="A52" s="77" t="str">
        <f>'Capital Exp by Asset Type '!A7</f>
        <v>Electricity Reticulation</v>
      </c>
      <c r="B52" s="78">
        <f>'Capital Exp by Asset Type '!B7</f>
        <v>0</v>
      </c>
    </row>
    <row r="53" spans="1:2">
      <c r="A53" s="77" t="str">
        <f>'Capital Exp by Asset Type '!A8</f>
        <v>Sewerage Reticulation</v>
      </c>
      <c r="B53" s="78">
        <f>'Capital Exp by Asset Type '!B8</f>
        <v>0</v>
      </c>
    </row>
    <row r="54" spans="1:2">
      <c r="A54" s="77" t="str">
        <f>'Capital Exp by Asset Type '!A9</f>
        <v>Community Halls &amp; MPCC's</v>
      </c>
      <c r="B54" s="78">
        <f>'Capital Exp by Asset Type '!B9</f>
        <v>0</v>
      </c>
    </row>
    <row r="55" spans="1:2">
      <c r="A55" s="77" t="str">
        <f>'Capital Exp by Asset Type '!A10</f>
        <v>Other Assets</v>
      </c>
      <c r="B55" s="78">
        <f>'Capital Exp by Asset Type '!B10</f>
        <v>0</v>
      </c>
    </row>
    <row r="56" spans="1:2">
      <c r="A56" s="77" t="str">
        <f>'Capital Exp by Asset Type '!A11</f>
        <v>Vehicles</v>
      </c>
      <c r="B56" s="78">
        <f>'Capital Exp by Asset Type '!B11</f>
        <v>0</v>
      </c>
    </row>
    <row r="57" spans="1:2">
      <c r="A57" s="77" t="str">
        <f>'Capital Exp by Asset Type '!A12</f>
        <v>Plant &amp; equipment</v>
      </c>
      <c r="B57" s="78">
        <f>'Capital Exp by Asset Type '!B12</f>
        <v>0</v>
      </c>
    </row>
    <row r="58" spans="1:2" ht="13.5" thickBot="1">
      <c r="A58" s="77"/>
      <c r="B58" s="80">
        <f>'Capital Exp by Asset Type '!B13</f>
        <v>0</v>
      </c>
    </row>
    <row r="59" spans="1:2" ht="14.25" thickTop="1" thickBot="1">
      <c r="A59" s="82"/>
      <c r="B59" s="83"/>
    </row>
    <row r="60" spans="1:2" ht="13.5" thickBot="1"/>
    <row r="61" spans="1:2">
      <c r="A61" s="1971" t="s">
        <v>2398</v>
      </c>
      <c r="B61" s="1972"/>
    </row>
    <row r="62" spans="1:2">
      <c r="A62" s="77"/>
      <c r="B62" s="78"/>
    </row>
    <row r="63" spans="1:2">
      <c r="A63" s="93">
        <f>'Collection Rates'!A5</f>
        <v>2002</v>
      </c>
      <c r="B63" s="91">
        <f>'Collection Rates'!B5</f>
        <v>0.99329999999999996</v>
      </c>
    </row>
    <row r="64" spans="1:2">
      <c r="A64" s="93">
        <f>'Collection Rates'!A6</f>
        <v>2003</v>
      </c>
      <c r="B64" s="91">
        <f>'Collection Rates'!B6</f>
        <v>0.97160000000000002</v>
      </c>
    </row>
    <row r="65" spans="1:2">
      <c r="A65" s="93">
        <f>'Collection Rates'!A7</f>
        <v>2004</v>
      </c>
      <c r="B65" s="91">
        <f>'Collection Rates'!B7</f>
        <v>1.0236000000000001</v>
      </c>
    </row>
    <row r="66" spans="1:2">
      <c r="A66" s="93">
        <f>'Collection Rates'!A8</f>
        <v>2005</v>
      </c>
      <c r="B66" s="91">
        <f>'Collection Rates'!B8</f>
        <v>0.99199999999999999</v>
      </c>
    </row>
    <row r="67" spans="1:2">
      <c r="A67" s="93">
        <f>'Collection Rates'!A9</f>
        <v>2006</v>
      </c>
      <c r="B67" s="91">
        <f>'Collection Rates'!B9</f>
        <v>1.0311999999999999</v>
      </c>
    </row>
    <row r="68" spans="1:2">
      <c r="A68" s="93">
        <f>'Collection Rates'!A10</f>
        <v>2007</v>
      </c>
      <c r="B68" s="91">
        <f>'Collection Rates'!B10</f>
        <v>1.04</v>
      </c>
    </row>
    <row r="69" spans="1:2">
      <c r="A69" s="92" t="str">
        <f>'Collection Rates'!A11</f>
        <v>Average</v>
      </c>
      <c r="B69" s="91">
        <f>'Collection Rates'!B11</f>
        <v>1.0086166666666667</v>
      </c>
    </row>
    <row r="70" spans="1:2" ht="13.5" thickBot="1">
      <c r="A70" s="82"/>
      <c r="B70" s="83"/>
    </row>
  </sheetData>
  <mergeCells count="5">
    <mergeCell ref="A61:B61"/>
    <mergeCell ref="A1:B1"/>
    <mergeCell ref="A19:B19"/>
    <mergeCell ref="A34:C34"/>
    <mergeCell ref="A47:B47"/>
  </mergeCells>
  <phoneticPr fontId="0" type="noConversion"/>
  <pageMargins left="0.7" right="0.7" top="0.75" bottom="0.75" header="0.3" footer="0.3"/>
  <pageSetup paperSize="9" orientation="portrait" r:id="rId1"/>
  <legacyDrawing r:id="rId2"/>
</worksheet>
</file>

<file path=xl/worksheets/sheet45.xml><?xml version="1.0" encoding="utf-8"?>
<worksheet xmlns="http://schemas.openxmlformats.org/spreadsheetml/2006/main" xmlns:r="http://schemas.openxmlformats.org/officeDocument/2006/relationships">
  <dimension ref="A1:I14"/>
  <sheetViews>
    <sheetView workbookViewId="0">
      <selection activeCell="B177" sqref="B177"/>
    </sheetView>
  </sheetViews>
  <sheetFormatPr defaultRowHeight="12.75"/>
  <cols>
    <col min="1" max="1" width="25.140625" style="3" customWidth="1"/>
    <col min="2" max="2" width="14" style="9" bestFit="1" customWidth="1"/>
    <col min="3" max="16384" width="9.140625" style="3"/>
  </cols>
  <sheetData>
    <row r="1" spans="1:9">
      <c r="A1" s="74" t="s">
        <v>2399</v>
      </c>
      <c r="B1" s="75"/>
      <c r="C1" s="74"/>
      <c r="D1" s="74"/>
      <c r="E1" s="74"/>
      <c r="F1" s="74"/>
      <c r="G1" s="74"/>
      <c r="H1" s="74"/>
      <c r="I1" s="74"/>
    </row>
    <row r="2" spans="1:9">
      <c r="A2" s="74" t="s">
        <v>2400</v>
      </c>
      <c r="B2" s="75"/>
      <c r="C2" s="74"/>
      <c r="D2" s="74"/>
      <c r="E2" s="74"/>
      <c r="F2" s="74"/>
      <c r="G2" s="74"/>
      <c r="H2" s="74"/>
      <c r="I2" s="74"/>
    </row>
    <row r="4" spans="1:9">
      <c r="B4" s="1" t="s">
        <v>2422</v>
      </c>
    </row>
    <row r="5" spans="1:9">
      <c r="A5" s="3" t="s">
        <v>2401</v>
      </c>
      <c r="B5" s="9">
        <v>0</v>
      </c>
    </row>
    <row r="6" spans="1:9">
      <c r="A6" s="3" t="s">
        <v>2402</v>
      </c>
      <c r="B6" s="9">
        <v>0</v>
      </c>
    </row>
    <row r="7" spans="1:9">
      <c r="A7" s="3" t="s">
        <v>2403</v>
      </c>
      <c r="B7" s="9">
        <v>0</v>
      </c>
    </row>
    <row r="8" spans="1:9">
      <c r="A8" s="3" t="s">
        <v>2404</v>
      </c>
      <c r="B8" s="9">
        <v>0</v>
      </c>
    </row>
    <row r="9" spans="1:9">
      <c r="A9" s="3" t="s">
        <v>2405</v>
      </c>
      <c r="B9" s="9">
        <v>0</v>
      </c>
    </row>
    <row r="10" spans="1:9">
      <c r="A10" s="3" t="s">
        <v>2496</v>
      </c>
      <c r="B10" s="9">
        <v>0</v>
      </c>
    </row>
    <row r="11" spans="1:9">
      <c r="A11" s="3" t="s">
        <v>2406</v>
      </c>
      <c r="B11" s="9">
        <v>0</v>
      </c>
    </row>
    <row r="12" spans="1:9">
      <c r="A12" s="3" t="s">
        <v>2142</v>
      </c>
      <c r="B12" s="9">
        <v>0</v>
      </c>
    </row>
    <row r="13" spans="1:9" ht="13.5" thickBot="1">
      <c r="B13" s="76">
        <f>SUM(B5:B12)</f>
        <v>0</v>
      </c>
    </row>
    <row r="14" spans="1:9" ht="13.5" thickTop="1"/>
  </sheetData>
  <phoneticPr fontId="0"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dimension ref="A1:I13"/>
  <sheetViews>
    <sheetView workbookViewId="0">
      <selection activeCell="B177" sqref="B177"/>
    </sheetView>
  </sheetViews>
  <sheetFormatPr defaultRowHeight="12.75"/>
  <cols>
    <col min="1" max="1" width="25.140625" style="3" customWidth="1"/>
    <col min="2" max="2" width="14" style="9" bestFit="1" customWidth="1"/>
    <col min="3" max="16384" width="9.140625" style="3"/>
  </cols>
  <sheetData>
    <row r="1" spans="1:9">
      <c r="A1" s="74" t="s">
        <v>2399</v>
      </c>
      <c r="B1" s="75"/>
      <c r="C1" s="74"/>
      <c r="D1" s="74"/>
      <c r="E1" s="74"/>
      <c r="F1" s="74"/>
      <c r="G1" s="74"/>
      <c r="H1" s="74"/>
      <c r="I1" s="74"/>
    </row>
    <row r="2" spans="1:9">
      <c r="A2" s="74" t="s">
        <v>2400</v>
      </c>
      <c r="B2" s="75"/>
      <c r="C2" s="74"/>
      <c r="D2" s="74"/>
      <c r="E2" s="74"/>
      <c r="F2" s="74"/>
      <c r="G2" s="74"/>
      <c r="H2" s="74"/>
      <c r="I2" s="74"/>
    </row>
    <row r="4" spans="1:9">
      <c r="B4" s="1" t="s">
        <v>2422</v>
      </c>
    </row>
    <row r="5" spans="1:9">
      <c r="A5" s="3">
        <v>2002</v>
      </c>
      <c r="B5" s="90">
        <v>0.99329999999999996</v>
      </c>
      <c r="C5" s="10"/>
    </row>
    <row r="6" spans="1:9">
      <c r="A6" s="3">
        <v>2003</v>
      </c>
      <c r="B6" s="90">
        <v>0.97160000000000002</v>
      </c>
      <c r="C6" s="10"/>
    </row>
    <row r="7" spans="1:9">
      <c r="A7" s="3">
        <v>2004</v>
      </c>
      <c r="B7" s="90">
        <v>1.0236000000000001</v>
      </c>
      <c r="C7" s="10"/>
    </row>
    <row r="8" spans="1:9">
      <c r="A8" s="3">
        <v>2005</v>
      </c>
      <c r="B8" s="90">
        <v>0.99199999999999999</v>
      </c>
      <c r="C8" s="10"/>
    </row>
    <row r="9" spans="1:9">
      <c r="A9" s="3">
        <v>2006</v>
      </c>
      <c r="B9" s="90">
        <v>1.0311999999999999</v>
      </c>
      <c r="C9" s="10"/>
    </row>
    <row r="10" spans="1:9">
      <c r="A10" s="3">
        <v>2007</v>
      </c>
      <c r="B10" s="90">
        <v>1.04</v>
      </c>
      <c r="C10" s="10"/>
    </row>
    <row r="11" spans="1:9">
      <c r="A11" s="3" t="s">
        <v>2408</v>
      </c>
      <c r="B11" s="90">
        <f>AVERAGE(B5:B10)</f>
        <v>1.0086166666666667</v>
      </c>
      <c r="C11" s="10"/>
    </row>
    <row r="12" spans="1:9">
      <c r="B12" s="3"/>
    </row>
    <row r="13" spans="1:9">
      <c r="B13" s="3"/>
    </row>
  </sheetData>
  <phoneticPr fontId="0"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dimension ref="A1:D10"/>
  <sheetViews>
    <sheetView showGridLines="0" workbookViewId="0">
      <selection activeCell="B177" sqref="B177"/>
    </sheetView>
  </sheetViews>
  <sheetFormatPr defaultRowHeight="14.25"/>
  <cols>
    <col min="1" max="1" width="20.28515625" style="7" customWidth="1"/>
    <col min="2" max="2" width="16.5703125" style="7" bestFit="1" customWidth="1"/>
    <col min="3" max="3" width="15.42578125" style="7" bestFit="1" customWidth="1"/>
    <col min="4" max="4" width="11.42578125" style="7" bestFit="1" customWidth="1"/>
    <col min="5" max="16384" width="9.140625" style="7"/>
  </cols>
  <sheetData>
    <row r="1" spans="1:4" ht="42.75">
      <c r="A1" s="62" t="s">
        <v>1733</v>
      </c>
      <c r="B1" s="62" t="s">
        <v>1734</v>
      </c>
      <c r="C1" s="62" t="s">
        <v>1111</v>
      </c>
      <c r="D1" s="62" t="s">
        <v>1735</v>
      </c>
    </row>
    <row r="2" spans="1:4" s="53" customFormat="1">
      <c r="A2" s="61"/>
      <c r="B2" s="61" t="s">
        <v>2422</v>
      </c>
      <c r="C2" s="61" t="s">
        <v>2422</v>
      </c>
      <c r="D2" s="61" t="s">
        <v>2303</v>
      </c>
    </row>
    <row r="3" spans="1:4">
      <c r="A3" s="56" t="s">
        <v>1728</v>
      </c>
      <c r="B3" s="57">
        <v>0</v>
      </c>
      <c r="C3" s="57">
        <v>0</v>
      </c>
      <c r="D3" s="58" t="e">
        <f>C3/B3</f>
        <v>#DIV/0!</v>
      </c>
    </row>
    <row r="4" spans="1:4">
      <c r="A4" s="56" t="s">
        <v>1729</v>
      </c>
      <c r="B4" s="57">
        <v>0</v>
      </c>
      <c r="C4" s="57">
        <v>0</v>
      </c>
      <c r="D4" s="58" t="e">
        <f t="shared" ref="D4:D9" si="0">C4/B4</f>
        <v>#DIV/0!</v>
      </c>
    </row>
    <row r="5" spans="1:4">
      <c r="A5" s="56" t="s">
        <v>1730</v>
      </c>
      <c r="B5" s="57">
        <v>0</v>
      </c>
      <c r="C5" s="57">
        <v>0</v>
      </c>
      <c r="D5" s="58" t="e">
        <f t="shared" si="0"/>
        <v>#DIV/0!</v>
      </c>
    </row>
    <row r="6" spans="1:4">
      <c r="A6" s="56" t="s">
        <v>1731</v>
      </c>
      <c r="B6" s="57">
        <v>0</v>
      </c>
      <c r="C6" s="57">
        <v>0</v>
      </c>
      <c r="D6" s="58" t="e">
        <f t="shared" si="0"/>
        <v>#DIV/0!</v>
      </c>
    </row>
    <row r="7" spans="1:4">
      <c r="A7" s="56" t="s">
        <v>1732</v>
      </c>
      <c r="B7" s="57">
        <v>0</v>
      </c>
      <c r="C7" s="57">
        <v>0</v>
      </c>
      <c r="D7" s="58" t="e">
        <f t="shared" si="0"/>
        <v>#DIV/0!</v>
      </c>
    </row>
    <row r="8" spans="1:4">
      <c r="A8" s="56" t="s">
        <v>515</v>
      </c>
      <c r="B8" s="57">
        <v>0</v>
      </c>
      <c r="C8" s="57">
        <v>0</v>
      </c>
      <c r="D8" s="58" t="e">
        <f t="shared" si="0"/>
        <v>#DIV/0!</v>
      </c>
    </row>
    <row r="9" spans="1:4" ht="15" thickBot="1">
      <c r="A9" s="56" t="s">
        <v>1740</v>
      </c>
      <c r="B9" s="59">
        <f>SUM(B3:B8)</f>
        <v>0</v>
      </c>
      <c r="C9" s="59">
        <f>SUM(C3:C8)</f>
        <v>0</v>
      </c>
      <c r="D9" s="60" t="e">
        <f t="shared" si="0"/>
        <v>#DIV/0!</v>
      </c>
    </row>
    <row r="10" spans="1:4" ht="15" thickTop="1"/>
  </sheetData>
  <phoneticPr fontId="0"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dimension ref="A1:C5"/>
  <sheetViews>
    <sheetView showGridLines="0" workbookViewId="0">
      <selection activeCell="B177" sqref="B177"/>
    </sheetView>
  </sheetViews>
  <sheetFormatPr defaultRowHeight="14.25"/>
  <cols>
    <col min="1" max="1" width="32.7109375" style="63" bestFit="1" customWidth="1"/>
    <col min="2" max="2" width="2.5703125" style="63" bestFit="1" customWidth="1"/>
    <col min="3" max="3" width="15.7109375" style="63" bestFit="1" customWidth="1"/>
    <col min="4" max="16384" width="9.140625" style="63"/>
  </cols>
  <sheetData>
    <row r="1" spans="1:3">
      <c r="A1" s="63" t="s">
        <v>1737</v>
      </c>
      <c r="B1" s="63" t="s">
        <v>2422</v>
      </c>
      <c r="C1" s="64">
        <v>40365127</v>
      </c>
    </row>
    <row r="2" spans="1:3">
      <c r="A2" s="63" t="s">
        <v>700</v>
      </c>
      <c r="B2" s="63" t="s">
        <v>2422</v>
      </c>
      <c r="C2" s="64">
        <v>2386923</v>
      </c>
    </row>
    <row r="3" spans="1:3">
      <c r="A3" s="63" t="s">
        <v>701</v>
      </c>
      <c r="B3" s="63" t="s">
        <v>2422</v>
      </c>
      <c r="C3" s="64">
        <v>18826978</v>
      </c>
    </row>
    <row r="4" spans="1:3" ht="15.75" thickBot="1">
      <c r="A4" s="67" t="s">
        <v>1740</v>
      </c>
      <c r="B4" s="66" t="s">
        <v>2422</v>
      </c>
      <c r="C4" s="65">
        <f>SUM(C1:C3)</f>
        <v>61579028</v>
      </c>
    </row>
    <row r="5" spans="1:3" ht="15" thickTop="1"/>
  </sheetData>
  <phoneticPr fontId="0"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dimension ref="A1:D10"/>
  <sheetViews>
    <sheetView showGridLines="0" topLeftCell="A4" workbookViewId="0">
      <selection activeCell="B177" sqref="B177"/>
    </sheetView>
  </sheetViews>
  <sheetFormatPr defaultRowHeight="14.25"/>
  <cols>
    <col min="1" max="1" width="23.7109375" style="63" bestFit="1" customWidth="1"/>
    <col min="2" max="2" width="18.85546875" style="63" bestFit="1" customWidth="1"/>
    <col min="3" max="3" width="9.140625" style="63" customWidth="1"/>
    <col min="4" max="4" width="18.85546875" style="63" bestFit="1" customWidth="1"/>
    <col min="5" max="16384" width="9.140625" style="63"/>
  </cols>
  <sheetData>
    <row r="1" spans="1:4" s="68" customFormat="1">
      <c r="B1" s="69" t="s">
        <v>664</v>
      </c>
      <c r="D1" s="69" t="s">
        <v>665</v>
      </c>
    </row>
    <row r="2" spans="1:4">
      <c r="A2" s="63" t="s">
        <v>666</v>
      </c>
      <c r="B2" s="70">
        <v>168458890</v>
      </c>
      <c r="C2" s="70"/>
      <c r="D2" s="70">
        <v>165967594</v>
      </c>
    </row>
    <row r="3" spans="1:4">
      <c r="A3" s="63" t="s">
        <v>667</v>
      </c>
      <c r="B3" s="70">
        <v>82775496</v>
      </c>
      <c r="C3" s="70"/>
      <c r="D3" s="70">
        <v>85148434</v>
      </c>
    </row>
    <row r="4" spans="1:4">
      <c r="A4" s="63" t="s">
        <v>668</v>
      </c>
      <c r="B4" s="70">
        <v>85683394</v>
      </c>
      <c r="C4" s="70"/>
      <c r="D4" s="70">
        <v>80819160</v>
      </c>
    </row>
    <row r="5" spans="1:4">
      <c r="A5" s="63" t="s">
        <v>704</v>
      </c>
      <c r="B5" s="72" t="str">
        <f>ROUND(B2/B3,2)&amp;":1"</f>
        <v>2.04:1</v>
      </c>
      <c r="C5" s="71"/>
      <c r="D5" s="72" t="str">
        <f>ROUND(D2/D3,2)&amp;":1"</f>
        <v>1.95:1</v>
      </c>
    </row>
    <row r="7" spans="1:4">
      <c r="B7" s="69" t="s">
        <v>664</v>
      </c>
      <c r="C7" s="68"/>
      <c r="D7" s="69" t="s">
        <v>665</v>
      </c>
    </row>
    <row r="8" spans="1:4">
      <c r="A8" s="63" t="s">
        <v>669</v>
      </c>
      <c r="B8" s="70">
        <v>550795503</v>
      </c>
      <c r="C8" s="70"/>
      <c r="D8" s="70">
        <v>517100408</v>
      </c>
    </row>
    <row r="9" spans="1:4">
      <c r="A9" s="63" t="s">
        <v>670</v>
      </c>
      <c r="B9" s="70">
        <v>235847500</v>
      </c>
      <c r="C9" s="70"/>
      <c r="D9" s="70">
        <v>224653034</v>
      </c>
    </row>
    <row r="10" spans="1:4">
      <c r="A10" s="63" t="s">
        <v>705</v>
      </c>
      <c r="B10" s="72" t="str">
        <f>ROUND(B8/B9,2)&amp;":1"</f>
        <v>2.34:1</v>
      </c>
      <c r="C10" s="71"/>
      <c r="D10" s="72" t="str">
        <f>ROUND(D8/D9,2)&amp;":1"</f>
        <v>2.3:1</v>
      </c>
    </row>
  </sheetData>
  <phoneticPr fontId="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sheetPr>
    <pageSetUpPr fitToPage="1"/>
  </sheetPr>
  <dimension ref="A1:X125"/>
  <sheetViews>
    <sheetView tabSelected="1" view="pageBreakPreview" topLeftCell="A7" zoomScaleSheetLayoutView="100" workbookViewId="0">
      <selection activeCell="B43" sqref="B43"/>
    </sheetView>
  </sheetViews>
  <sheetFormatPr defaultRowHeight="12.75"/>
  <cols>
    <col min="1" max="1" width="36.7109375" style="670" bestFit="1" customWidth="1"/>
    <col min="2" max="2" width="9.28515625" style="657" bestFit="1" customWidth="1"/>
    <col min="3" max="3" width="18.140625" style="657" customWidth="1"/>
    <col min="4" max="4" width="4.140625" style="657" customWidth="1"/>
    <col min="5" max="5" width="21.28515625" style="655" bestFit="1" customWidth="1"/>
    <col min="6" max="6" width="4" style="655" customWidth="1"/>
    <col min="7" max="7" width="20.140625" style="655" hidden="1" customWidth="1"/>
    <col min="8" max="8" width="3" style="670" hidden="1" customWidth="1"/>
    <col min="9" max="9" width="5.42578125" style="685" hidden="1" customWidth="1"/>
    <col min="10" max="10" width="14.5703125" style="655" hidden="1" customWidth="1"/>
    <col min="11" max="11" width="14.5703125" style="655" bestFit="1" customWidth="1"/>
    <col min="12" max="13" width="12.28515625" style="655" bestFit="1" customWidth="1"/>
    <col min="14" max="14" width="11.85546875" style="685" bestFit="1" customWidth="1"/>
    <col min="15" max="15" width="11.28515625" style="685" bestFit="1" customWidth="1"/>
    <col min="16" max="16" width="9.28515625" style="685" bestFit="1" customWidth="1"/>
    <col min="17" max="19" width="9.140625" style="685" customWidth="1"/>
    <col min="20" max="16384" width="9.140625" style="670"/>
  </cols>
  <sheetData>
    <row r="1" spans="1:23" s="913" customFormat="1" ht="16.5" thickTop="1">
      <c r="A1" s="1787" t="s">
        <v>703</v>
      </c>
      <c r="B1" s="1788"/>
      <c r="C1" s="1788"/>
      <c r="D1" s="1788"/>
      <c r="E1" s="1789"/>
      <c r="F1" s="1457"/>
      <c r="G1" s="1457"/>
      <c r="H1" s="1194"/>
      <c r="I1" s="544"/>
      <c r="J1" s="1195"/>
      <c r="K1" s="1196"/>
      <c r="L1" s="1196"/>
      <c r="M1" s="1196"/>
      <c r="N1" s="1197"/>
      <c r="O1" s="544"/>
      <c r="P1" s="544"/>
      <c r="Q1" s="544"/>
      <c r="R1" s="544"/>
      <c r="S1" s="544"/>
    </row>
    <row r="2" spans="1:23" s="913" customFormat="1" ht="15.75">
      <c r="A2" s="1790" t="s">
        <v>1107</v>
      </c>
      <c r="B2" s="1791"/>
      <c r="C2" s="1791"/>
      <c r="D2" s="1791"/>
      <c r="E2" s="1792"/>
      <c r="F2" s="1320"/>
      <c r="G2" s="1320"/>
      <c r="H2" s="1198"/>
      <c r="I2" s="544"/>
      <c r="J2" s="655"/>
      <c r="K2" s="655"/>
      <c r="L2" s="655"/>
      <c r="M2" s="1196"/>
      <c r="N2" s="1197"/>
      <c r="O2" s="544"/>
      <c r="P2" s="544"/>
      <c r="Q2" s="544"/>
      <c r="R2" s="544"/>
      <c r="S2" s="544"/>
    </row>
    <row r="3" spans="1:23" s="913" customFormat="1" ht="15.75">
      <c r="A3" s="1793" t="s">
        <v>3498</v>
      </c>
      <c r="B3" s="1791"/>
      <c r="C3" s="1791"/>
      <c r="D3" s="1791"/>
      <c r="E3" s="1792"/>
      <c r="F3" s="1321"/>
      <c r="G3" s="1321"/>
      <c r="H3" s="1198"/>
      <c r="I3" s="544"/>
      <c r="J3" s="655"/>
      <c r="K3" s="655"/>
      <c r="L3" s="655"/>
      <c r="M3" s="1196"/>
      <c r="N3" s="1197"/>
      <c r="O3" s="544"/>
      <c r="P3" s="544"/>
      <c r="Q3" s="544"/>
      <c r="R3" s="544"/>
      <c r="S3" s="544"/>
    </row>
    <row r="4" spans="1:23">
      <c r="A4" s="1438"/>
      <c r="E4" s="1439"/>
      <c r="H4" s="681"/>
    </row>
    <row r="5" spans="1:23">
      <c r="A5" s="1438"/>
      <c r="E5" s="1439"/>
      <c r="H5" s="681"/>
      <c r="K5" s="1199"/>
    </row>
    <row r="6" spans="1:23">
      <c r="A6" s="1438"/>
      <c r="C6" s="704" t="s">
        <v>3484</v>
      </c>
      <c r="E6" s="1440" t="s">
        <v>2651</v>
      </c>
      <c r="F6" s="706"/>
      <c r="G6" s="1455" t="s">
        <v>1634</v>
      </c>
      <c r="H6" s="681"/>
      <c r="I6" s="685" t="s">
        <v>702</v>
      </c>
      <c r="J6" s="685"/>
      <c r="K6" s="1199"/>
      <c r="N6" s="655"/>
      <c r="O6" s="655"/>
      <c r="T6" s="685"/>
      <c r="U6" s="685"/>
    </row>
    <row r="7" spans="1:23">
      <c r="A7" s="1438"/>
      <c r="B7" s="703" t="s">
        <v>1106</v>
      </c>
      <c r="C7" s="703"/>
      <c r="D7" s="703"/>
      <c r="E7" s="1441" t="s">
        <v>2422</v>
      </c>
      <c r="F7" s="706"/>
      <c r="G7" s="706" t="s">
        <v>2422</v>
      </c>
      <c r="H7" s="681"/>
      <c r="J7" s="685"/>
      <c r="K7" s="685"/>
      <c r="L7" s="683"/>
      <c r="M7" s="683"/>
      <c r="N7" s="683"/>
      <c r="O7" s="655"/>
      <c r="T7" s="685"/>
      <c r="U7" s="685"/>
    </row>
    <row r="8" spans="1:23" ht="15">
      <c r="A8" s="1442" t="s">
        <v>671</v>
      </c>
      <c r="E8" s="1439"/>
      <c r="H8" s="681"/>
      <c r="J8" s="916" t="s">
        <v>2675</v>
      </c>
      <c r="K8" s="916" t="s">
        <v>3991</v>
      </c>
      <c r="L8" s="1028" t="s">
        <v>3992</v>
      </c>
      <c r="N8" s="655"/>
      <c r="O8" s="655"/>
      <c r="T8" s="685"/>
      <c r="U8" s="685"/>
    </row>
    <row r="9" spans="1:23" s="682" customFormat="1">
      <c r="A9" s="1442" t="s">
        <v>672</v>
      </c>
      <c r="B9" s="703"/>
      <c r="C9" s="667">
        <f>SUM(C10:C14)</f>
        <v>150049825.20999998</v>
      </c>
      <c r="D9" s="703"/>
      <c r="E9" s="1443">
        <f>SUM(E10:E14)</f>
        <v>186048397.84</v>
      </c>
      <c r="F9" s="683"/>
      <c r="G9" s="667">
        <f>SUM(G10:G14)</f>
        <v>111011651.59</v>
      </c>
      <c r="H9" s="689"/>
      <c r="I9" s="916"/>
      <c r="J9" s="683"/>
      <c r="K9" s="667">
        <f>SUM(K10:K14)</f>
        <v>157282592</v>
      </c>
      <c r="L9" s="655"/>
      <c r="M9" s="655"/>
      <c r="N9" s="655"/>
      <c r="O9" s="683"/>
      <c r="P9" s="916"/>
      <c r="Q9" s="916"/>
      <c r="R9" s="916"/>
      <c r="S9" s="916"/>
      <c r="T9" s="916"/>
      <c r="U9" s="916"/>
    </row>
    <row r="10" spans="1:23" hidden="1">
      <c r="A10" s="1438" t="s">
        <v>673</v>
      </c>
      <c r="B10" s="657">
        <v>3</v>
      </c>
      <c r="E10" s="1444">
        <v>0</v>
      </c>
      <c r="G10" s="734">
        <v>0</v>
      </c>
      <c r="H10" s="681"/>
      <c r="I10" s="685" t="s">
        <v>441</v>
      </c>
      <c r="J10" s="685">
        <f>E10-G10</f>
        <v>0</v>
      </c>
      <c r="K10" s="685"/>
      <c r="N10" s="655"/>
      <c r="O10" s="655"/>
      <c r="T10" s="685"/>
      <c r="U10" s="685"/>
    </row>
    <row r="11" spans="1:23" hidden="1">
      <c r="A11" s="1438" t="s">
        <v>2135</v>
      </c>
      <c r="B11" s="657">
        <v>2</v>
      </c>
      <c r="E11" s="1444">
        <f>'Notes 2 - 9'!H7</f>
        <v>0</v>
      </c>
      <c r="G11" s="734">
        <f>-'Notes 2 - 9'!L7</f>
        <v>0</v>
      </c>
      <c r="H11" s="681"/>
      <c r="J11" s="685">
        <f>E11-G11</f>
        <v>0</v>
      </c>
      <c r="K11" s="685"/>
      <c r="N11" s="655"/>
      <c r="O11" s="655"/>
      <c r="P11" s="655"/>
      <c r="T11" s="685"/>
      <c r="U11" s="685"/>
      <c r="V11" s="685"/>
      <c r="W11" s="685"/>
    </row>
    <row r="12" spans="1:23" hidden="1">
      <c r="A12" s="1438" t="s">
        <v>674</v>
      </c>
      <c r="B12" s="657">
        <v>3</v>
      </c>
      <c r="E12" s="1444">
        <v>0</v>
      </c>
      <c r="G12" s="734">
        <v>0</v>
      </c>
      <c r="H12" s="681"/>
      <c r="I12" s="685" t="s">
        <v>441</v>
      </c>
      <c r="J12" s="685">
        <f>E12-G12</f>
        <v>0</v>
      </c>
      <c r="K12" s="685"/>
      <c r="N12" s="655"/>
      <c r="O12" s="655"/>
      <c r="P12" s="655"/>
      <c r="T12" s="685"/>
      <c r="U12" s="685"/>
      <c r="V12" s="685"/>
      <c r="W12" s="685"/>
    </row>
    <row r="13" spans="1:23">
      <c r="A13" s="1438" t="s">
        <v>1738</v>
      </c>
      <c r="B13" s="657">
        <v>3</v>
      </c>
      <c r="C13" s="659">
        <f>SUM('Notes 2 - 9'!D35)</f>
        <v>63859283</v>
      </c>
      <c r="E13" s="1444">
        <f>SUM('Notes 2 - 9'!H35)</f>
        <v>82528503</v>
      </c>
      <c r="G13" s="734">
        <f>SUM('Notes 2 - 9'!H35)</f>
        <v>82528503</v>
      </c>
      <c r="H13" s="681"/>
      <c r="J13" s="685">
        <f>E13-G13</f>
        <v>0</v>
      </c>
      <c r="K13" s="685">
        <v>82528503</v>
      </c>
      <c r="L13" s="655">
        <f>C13-K13</f>
        <v>-18669220</v>
      </c>
      <c r="N13" s="655"/>
      <c r="O13" s="655"/>
      <c r="P13" s="655"/>
      <c r="T13" s="685"/>
      <c r="U13" s="685"/>
      <c r="V13" s="685"/>
      <c r="W13" s="685"/>
    </row>
    <row r="14" spans="1:23">
      <c r="A14" s="1438" t="s">
        <v>675</v>
      </c>
      <c r="B14" s="657" t="s">
        <v>3757</v>
      </c>
      <c r="C14" s="482">
        <f>+SUM('Notes 2 - 9'!D53)-'Notes 2 - 9'!D19-'Notes 2 - 9'!D27</f>
        <v>86190542.209999993</v>
      </c>
      <c r="E14" s="1445">
        <f>+SUM('Notes 2 - 9'!H53)-'Notes 2 - 9'!H19-'Notes 2 - 9'!H27</f>
        <v>103519894.84</v>
      </c>
      <c r="G14" s="917">
        <f>+SUM('Notes 2 - 9'!L53)-'Notes 2 - 9'!L19-'Notes 2 - 9'!L27</f>
        <v>28483148.589999996</v>
      </c>
      <c r="H14" s="681"/>
      <c r="I14" s="685" t="s">
        <v>441</v>
      </c>
      <c r="J14" s="685">
        <f>C14-E14</f>
        <v>-17329352.63000001</v>
      </c>
      <c r="K14" s="685">
        <v>74754089</v>
      </c>
      <c r="L14" s="655">
        <f t="shared" ref="L14:L47" si="0">C14-K14</f>
        <v>11436453.209999993</v>
      </c>
      <c r="N14" s="683"/>
      <c r="O14" s="683"/>
      <c r="P14" s="655"/>
      <c r="T14" s="685"/>
      <c r="U14" s="685"/>
      <c r="V14" s="685"/>
    </row>
    <row r="15" spans="1:23">
      <c r="A15" s="1442"/>
      <c r="E15" s="1439"/>
      <c r="H15" s="681"/>
      <c r="J15" s="685"/>
      <c r="K15" s="685"/>
      <c r="L15" s="655">
        <f t="shared" si="0"/>
        <v>0</v>
      </c>
      <c r="N15" s="655"/>
      <c r="O15" s="655"/>
      <c r="P15" s="655"/>
      <c r="T15" s="685"/>
      <c r="U15" s="685"/>
      <c r="V15" s="685"/>
    </row>
    <row r="16" spans="1:23" s="682" customFormat="1">
      <c r="A16" s="1442" t="s">
        <v>676</v>
      </c>
      <c r="B16" s="703"/>
      <c r="C16" s="655">
        <f>SUM(C17:C18)</f>
        <v>15074478.74</v>
      </c>
      <c r="D16" s="703"/>
      <c r="E16" s="1446">
        <f>SUM(E17)</f>
        <v>18423854.859999999</v>
      </c>
      <c r="F16" s="683"/>
      <c r="G16" s="683">
        <f>SUM(G17)</f>
        <v>9333047</v>
      </c>
      <c r="H16" s="689"/>
      <c r="I16" s="685">
        <f>+E16+E26-G16-G26</f>
        <v>10394497.739999998</v>
      </c>
      <c r="J16" s="685"/>
      <c r="K16" s="683">
        <f>SUM(K17:K18)</f>
        <v>14977006</v>
      </c>
      <c r="L16" s="655">
        <f t="shared" si="0"/>
        <v>97472.740000000224</v>
      </c>
      <c r="M16" s="655"/>
      <c r="N16" s="655"/>
      <c r="O16" s="655"/>
      <c r="P16" s="683"/>
      <c r="Q16" s="916"/>
      <c r="R16" s="916"/>
      <c r="S16" s="916"/>
      <c r="T16" s="916"/>
      <c r="U16" s="916"/>
      <c r="V16" s="916"/>
    </row>
    <row r="17" spans="1:24">
      <c r="A17" s="1438" t="s">
        <v>677</v>
      </c>
      <c r="B17" s="657">
        <v>5</v>
      </c>
      <c r="C17" s="656">
        <f>'Notes 2 - 9'!D67</f>
        <v>15074478.74</v>
      </c>
      <c r="E17" s="1447">
        <f>'Notes 2 - 9'!H67</f>
        <v>18423854.859999999</v>
      </c>
      <c r="G17" s="1456">
        <f>'Notes 2 - 9'!L67</f>
        <v>9333047</v>
      </c>
      <c r="H17" s="681"/>
      <c r="I17" s="685">
        <f>+E17-G17</f>
        <v>9090807.8599999994</v>
      </c>
      <c r="J17" s="685">
        <f>C17-E17</f>
        <v>-3349376.1199999992</v>
      </c>
      <c r="K17" s="685">
        <v>14977006</v>
      </c>
      <c r="L17" s="655">
        <f t="shared" si="0"/>
        <v>97472.740000000224</v>
      </c>
      <c r="N17" s="655"/>
      <c r="O17" s="655"/>
      <c r="P17" s="655"/>
      <c r="T17" s="685"/>
      <c r="U17" s="685"/>
      <c r="V17" s="685"/>
    </row>
    <row r="18" spans="1:24" hidden="1">
      <c r="A18" s="1438" t="s">
        <v>678</v>
      </c>
      <c r="B18" s="657">
        <v>5</v>
      </c>
      <c r="E18" s="1445" t="e">
        <f>'Notes 2 - 9'!#REF!</f>
        <v>#REF!</v>
      </c>
      <c r="G18" s="917" t="e">
        <f>'Notes 2 - 9'!#REF!</f>
        <v>#REF!</v>
      </c>
      <c r="H18" s="681"/>
      <c r="I18" s="685" t="e">
        <f t="shared" ref="I18:I47" si="1">+E18-G18</f>
        <v>#REF!</v>
      </c>
      <c r="J18" s="685" t="e">
        <f>E18-G18</f>
        <v>#REF!</v>
      </c>
      <c r="K18" s="685"/>
      <c r="L18" s="655">
        <f t="shared" si="0"/>
        <v>0</v>
      </c>
      <c r="N18" s="683"/>
      <c r="O18" s="683"/>
      <c r="P18" s="655"/>
      <c r="T18" s="685"/>
      <c r="U18" s="685"/>
      <c r="V18" s="685"/>
    </row>
    <row r="19" spans="1:24">
      <c r="A19" s="1442"/>
      <c r="E19" s="1439"/>
      <c r="H19" s="681"/>
      <c r="I19" s="685">
        <f t="shared" si="1"/>
        <v>0</v>
      </c>
      <c r="J19" s="685"/>
      <c r="K19" s="685"/>
      <c r="L19" s="655">
        <f t="shared" si="0"/>
        <v>0</v>
      </c>
      <c r="N19" s="655"/>
      <c r="O19" s="655"/>
      <c r="P19" s="655"/>
      <c r="T19" s="685"/>
      <c r="U19" s="685"/>
      <c r="V19" s="685"/>
    </row>
    <row r="20" spans="1:24" s="682" customFormat="1">
      <c r="A20" s="1442" t="s">
        <v>667</v>
      </c>
      <c r="B20" s="703"/>
      <c r="C20" s="655">
        <f>SUM(C21:C26)</f>
        <v>76852563.379999995</v>
      </c>
      <c r="D20" s="703"/>
      <c r="E20" s="1446">
        <f>SUM(E21:E26)</f>
        <v>47059207.61999999</v>
      </c>
      <c r="F20" s="683"/>
      <c r="G20" s="683">
        <f>SUM(G21:G26)</f>
        <v>23621111.619999997</v>
      </c>
      <c r="H20" s="689"/>
      <c r="I20" s="685">
        <f t="shared" si="1"/>
        <v>23438095.999999993</v>
      </c>
      <c r="J20" s="685"/>
      <c r="K20" s="683">
        <f>SUM(K21:K26)</f>
        <v>73526205</v>
      </c>
      <c r="L20" s="655">
        <f t="shared" si="0"/>
        <v>3326358.3799999952</v>
      </c>
      <c r="M20" s="655"/>
      <c r="N20" s="655"/>
      <c r="O20" s="655"/>
      <c r="P20" s="683"/>
      <c r="Q20" s="916"/>
      <c r="R20" s="916"/>
      <c r="S20" s="916"/>
      <c r="T20" s="916"/>
      <c r="U20" s="916"/>
      <c r="V20" s="916"/>
    </row>
    <row r="21" spans="1:24">
      <c r="A21" s="1438" t="s">
        <v>679</v>
      </c>
      <c r="B21" s="657">
        <v>6</v>
      </c>
      <c r="C21" s="658">
        <f>'Notes 2 - 9'!D105</f>
        <v>2799761.71</v>
      </c>
      <c r="E21" s="1448">
        <f>'Notes 2 - 9'!H105</f>
        <v>1830953.44</v>
      </c>
      <c r="G21" s="953">
        <f>'Notes 2 - 9'!L105</f>
        <v>1561547</v>
      </c>
      <c r="H21" s="681"/>
      <c r="I21" s="685">
        <f t="shared" si="1"/>
        <v>269406.43999999994</v>
      </c>
      <c r="J21" s="685">
        <f t="shared" ref="J21:J26" si="2">C21-E21</f>
        <v>968808.27</v>
      </c>
      <c r="K21" s="685">
        <v>2799762</v>
      </c>
      <c r="L21" s="655">
        <f t="shared" si="0"/>
        <v>-0.2900000000372529</v>
      </c>
      <c r="N21" s="655"/>
      <c r="O21" s="655"/>
      <c r="P21" s="655"/>
      <c r="T21" s="685"/>
      <c r="U21" s="685"/>
      <c r="V21" s="685"/>
    </row>
    <row r="22" spans="1:24">
      <c r="A22" s="1438" t="s">
        <v>680</v>
      </c>
      <c r="B22" s="657">
        <v>7</v>
      </c>
      <c r="C22" s="659">
        <f>-SUM('Notes 2 - 9'!D112)</f>
        <v>1847610.7100000002</v>
      </c>
      <c r="E22" s="1444">
        <f>-SUM('Notes 2 - 9'!H112)</f>
        <v>1435291.7100000002</v>
      </c>
      <c r="G22" s="734">
        <f>-'Notes 2 - 9'!L112</f>
        <v>233875.09</v>
      </c>
      <c r="H22" s="681"/>
      <c r="I22" s="685">
        <f t="shared" si="1"/>
        <v>1201416.6200000001</v>
      </c>
      <c r="J22" s="685">
        <f t="shared" si="2"/>
        <v>412319</v>
      </c>
      <c r="K22" s="916">
        <v>4514430</v>
      </c>
      <c r="L22" s="655">
        <f t="shared" si="0"/>
        <v>-2666819.29</v>
      </c>
      <c r="N22" s="655"/>
      <c r="O22" s="655"/>
      <c r="P22" s="655"/>
      <c r="T22" s="685"/>
      <c r="U22" s="685"/>
      <c r="V22" s="685"/>
      <c r="W22" s="685"/>
      <c r="X22" s="685"/>
    </row>
    <row r="23" spans="1:24">
      <c r="A23" s="1438" t="s">
        <v>2455</v>
      </c>
      <c r="B23" s="657">
        <v>8</v>
      </c>
      <c r="C23" s="659">
        <f>'Notes 2 - 9'!D144</f>
        <v>57378392.019999996</v>
      </c>
      <c r="E23" s="1444">
        <f>'Notes 2 - 9'!H144</f>
        <v>34550984.679999992</v>
      </c>
      <c r="G23" s="734">
        <f>'Notes 2 - 9'!L144</f>
        <v>14739070.719999999</v>
      </c>
      <c r="H23" s="681"/>
      <c r="I23" s="685">
        <f t="shared" si="1"/>
        <v>19811913.959999993</v>
      </c>
      <c r="J23" s="685">
        <f t="shared" si="2"/>
        <v>22827407.340000004</v>
      </c>
      <c r="K23" s="685">
        <v>50342571</v>
      </c>
      <c r="L23" s="655">
        <f t="shared" si="0"/>
        <v>7035821.0199999958</v>
      </c>
      <c r="N23" s="655"/>
      <c r="O23" s="655"/>
      <c r="P23" s="655"/>
      <c r="T23" s="685"/>
      <c r="U23" s="685"/>
      <c r="V23" s="685"/>
      <c r="W23" s="685"/>
      <c r="X23" s="685"/>
    </row>
    <row r="24" spans="1:24">
      <c r="A24" s="1438" t="s">
        <v>3314</v>
      </c>
      <c r="B24" s="657">
        <v>8</v>
      </c>
      <c r="C24" s="659">
        <f>'Notes 2 - 9'!D146</f>
        <v>1401169.7599999979</v>
      </c>
      <c r="E24" s="1444">
        <f>'Notes 2 - 9'!H146</f>
        <v>1080381.6899999976</v>
      </c>
      <c r="G24" s="734">
        <f>'Notes 2 - 9'!L146</f>
        <v>1410492.7199999997</v>
      </c>
      <c r="H24" s="681"/>
      <c r="J24" s="685">
        <f t="shared" si="2"/>
        <v>320788.0700000003</v>
      </c>
      <c r="K24" s="685">
        <v>2443813</v>
      </c>
      <c r="L24" s="655">
        <f t="shared" si="0"/>
        <v>-1042643.2400000021</v>
      </c>
      <c r="N24" s="655"/>
      <c r="O24" s="655"/>
      <c r="P24" s="655"/>
      <c r="T24" s="685"/>
      <c r="U24" s="685"/>
      <c r="V24" s="685"/>
      <c r="W24" s="685"/>
      <c r="X24" s="685"/>
    </row>
    <row r="25" spans="1:24">
      <c r="A25" s="1438" t="s">
        <v>681</v>
      </c>
      <c r="B25" s="657">
        <v>9</v>
      </c>
      <c r="C25" s="659">
        <f>'Notes 2 - 9'!D162</f>
        <v>9004553.2599999998</v>
      </c>
      <c r="E25" s="1444">
        <f>'Notes 2 - 9'!H162</f>
        <v>4955625.2200000007</v>
      </c>
      <c r="G25" s="734">
        <f>SUM('Notes 2 - 9'!L162)</f>
        <v>3773845.09</v>
      </c>
      <c r="H25" s="681"/>
      <c r="I25" s="685">
        <f t="shared" si="1"/>
        <v>1181780.1300000008</v>
      </c>
      <c r="J25" s="685">
        <f t="shared" si="2"/>
        <v>4048928.0399999991</v>
      </c>
      <c r="K25" s="685">
        <v>9004553</v>
      </c>
      <c r="L25" s="655">
        <f t="shared" si="0"/>
        <v>0.25999999977648258</v>
      </c>
      <c r="N25" s="655"/>
      <c r="O25" s="655"/>
      <c r="P25" s="655"/>
      <c r="T25" s="685"/>
      <c r="U25" s="685"/>
      <c r="V25" s="685"/>
      <c r="W25" s="685"/>
      <c r="X25" s="685"/>
    </row>
    <row r="26" spans="1:24">
      <c r="A26" s="1438" t="s">
        <v>1092</v>
      </c>
      <c r="B26" s="657">
        <v>5</v>
      </c>
      <c r="C26" s="482">
        <f>-'Notes 2 - 9'!D65</f>
        <v>4421075.92</v>
      </c>
      <c r="E26" s="1445">
        <f>-'Notes 2 - 9'!H65</f>
        <v>3205970.88</v>
      </c>
      <c r="G26" s="917">
        <f>-'Notes 2 - 9'!L65</f>
        <v>1902281</v>
      </c>
      <c r="H26" s="681"/>
      <c r="I26" s="685">
        <f t="shared" si="1"/>
        <v>1303689.8799999999</v>
      </c>
      <c r="J26" s="685">
        <f t="shared" si="2"/>
        <v>1215105.04</v>
      </c>
      <c r="K26" s="685">
        <v>4421076</v>
      </c>
      <c r="L26" s="655">
        <f t="shared" si="0"/>
        <v>-8.0000000074505806E-2</v>
      </c>
      <c r="N26" s="683"/>
      <c r="O26" s="683"/>
      <c r="P26" s="683"/>
      <c r="Q26" s="916"/>
      <c r="R26" s="916"/>
      <c r="T26" s="685"/>
      <c r="U26" s="685"/>
      <c r="V26" s="685"/>
    </row>
    <row r="27" spans="1:24">
      <c r="A27" s="1438"/>
      <c r="E27" s="1439"/>
      <c r="H27" s="681"/>
      <c r="I27" s="685">
        <f t="shared" si="1"/>
        <v>0</v>
      </c>
      <c r="J27" s="685">
        <f>E27-G27</f>
        <v>0</v>
      </c>
      <c r="K27" s="685"/>
      <c r="L27" s="655">
        <f t="shared" si="0"/>
        <v>0</v>
      </c>
      <c r="N27" s="655"/>
      <c r="O27" s="655"/>
      <c r="P27" s="655"/>
      <c r="T27" s="685"/>
      <c r="U27" s="685"/>
      <c r="V27" s="685"/>
    </row>
    <row r="28" spans="1:24" s="682" customFormat="1">
      <c r="A28" s="1449" t="s">
        <v>1093</v>
      </c>
      <c r="B28" s="703"/>
      <c r="C28" s="683">
        <f>C20+C16+C9</f>
        <v>241976867.32999998</v>
      </c>
      <c r="D28" s="703"/>
      <c r="E28" s="1446">
        <f>E20+E16+E9</f>
        <v>251531460.31999999</v>
      </c>
      <c r="F28" s="683"/>
      <c r="G28" s="683">
        <f>G20+G16+G9</f>
        <v>143965810.21000001</v>
      </c>
      <c r="H28" s="689"/>
      <c r="I28" s="685">
        <f t="shared" si="1"/>
        <v>107565650.10999998</v>
      </c>
      <c r="J28" s="685"/>
      <c r="K28" s="683">
        <f>K20+K16+K9</f>
        <v>245785803</v>
      </c>
      <c r="L28" s="655">
        <f t="shared" si="0"/>
        <v>-3808935.6700000167</v>
      </c>
      <c r="M28" s="655"/>
      <c r="N28" s="655"/>
      <c r="O28" s="655"/>
      <c r="P28" s="683"/>
      <c r="Q28" s="685"/>
      <c r="R28" s="916"/>
      <c r="S28" s="916"/>
      <c r="T28" s="916"/>
      <c r="U28" s="916"/>
      <c r="V28" s="916"/>
    </row>
    <row r="29" spans="1:24">
      <c r="A29" s="1442"/>
      <c r="E29" s="1439"/>
      <c r="H29" s="681"/>
      <c r="I29" s="685">
        <f t="shared" si="1"/>
        <v>0</v>
      </c>
      <c r="J29" s="685"/>
      <c r="K29" s="685"/>
      <c r="L29" s="655">
        <f t="shared" si="0"/>
        <v>0</v>
      </c>
      <c r="N29" s="683"/>
      <c r="O29" s="683"/>
      <c r="P29" s="655"/>
      <c r="T29" s="685"/>
      <c r="U29" s="685"/>
      <c r="V29" s="685"/>
    </row>
    <row r="30" spans="1:24">
      <c r="A30" s="1442" t="s">
        <v>1094</v>
      </c>
      <c r="E30" s="1439"/>
      <c r="H30" s="681"/>
      <c r="I30" s="685">
        <f t="shared" si="1"/>
        <v>0</v>
      </c>
      <c r="J30" s="685"/>
      <c r="K30" s="685"/>
      <c r="L30" s="655">
        <f t="shared" si="0"/>
        <v>0</v>
      </c>
      <c r="N30" s="655"/>
      <c r="O30" s="655"/>
      <c r="P30" s="655"/>
      <c r="T30" s="685"/>
      <c r="U30" s="685"/>
      <c r="V30" s="685"/>
    </row>
    <row r="31" spans="1:24" s="682" customFormat="1">
      <c r="A31" s="1442" t="s">
        <v>1095</v>
      </c>
      <c r="B31" s="703"/>
      <c r="C31" s="660">
        <f>SUM(C32:C36)</f>
        <v>136003049.31999999</v>
      </c>
      <c r="D31" s="703"/>
      <c r="E31" s="1446">
        <f>SUM(E32:E36)</f>
        <v>144034186</v>
      </c>
      <c r="F31" s="683"/>
      <c r="G31" s="683">
        <f>SUM(G32:G37)</f>
        <v>125294408</v>
      </c>
      <c r="H31" s="689"/>
      <c r="I31" s="685">
        <f t="shared" si="1"/>
        <v>18739778</v>
      </c>
      <c r="J31" s="685"/>
      <c r="K31" s="683">
        <f>SUM(K32:K37)</f>
        <v>133832932</v>
      </c>
      <c r="L31" s="655">
        <f t="shared" si="0"/>
        <v>2170117.3199999928</v>
      </c>
      <c r="M31" s="655"/>
      <c r="N31" s="655"/>
      <c r="O31" s="655"/>
      <c r="P31" s="683"/>
      <c r="Q31" s="916"/>
      <c r="R31" s="916"/>
      <c r="S31" s="916"/>
      <c r="T31" s="916"/>
      <c r="U31" s="916"/>
      <c r="V31" s="916"/>
    </row>
    <row r="32" spans="1:24">
      <c r="A32" s="1438" t="s">
        <v>1097</v>
      </c>
      <c r="B32" s="657">
        <v>10</v>
      </c>
      <c r="C32" s="661">
        <f>'Note 10'!H22</f>
        <v>98113310.170000002</v>
      </c>
      <c r="E32" s="1448">
        <v>93998959</v>
      </c>
      <c r="G32" s="953">
        <v>121160598</v>
      </c>
      <c r="H32" s="681"/>
      <c r="I32" s="685">
        <f t="shared" si="1"/>
        <v>-27161639</v>
      </c>
      <c r="J32" s="685">
        <f>C32-E32</f>
        <v>4114351.1700000018</v>
      </c>
      <c r="K32" s="685">
        <v>96332912</v>
      </c>
      <c r="L32" s="655">
        <f t="shared" si="0"/>
        <v>1780398.1700000018</v>
      </c>
      <c r="N32" s="655"/>
      <c r="O32" s="655"/>
      <c r="P32" s="655"/>
      <c r="T32" s="685"/>
      <c r="U32" s="685"/>
      <c r="V32" s="685"/>
    </row>
    <row r="33" spans="1:23">
      <c r="A33" s="1438" t="s">
        <v>3151</v>
      </c>
      <c r="B33" s="1200" t="s">
        <v>3301</v>
      </c>
      <c r="C33" s="659">
        <f>'Nota 10a'!D23</f>
        <v>172094.46</v>
      </c>
      <c r="D33" s="1200"/>
      <c r="E33" s="1444">
        <v>562</v>
      </c>
      <c r="G33" s="734">
        <v>0</v>
      </c>
      <c r="H33" s="681"/>
      <c r="J33" s="685">
        <f>C33-E33</f>
        <v>171532.46</v>
      </c>
      <c r="K33" s="685">
        <v>375</v>
      </c>
      <c r="L33" s="655">
        <f t="shared" si="0"/>
        <v>171719.46</v>
      </c>
      <c r="N33" s="655"/>
      <c r="O33" s="655"/>
      <c r="P33" s="655"/>
      <c r="T33" s="685"/>
      <c r="U33" s="685"/>
      <c r="V33" s="685"/>
    </row>
    <row r="34" spans="1:23">
      <c r="A34" s="1438" t="s">
        <v>3152</v>
      </c>
      <c r="B34" s="1201" t="s">
        <v>3302</v>
      </c>
      <c r="C34" s="662">
        <f>'App B (2)'!M36</f>
        <v>35706000</v>
      </c>
      <c r="D34" s="1201"/>
      <c r="E34" s="1444">
        <v>49530850</v>
      </c>
      <c r="G34" s="734">
        <v>0</v>
      </c>
      <c r="H34" s="681"/>
      <c r="J34" s="685">
        <f>C34-E34</f>
        <v>-13824850</v>
      </c>
      <c r="K34" s="685">
        <v>35488000</v>
      </c>
      <c r="L34" s="655">
        <f t="shared" si="0"/>
        <v>218000</v>
      </c>
      <c r="N34" s="655"/>
      <c r="O34" s="655"/>
      <c r="P34" s="655"/>
      <c r="T34" s="685"/>
      <c r="U34" s="685"/>
      <c r="V34" s="685"/>
    </row>
    <row r="35" spans="1:23">
      <c r="A35" s="1438" t="s">
        <v>1098</v>
      </c>
      <c r="B35" s="657">
        <v>37</v>
      </c>
      <c r="C35" s="663"/>
      <c r="E35" s="1444">
        <v>0</v>
      </c>
      <c r="G35" s="734">
        <v>0</v>
      </c>
      <c r="H35" s="681"/>
      <c r="I35" s="685">
        <f t="shared" si="1"/>
        <v>0</v>
      </c>
      <c r="J35" s="685">
        <f t="shared" ref="J35:J44" si="3">E35-G35</f>
        <v>0</v>
      </c>
      <c r="K35" s="685"/>
      <c r="L35" s="655">
        <f t="shared" si="0"/>
        <v>0</v>
      </c>
      <c r="N35" s="655"/>
      <c r="O35" s="655"/>
      <c r="P35" s="655"/>
      <c r="T35" s="685"/>
      <c r="U35" s="685"/>
      <c r="V35" s="685"/>
    </row>
    <row r="36" spans="1:23">
      <c r="A36" s="1438" t="s">
        <v>1099</v>
      </c>
      <c r="B36" s="657">
        <v>12</v>
      </c>
      <c r="C36" s="664">
        <f>'main TB'!O178+'main TB'!O176</f>
        <v>2011644.69</v>
      </c>
      <c r="E36" s="1445">
        <f>SUM('Note 11-14'!F49)</f>
        <v>503815</v>
      </c>
      <c r="G36" s="917">
        <f>SUM('Note 11-14'!J49)-'main TB'!I176</f>
        <v>4133810</v>
      </c>
      <c r="H36" s="681"/>
      <c r="I36" s="685">
        <f t="shared" si="1"/>
        <v>-3629995</v>
      </c>
      <c r="J36" s="685">
        <f>C36-E36</f>
        <v>1507829.69</v>
      </c>
      <c r="K36" s="685">
        <v>2011645</v>
      </c>
      <c r="L36" s="655">
        <f t="shared" si="0"/>
        <v>-0.31000000005587935</v>
      </c>
      <c r="N36" s="655"/>
      <c r="O36" s="655"/>
      <c r="P36" s="655"/>
      <c r="T36" s="685"/>
      <c r="U36" s="685"/>
      <c r="V36" s="685"/>
    </row>
    <row r="37" spans="1:23" hidden="1">
      <c r="A37" s="1438" t="s">
        <v>2459</v>
      </c>
      <c r="B37" s="657">
        <v>13</v>
      </c>
      <c r="E37" s="1445">
        <f>'Note 11-14'!F73</f>
        <v>0</v>
      </c>
      <c r="G37" s="917">
        <v>0</v>
      </c>
      <c r="H37" s="681"/>
      <c r="I37" s="685">
        <f t="shared" si="1"/>
        <v>0</v>
      </c>
      <c r="J37" s="685">
        <f t="shared" si="3"/>
        <v>0</v>
      </c>
      <c r="K37" s="685"/>
      <c r="L37" s="655">
        <f t="shared" si="0"/>
        <v>0</v>
      </c>
      <c r="N37" s="683"/>
      <c r="O37" s="683"/>
      <c r="P37" s="655"/>
      <c r="T37" s="685"/>
      <c r="U37" s="685"/>
      <c r="V37" s="685"/>
    </row>
    <row r="38" spans="1:23">
      <c r="A38" s="1442"/>
      <c r="E38" s="1439"/>
      <c r="H38" s="681"/>
      <c r="I38" s="685">
        <f t="shared" si="1"/>
        <v>0</v>
      </c>
      <c r="J38" s="685">
        <f t="shared" si="3"/>
        <v>0</v>
      </c>
      <c r="K38" s="685"/>
      <c r="L38" s="655">
        <f t="shared" si="0"/>
        <v>0</v>
      </c>
      <c r="N38" s="655"/>
      <c r="O38" s="655"/>
      <c r="P38" s="655"/>
      <c r="T38" s="685"/>
      <c r="U38" s="685"/>
      <c r="V38" s="685"/>
    </row>
    <row r="39" spans="1:23" s="682" customFormat="1">
      <c r="A39" s="1442" t="s">
        <v>666</v>
      </c>
      <c r="B39" s="703"/>
      <c r="C39" s="665">
        <f>SUM(C40:C45)</f>
        <v>105973818.30500001</v>
      </c>
      <c r="D39" s="703"/>
      <c r="E39" s="1446">
        <f>SUM(E40:E45)</f>
        <v>107497274.82499999</v>
      </c>
      <c r="F39" s="683"/>
      <c r="G39" s="683">
        <f>SUM(G40:G45)</f>
        <v>18671401.240000006</v>
      </c>
      <c r="H39" s="689"/>
      <c r="I39" s="685">
        <f t="shared" si="1"/>
        <v>88825873.584999979</v>
      </c>
      <c r="J39" s="685">
        <f t="shared" si="3"/>
        <v>88825873.584999979</v>
      </c>
      <c r="K39" s="683">
        <f>SUM(K40:K45)</f>
        <v>111952871</v>
      </c>
      <c r="L39" s="655">
        <f t="shared" si="0"/>
        <v>-5979052.6949999928</v>
      </c>
      <c r="M39" s="655"/>
      <c r="N39" s="655"/>
      <c r="O39" s="655"/>
      <c r="P39" s="683"/>
      <c r="Q39" s="916"/>
      <c r="R39" s="916"/>
      <c r="S39" s="916"/>
      <c r="T39" s="916"/>
      <c r="U39" s="916"/>
      <c r="V39" s="916"/>
    </row>
    <row r="40" spans="1:23">
      <c r="A40" s="1438" t="s">
        <v>1100</v>
      </c>
      <c r="B40" s="657">
        <v>14</v>
      </c>
      <c r="C40" s="661">
        <f>'Note 11-14'!D84</f>
        <v>81415041.439999998</v>
      </c>
      <c r="E40" s="1448">
        <f>'Note 11-14'!F84</f>
        <v>91574499.900000006</v>
      </c>
      <c r="G40" s="953">
        <f>'Note 11-14'!J84</f>
        <v>2223891.1000000089</v>
      </c>
      <c r="H40" s="681"/>
      <c r="I40" s="685">
        <f t="shared" si="1"/>
        <v>89350608.799999997</v>
      </c>
      <c r="J40" s="685">
        <f>C40-E40+6240000</f>
        <v>-3919458.4600000083</v>
      </c>
      <c r="K40" s="685">
        <v>85637808</v>
      </c>
      <c r="L40" s="655">
        <f t="shared" si="0"/>
        <v>-4222766.5600000024</v>
      </c>
      <c r="N40" s="655"/>
      <c r="O40" s="655"/>
      <c r="P40" s="655"/>
      <c r="T40" s="685"/>
      <c r="U40" s="685"/>
      <c r="V40" s="685"/>
    </row>
    <row r="41" spans="1:23" hidden="1">
      <c r="A41" s="1438" t="s">
        <v>1101</v>
      </c>
      <c r="B41" s="657">
        <v>12</v>
      </c>
      <c r="C41" s="663"/>
      <c r="E41" s="1444">
        <f>'Note 11-14'!F34</f>
        <v>0</v>
      </c>
      <c r="G41" s="734">
        <f>'main TB'!I176</f>
        <v>0</v>
      </c>
      <c r="H41" s="681"/>
      <c r="I41" s="685">
        <f t="shared" si="1"/>
        <v>0</v>
      </c>
      <c r="J41" s="685">
        <f t="shared" si="3"/>
        <v>0</v>
      </c>
      <c r="K41" s="685"/>
      <c r="L41" s="655">
        <f t="shared" si="0"/>
        <v>0</v>
      </c>
      <c r="N41" s="655"/>
      <c r="O41" s="655"/>
      <c r="P41" s="655"/>
      <c r="T41" s="685"/>
      <c r="U41" s="685"/>
      <c r="V41" s="685"/>
    </row>
    <row r="42" spans="1:23">
      <c r="A42" s="1438" t="s">
        <v>1102</v>
      </c>
      <c r="B42" s="657">
        <v>15</v>
      </c>
      <c r="C42" s="666">
        <f>'Note 15'!E19</f>
        <v>8304453.3649999993</v>
      </c>
      <c r="E42" s="1444">
        <f>+'Note 15'!E40</f>
        <v>7410000.0050000008</v>
      </c>
      <c r="G42" s="734">
        <f>+'Note 15'!E61</f>
        <v>7011670.0500000007</v>
      </c>
      <c r="H42" s="681"/>
      <c r="I42" s="685">
        <f t="shared" si="1"/>
        <v>398329.95500000007</v>
      </c>
      <c r="J42" s="685">
        <f>C42-E42</f>
        <v>894453.35999999847</v>
      </c>
      <c r="K42" s="685">
        <v>8304453</v>
      </c>
      <c r="L42" s="655">
        <f t="shared" si="0"/>
        <v>0.36499999929219484</v>
      </c>
      <c r="N42" s="655"/>
      <c r="O42" s="655"/>
      <c r="P42" s="655"/>
      <c r="T42" s="685"/>
      <c r="U42" s="685"/>
      <c r="V42" s="685"/>
    </row>
    <row r="43" spans="1:23">
      <c r="A43" s="1450" t="s">
        <v>3983</v>
      </c>
      <c r="B43" s="657">
        <v>16</v>
      </c>
      <c r="C43" s="666">
        <f>'Note 16, 17'!D21</f>
        <v>15148349.330000009</v>
      </c>
      <c r="E43" s="1444">
        <f>'Note 16, 17'!F21</f>
        <v>7499499.5999999978</v>
      </c>
      <c r="G43" s="734">
        <f>'Note 16, 17'!J21</f>
        <v>5339992.6199999973</v>
      </c>
      <c r="H43" s="681"/>
      <c r="I43" s="685">
        <f t="shared" si="1"/>
        <v>2159506.9800000004</v>
      </c>
      <c r="J43" s="685">
        <f>C43-E43</f>
        <v>7648849.7300000116</v>
      </c>
      <c r="K43" s="685">
        <v>16933438</v>
      </c>
      <c r="L43" s="655">
        <f t="shared" si="0"/>
        <v>-1785088.6699999906</v>
      </c>
      <c r="N43" s="655"/>
      <c r="O43" s="655"/>
      <c r="P43" s="655"/>
      <c r="T43" s="685"/>
      <c r="U43" s="685"/>
      <c r="V43" s="685"/>
    </row>
    <row r="44" spans="1:23" hidden="1">
      <c r="A44" s="1438" t="s">
        <v>1104</v>
      </c>
      <c r="B44" s="657">
        <v>13</v>
      </c>
      <c r="C44" s="663"/>
      <c r="E44" s="1444">
        <f>'Note 11-14'!F67</f>
        <v>0</v>
      </c>
      <c r="G44" s="734">
        <v>0</v>
      </c>
      <c r="H44" s="681"/>
      <c r="I44" s="685">
        <f t="shared" si="1"/>
        <v>0</v>
      </c>
      <c r="J44" s="685">
        <f t="shared" si="3"/>
        <v>0</v>
      </c>
      <c r="K44" s="685"/>
      <c r="L44" s="655">
        <f t="shared" si="0"/>
        <v>0</v>
      </c>
      <c r="N44" s="655"/>
      <c r="O44" s="655"/>
      <c r="P44" s="655"/>
      <c r="T44" s="685"/>
      <c r="U44" s="685"/>
      <c r="V44" s="685"/>
      <c r="W44" s="685"/>
    </row>
    <row r="45" spans="1:23">
      <c r="A45" s="1438" t="s">
        <v>2462</v>
      </c>
      <c r="B45" s="657">
        <v>17</v>
      </c>
      <c r="C45" s="664">
        <f>'main TB'!O214</f>
        <v>1105974.17</v>
      </c>
      <c r="E45" s="1445">
        <f>SUM('Note 16, 17'!F120)</f>
        <v>1013275.32</v>
      </c>
      <c r="G45" s="917">
        <f>SUM('Note 16, 17'!J120)</f>
        <v>4095847.4699999997</v>
      </c>
      <c r="H45" s="681"/>
      <c r="I45" s="685">
        <f t="shared" si="1"/>
        <v>-3082572.15</v>
      </c>
      <c r="J45" s="685">
        <f>C45-E45</f>
        <v>92698.849999999977</v>
      </c>
      <c r="K45" s="685">
        <v>1077172</v>
      </c>
      <c r="L45" s="655">
        <f t="shared" si="0"/>
        <v>28802.169999999925</v>
      </c>
      <c r="N45" s="655"/>
      <c r="O45" s="655"/>
      <c r="P45" s="683"/>
      <c r="T45" s="685"/>
      <c r="U45" s="685"/>
      <c r="V45" s="685"/>
      <c r="W45" s="685"/>
    </row>
    <row r="46" spans="1:23">
      <c r="A46" s="1438"/>
      <c r="E46" s="1439"/>
      <c r="H46" s="681"/>
      <c r="I46" s="685">
        <f t="shared" si="1"/>
        <v>0</v>
      </c>
      <c r="J46" s="685"/>
      <c r="K46" s="685"/>
      <c r="L46" s="655">
        <f t="shared" si="0"/>
        <v>0</v>
      </c>
      <c r="N46" s="655"/>
      <c r="O46" s="655"/>
      <c r="P46" s="655"/>
      <c r="T46" s="685"/>
      <c r="U46" s="685"/>
      <c r="V46" s="685"/>
      <c r="W46" s="685"/>
    </row>
    <row r="47" spans="1:23" s="682" customFormat="1">
      <c r="A47" s="1449" t="s">
        <v>1105</v>
      </c>
      <c r="B47" s="703"/>
      <c r="C47" s="683">
        <f>C39+C31</f>
        <v>241976867.625</v>
      </c>
      <c r="D47" s="703"/>
      <c r="E47" s="1446">
        <f>E39+E31</f>
        <v>251531460.82499999</v>
      </c>
      <c r="F47" s="683"/>
      <c r="G47" s="683">
        <f>G39+G31</f>
        <v>143965809.24000001</v>
      </c>
      <c r="H47" s="689"/>
      <c r="I47" s="685">
        <f t="shared" si="1"/>
        <v>107565651.58499998</v>
      </c>
      <c r="J47" s="685"/>
      <c r="K47" s="683">
        <f>K39+K31</f>
        <v>245785803</v>
      </c>
      <c r="L47" s="655">
        <f t="shared" si="0"/>
        <v>-3808935.375</v>
      </c>
      <c r="M47" s="655"/>
      <c r="N47" s="655"/>
      <c r="O47" s="683"/>
      <c r="P47" s="916"/>
      <c r="Q47" s="916"/>
      <c r="R47" s="916"/>
      <c r="S47" s="916"/>
      <c r="T47" s="916"/>
      <c r="U47" s="916"/>
    </row>
    <row r="48" spans="1:23" ht="13.5" thickBot="1">
      <c r="A48" s="1451"/>
      <c r="B48" s="1452"/>
      <c r="C48" s="1452"/>
      <c r="D48" s="1452"/>
      <c r="E48" s="1454"/>
      <c r="F48" s="1453"/>
      <c r="G48" s="1453"/>
      <c r="H48" s="702"/>
      <c r="J48" s="685"/>
      <c r="K48" s="685"/>
      <c r="N48" s="655"/>
      <c r="O48" s="655"/>
      <c r="T48" s="685"/>
      <c r="U48" s="685"/>
    </row>
    <row r="49" spans="3:21" ht="13.5" thickTop="1">
      <c r="J49" s="685"/>
      <c r="K49" s="685"/>
      <c r="N49" s="655"/>
      <c r="O49" s="655"/>
      <c r="T49" s="685"/>
      <c r="U49" s="685"/>
    </row>
    <row r="50" spans="3:21">
      <c r="J50" s="685"/>
      <c r="K50" s="685"/>
      <c r="N50" s="655"/>
      <c r="O50" s="655"/>
      <c r="T50" s="685"/>
      <c r="U50" s="685"/>
    </row>
    <row r="51" spans="3:21">
      <c r="C51" s="655">
        <f>C28-C47</f>
        <v>-0.29500001668930054</v>
      </c>
      <c r="E51" s="655">
        <f>E28-E47</f>
        <v>-0.50499999523162842</v>
      </c>
      <c r="G51" s="655">
        <f>G28-G47</f>
        <v>0.9699999988079071</v>
      </c>
      <c r="J51" s="685"/>
      <c r="K51" s="685"/>
      <c r="N51" s="655"/>
      <c r="O51" s="655"/>
      <c r="T51" s="685"/>
      <c r="U51" s="685"/>
    </row>
    <row r="52" spans="3:21">
      <c r="J52" s="685"/>
      <c r="K52" s="685"/>
      <c r="N52" s="655"/>
      <c r="O52" s="655"/>
      <c r="T52" s="685"/>
      <c r="U52" s="685"/>
    </row>
    <row r="53" spans="3:21">
      <c r="J53" s="685"/>
      <c r="K53" s="685"/>
      <c r="N53" s="655"/>
      <c r="O53" s="655"/>
      <c r="T53" s="685"/>
      <c r="U53" s="685"/>
    </row>
    <row r="55" spans="3:21">
      <c r="C55" s="665"/>
    </row>
    <row r="125" spans="7:7">
      <c r="G125" s="655">
        <v>5253981.1399999997</v>
      </c>
    </row>
  </sheetData>
  <mergeCells count="3">
    <mergeCell ref="A1:E1"/>
    <mergeCell ref="A2:E2"/>
    <mergeCell ref="A3:E3"/>
  </mergeCells>
  <phoneticPr fontId="0" type="noConversion"/>
  <printOptions horizontalCentered="1"/>
  <pageMargins left="0.6692913385826772" right="0.39370078740157483" top="0.98425196850393704" bottom="0.98425196850393704" header="0.51181102362204722" footer="0.51181102362204722"/>
  <pageSetup orientation="portrait" r:id="rId1"/>
  <headerFooter alignWithMargins="0">
    <oddHeader>&amp;C FINANCIAL STATEMENTS: MUSINA LOCAL MUNICIPALITY</oddHeader>
    <oddFooter>&amp;RPage &amp;P</oddFooter>
  </headerFooter>
  <cellWatches>
    <cellWatch r="E51"/>
  </cellWatches>
  <legacyDrawing r:id="rId2"/>
</worksheet>
</file>

<file path=xl/worksheets/sheet50.xml><?xml version="1.0" encoding="utf-8"?>
<worksheet xmlns="http://schemas.openxmlformats.org/spreadsheetml/2006/main" xmlns:r="http://schemas.openxmlformats.org/officeDocument/2006/relationships">
  <dimension ref="A1:M248"/>
  <sheetViews>
    <sheetView topLeftCell="A213" workbookViewId="0">
      <selection activeCell="L247" sqref="L247"/>
    </sheetView>
  </sheetViews>
  <sheetFormatPr defaultColWidth="19" defaultRowHeight="15"/>
  <cols>
    <col min="1" max="4" width="15.7109375" style="139" customWidth="1"/>
    <col min="5" max="5" width="16.5703125" style="140" customWidth="1"/>
    <col min="6" max="6" width="19" style="139" customWidth="1"/>
    <col min="7" max="7" width="15.85546875" style="142" hidden="1" customWidth="1"/>
    <col min="8" max="8" width="19" style="142" hidden="1" customWidth="1"/>
    <col min="9" max="16384" width="19" style="139"/>
  </cols>
  <sheetData>
    <row r="1" spans="1:10">
      <c r="A1" s="139" t="s">
        <v>33</v>
      </c>
      <c r="D1" s="140" t="s">
        <v>1556</v>
      </c>
      <c r="E1" s="140" t="s">
        <v>1710</v>
      </c>
      <c r="F1" s="139" t="s">
        <v>1557</v>
      </c>
      <c r="G1" s="141" t="s">
        <v>2664</v>
      </c>
      <c r="H1" s="141" t="s">
        <v>2665</v>
      </c>
      <c r="I1" s="141" t="s">
        <v>2666</v>
      </c>
      <c r="J1" s="141" t="s">
        <v>2667</v>
      </c>
    </row>
    <row r="2" spans="1:10">
      <c r="A2" s="139">
        <v>20</v>
      </c>
      <c r="B2" s="139" t="s">
        <v>2755</v>
      </c>
      <c r="C2" s="139" t="s">
        <v>2825</v>
      </c>
      <c r="D2" s="140" t="s">
        <v>1549</v>
      </c>
      <c r="E2" s="140" t="s">
        <v>75</v>
      </c>
      <c r="F2" s="139" t="s">
        <v>1559</v>
      </c>
      <c r="G2" s="143">
        <v>1204157.06</v>
      </c>
      <c r="H2" s="142">
        <v>1398564</v>
      </c>
      <c r="I2" s="139">
        <v>1260311.5900000001</v>
      </c>
      <c r="J2" s="139">
        <v>1260312</v>
      </c>
    </row>
    <row r="3" spans="1:10">
      <c r="A3" s="139">
        <v>21</v>
      </c>
      <c r="B3" s="139" t="s">
        <v>2755</v>
      </c>
      <c r="C3" s="139" t="s">
        <v>2825</v>
      </c>
      <c r="D3" s="140" t="s">
        <v>1549</v>
      </c>
      <c r="E3" s="140" t="s">
        <v>75</v>
      </c>
      <c r="F3" s="139" t="s">
        <v>1560</v>
      </c>
      <c r="G3" s="143">
        <v>0</v>
      </c>
      <c r="H3" s="142">
        <v>0</v>
      </c>
      <c r="I3" s="139">
        <v>0</v>
      </c>
      <c r="J3" s="139">
        <v>0</v>
      </c>
    </row>
    <row r="4" spans="1:10">
      <c r="A4" s="139">
        <v>22</v>
      </c>
      <c r="B4" s="139" t="s">
        <v>2755</v>
      </c>
      <c r="C4" s="139" t="s">
        <v>2825</v>
      </c>
      <c r="D4" s="140" t="s">
        <v>1549</v>
      </c>
      <c r="E4" s="140" t="s">
        <v>75</v>
      </c>
      <c r="F4" s="139" t="s">
        <v>1561</v>
      </c>
      <c r="G4" s="143">
        <v>0</v>
      </c>
      <c r="H4" s="142">
        <v>49000</v>
      </c>
      <c r="I4" s="139">
        <v>0</v>
      </c>
      <c r="J4" s="139">
        <v>0</v>
      </c>
    </row>
    <row r="5" spans="1:10">
      <c r="A5" s="139">
        <v>27</v>
      </c>
      <c r="B5" s="139" t="s">
        <v>2755</v>
      </c>
      <c r="C5" s="139" t="s">
        <v>2825</v>
      </c>
      <c r="D5" s="140" t="s">
        <v>1549</v>
      </c>
      <c r="E5" s="140" t="s">
        <v>75</v>
      </c>
      <c r="F5" s="139" t="s">
        <v>1563</v>
      </c>
      <c r="G5" s="143">
        <v>1256673.55</v>
      </c>
      <c r="H5" s="142">
        <v>1330000</v>
      </c>
      <c r="I5" s="139">
        <v>1034904.45</v>
      </c>
      <c r="J5" s="139">
        <v>1034905</v>
      </c>
    </row>
    <row r="6" spans="1:10">
      <c r="A6" s="139">
        <v>31</v>
      </c>
      <c r="B6" s="139" t="s">
        <v>2755</v>
      </c>
      <c r="C6" s="139" t="s">
        <v>2825</v>
      </c>
      <c r="D6" s="140" t="s">
        <v>1549</v>
      </c>
      <c r="E6" s="140" t="s">
        <v>75</v>
      </c>
      <c r="F6" s="139" t="s">
        <v>1565</v>
      </c>
      <c r="G6" s="143">
        <v>197965.68</v>
      </c>
      <c r="H6" s="142">
        <v>200697</v>
      </c>
      <c r="I6" s="139">
        <v>214452.12</v>
      </c>
      <c r="J6" s="139">
        <v>214452</v>
      </c>
    </row>
    <row r="7" spans="1:10">
      <c r="A7" s="139">
        <v>32</v>
      </c>
      <c r="B7" s="139" t="s">
        <v>2755</v>
      </c>
      <c r="C7" s="139" t="s">
        <v>2825</v>
      </c>
      <c r="D7" s="140" t="s">
        <v>1549</v>
      </c>
      <c r="E7" s="140" t="s">
        <v>75</v>
      </c>
      <c r="F7" s="139" t="s">
        <v>1566</v>
      </c>
      <c r="G7" s="143">
        <v>154400.28</v>
      </c>
      <c r="H7" s="142">
        <v>155000</v>
      </c>
      <c r="I7" s="139">
        <v>165815.04000000001</v>
      </c>
      <c r="J7" s="139">
        <v>165815</v>
      </c>
    </row>
    <row r="8" spans="1:10">
      <c r="A8" s="139">
        <v>50</v>
      </c>
      <c r="B8" s="139" t="s">
        <v>2755</v>
      </c>
      <c r="C8" s="139" t="s">
        <v>2825</v>
      </c>
      <c r="D8" s="140" t="s">
        <v>1549</v>
      </c>
      <c r="E8" s="140" t="s">
        <v>75</v>
      </c>
      <c r="F8" s="139" t="s">
        <v>1567</v>
      </c>
      <c r="G8" s="143">
        <v>1186517.93</v>
      </c>
      <c r="H8" s="142">
        <v>2500000</v>
      </c>
      <c r="I8" s="139">
        <v>1907109.85</v>
      </c>
      <c r="J8" s="139">
        <v>1907127</v>
      </c>
    </row>
    <row r="9" spans="1:10">
      <c r="A9" s="139">
        <v>51</v>
      </c>
      <c r="B9" s="139" t="s">
        <v>2755</v>
      </c>
      <c r="C9" s="139" t="s">
        <v>2825</v>
      </c>
      <c r="D9" s="140" t="s">
        <v>1549</v>
      </c>
      <c r="E9" s="140" t="s">
        <v>75</v>
      </c>
      <c r="F9" s="139" t="s">
        <v>1990</v>
      </c>
      <c r="G9" s="143">
        <v>45677.760000000002</v>
      </c>
      <c r="H9" s="142">
        <v>72500</v>
      </c>
      <c r="I9" s="139">
        <v>52834</v>
      </c>
      <c r="J9" s="139">
        <v>52834</v>
      </c>
    </row>
    <row r="10" spans="1:10">
      <c r="A10" s="139">
        <v>52</v>
      </c>
      <c r="B10" s="139" t="s">
        <v>2755</v>
      </c>
      <c r="C10" s="139" t="s">
        <v>2825</v>
      </c>
      <c r="D10" s="140" t="s">
        <v>1549</v>
      </c>
      <c r="E10" s="140" t="s">
        <v>75</v>
      </c>
      <c r="F10" s="139" t="s">
        <v>1568</v>
      </c>
      <c r="G10" s="143">
        <v>140833.68</v>
      </c>
      <c r="H10" s="142">
        <v>141000</v>
      </c>
      <c r="I10" s="139">
        <v>152578.07999999999</v>
      </c>
      <c r="J10" s="139">
        <v>152578</v>
      </c>
    </row>
    <row r="11" spans="1:10">
      <c r="A11" s="139">
        <v>63</v>
      </c>
      <c r="B11" s="139" t="s">
        <v>2755</v>
      </c>
      <c r="C11" s="139" t="s">
        <v>2825</v>
      </c>
      <c r="D11" s="140" t="s">
        <v>1549</v>
      </c>
      <c r="E11" s="140" t="s">
        <v>75</v>
      </c>
      <c r="F11" s="139" t="s">
        <v>1229</v>
      </c>
      <c r="G11" s="143">
        <v>176421.36</v>
      </c>
      <c r="H11" s="142">
        <v>177000</v>
      </c>
      <c r="I11" s="139">
        <v>31853.26</v>
      </c>
      <c r="J11" s="139">
        <v>31853</v>
      </c>
    </row>
    <row r="12" spans="1:10">
      <c r="A12" s="139">
        <v>64</v>
      </c>
      <c r="B12" s="139" t="s">
        <v>2755</v>
      </c>
      <c r="C12" s="139" t="s">
        <v>2825</v>
      </c>
      <c r="D12" s="140" t="s">
        <v>1549</v>
      </c>
      <c r="E12" s="140" t="s">
        <v>75</v>
      </c>
      <c r="F12" s="139" t="s">
        <v>1569</v>
      </c>
      <c r="G12" s="143">
        <v>1205204.58</v>
      </c>
      <c r="H12" s="142">
        <v>1243100</v>
      </c>
      <c r="I12" s="139">
        <v>1479666.04</v>
      </c>
      <c r="J12" s="139">
        <v>1479666</v>
      </c>
    </row>
    <row r="13" spans="1:10">
      <c r="A13" s="139">
        <v>65</v>
      </c>
      <c r="B13" s="139" t="s">
        <v>2755</v>
      </c>
      <c r="C13" s="139" t="s">
        <v>2825</v>
      </c>
      <c r="D13" s="140" t="s">
        <v>1549</v>
      </c>
      <c r="E13" s="140" t="s">
        <v>75</v>
      </c>
      <c r="F13" s="139" t="s">
        <v>1570</v>
      </c>
      <c r="G13" s="143">
        <v>114792.12</v>
      </c>
      <c r="H13" s="142">
        <v>115000</v>
      </c>
      <c r="I13" s="139">
        <v>124987.48</v>
      </c>
      <c r="J13" s="139">
        <v>124987</v>
      </c>
    </row>
    <row r="14" spans="1:10">
      <c r="A14" s="139">
        <v>66</v>
      </c>
      <c r="B14" s="139" t="s">
        <v>2755</v>
      </c>
      <c r="C14" s="139" t="s">
        <v>2825</v>
      </c>
      <c r="D14" s="140" t="s">
        <v>1549</v>
      </c>
      <c r="E14" s="140" t="s">
        <v>75</v>
      </c>
      <c r="F14" s="139" t="s">
        <v>1571</v>
      </c>
      <c r="G14" s="143">
        <v>1499634.28</v>
      </c>
      <c r="H14" s="142">
        <v>1500000</v>
      </c>
      <c r="I14" s="139">
        <v>1659604.99</v>
      </c>
      <c r="J14" s="139">
        <v>1659605</v>
      </c>
    </row>
    <row r="15" spans="1:10">
      <c r="A15" s="139">
        <v>80</v>
      </c>
      <c r="B15" s="139" t="s">
        <v>2755</v>
      </c>
      <c r="C15" s="139" t="s">
        <v>2825</v>
      </c>
      <c r="D15" s="140" t="s">
        <v>1549</v>
      </c>
      <c r="E15" s="140" t="s">
        <v>75</v>
      </c>
      <c r="F15" s="139" t="s">
        <v>1572</v>
      </c>
      <c r="G15" s="143">
        <v>305431.32</v>
      </c>
      <c r="H15" s="142">
        <v>643587</v>
      </c>
      <c r="I15" s="139">
        <v>411376.33</v>
      </c>
      <c r="J15" s="139">
        <v>411377</v>
      </c>
    </row>
    <row r="16" spans="1:10">
      <c r="A16" s="139">
        <v>81</v>
      </c>
      <c r="B16" s="139" t="s">
        <v>2755</v>
      </c>
      <c r="C16" s="139" t="s">
        <v>2825</v>
      </c>
      <c r="D16" s="140" t="s">
        <v>1549</v>
      </c>
      <c r="E16" s="140" t="s">
        <v>75</v>
      </c>
      <c r="F16" s="139" t="s">
        <v>1573</v>
      </c>
      <c r="G16" s="143">
        <v>1748379.14</v>
      </c>
      <c r="H16" s="142">
        <v>1748500</v>
      </c>
      <c r="I16" s="139">
        <v>1772332.1</v>
      </c>
      <c r="J16" s="139">
        <v>1772333</v>
      </c>
    </row>
    <row r="17" spans="1:10">
      <c r="A17" s="139">
        <v>84</v>
      </c>
      <c r="B17" s="139" t="s">
        <v>2755</v>
      </c>
      <c r="C17" s="139" t="s">
        <v>2825</v>
      </c>
      <c r="D17" s="140" t="s">
        <v>1549</v>
      </c>
      <c r="E17" s="140" t="s">
        <v>75</v>
      </c>
      <c r="F17" s="139" t="s">
        <v>1244</v>
      </c>
      <c r="G17" s="150">
        <v>832516.2</v>
      </c>
      <c r="H17" s="142">
        <v>1475000</v>
      </c>
      <c r="I17" s="139">
        <v>1086333.26</v>
      </c>
      <c r="J17" s="139">
        <v>1088354</v>
      </c>
    </row>
    <row r="18" spans="1:10">
      <c r="A18" s="139">
        <v>87</v>
      </c>
      <c r="B18" s="139" t="s">
        <v>2755</v>
      </c>
      <c r="C18" s="139" t="s">
        <v>2825</v>
      </c>
      <c r="D18" s="140" t="s">
        <v>1549</v>
      </c>
      <c r="E18" s="140" t="s">
        <v>75</v>
      </c>
      <c r="F18" s="139" t="s">
        <v>458</v>
      </c>
      <c r="G18" s="143">
        <v>0</v>
      </c>
      <c r="H18" s="142">
        <v>70000</v>
      </c>
      <c r="I18" s="139">
        <v>89293.67</v>
      </c>
      <c r="J18" s="139">
        <v>89295</v>
      </c>
    </row>
    <row r="19" spans="1:10">
      <c r="A19" s="139">
        <v>100</v>
      </c>
      <c r="B19" s="139" t="s">
        <v>2755</v>
      </c>
      <c r="C19" s="139" t="s">
        <v>2825</v>
      </c>
      <c r="D19" s="140" t="s">
        <v>1549</v>
      </c>
      <c r="E19" s="140" t="s">
        <v>75</v>
      </c>
      <c r="F19" s="139" t="s">
        <v>1579</v>
      </c>
      <c r="G19" s="143">
        <v>1540877.02</v>
      </c>
      <c r="H19" s="142">
        <v>1541000</v>
      </c>
      <c r="I19" s="139">
        <v>1605110.55</v>
      </c>
      <c r="J19" s="139">
        <v>1605110</v>
      </c>
    </row>
    <row r="20" spans="1:10">
      <c r="D20" s="140"/>
      <c r="G20" s="143"/>
      <c r="I20" s="157">
        <f>SUM(I2:I19)</f>
        <v>13048562.810000001</v>
      </c>
      <c r="J20" s="157">
        <f>SUM(J2:J19)</f>
        <v>13050603</v>
      </c>
    </row>
    <row r="21" spans="1:10">
      <c r="D21" s="140"/>
      <c r="G21" s="143"/>
    </row>
    <row r="22" spans="1:10">
      <c r="D22" s="140"/>
      <c r="G22" s="143"/>
    </row>
    <row r="23" spans="1:10">
      <c r="A23" s="139">
        <v>20</v>
      </c>
      <c r="B23" s="139" t="s">
        <v>2755</v>
      </c>
      <c r="C23" s="139" t="s">
        <v>2826</v>
      </c>
      <c r="D23" s="140" t="s">
        <v>1549</v>
      </c>
      <c r="E23" s="140" t="s">
        <v>77</v>
      </c>
      <c r="F23" s="139" t="s">
        <v>1559</v>
      </c>
      <c r="G23" s="143">
        <v>184489.53</v>
      </c>
      <c r="H23" s="142">
        <v>185000</v>
      </c>
      <c r="I23" s="139">
        <v>273364.32</v>
      </c>
      <c r="J23" s="139">
        <v>273364</v>
      </c>
    </row>
    <row r="24" spans="1:10">
      <c r="A24" s="139">
        <v>27</v>
      </c>
      <c r="B24" s="139" t="s">
        <v>2755</v>
      </c>
      <c r="C24" s="139" t="s">
        <v>2826</v>
      </c>
      <c r="D24" s="140" t="s">
        <v>1549</v>
      </c>
      <c r="E24" s="140" t="s">
        <v>77</v>
      </c>
      <c r="F24" s="139" t="s">
        <v>1563</v>
      </c>
      <c r="G24" s="143">
        <v>22145.040000000001</v>
      </c>
      <c r="H24" s="142">
        <v>23000</v>
      </c>
      <c r="I24" s="139">
        <v>22442.99</v>
      </c>
      <c r="J24" s="139">
        <v>22443</v>
      </c>
    </row>
    <row r="25" spans="1:10">
      <c r="A25" s="139">
        <v>32</v>
      </c>
      <c r="B25" s="139" t="s">
        <v>2755</v>
      </c>
      <c r="C25" s="139" t="s">
        <v>2826</v>
      </c>
      <c r="D25" s="140"/>
      <c r="G25" s="143"/>
      <c r="I25" s="139">
        <v>53970.2</v>
      </c>
      <c r="J25" s="139">
        <v>53970</v>
      </c>
    </row>
    <row r="26" spans="1:10">
      <c r="A26" s="139">
        <v>50</v>
      </c>
      <c r="B26" s="139" t="s">
        <v>2755</v>
      </c>
      <c r="C26" s="139" t="s">
        <v>2826</v>
      </c>
      <c r="D26" s="140" t="s">
        <v>1549</v>
      </c>
      <c r="E26" s="140" t="s">
        <v>77</v>
      </c>
      <c r="F26" s="139" t="s">
        <v>1567</v>
      </c>
      <c r="G26" s="143">
        <v>113355.53</v>
      </c>
      <c r="H26" s="142">
        <v>114000</v>
      </c>
      <c r="I26" s="139">
        <v>439635.02</v>
      </c>
      <c r="J26" s="139">
        <v>439635</v>
      </c>
    </row>
    <row r="27" spans="1:10">
      <c r="A27" s="139">
        <v>51</v>
      </c>
      <c r="B27" s="139" t="s">
        <v>2755</v>
      </c>
      <c r="C27" s="139" t="s">
        <v>2826</v>
      </c>
      <c r="D27" s="140" t="s">
        <v>1549</v>
      </c>
      <c r="E27" s="140" t="s">
        <v>77</v>
      </c>
      <c r="F27" s="139" t="s">
        <v>1990</v>
      </c>
      <c r="G27" s="143">
        <v>922.31</v>
      </c>
      <c r="H27" s="142">
        <v>1300</v>
      </c>
      <c r="I27" s="139">
        <v>27927.58</v>
      </c>
      <c r="J27" s="139">
        <v>27927</v>
      </c>
    </row>
    <row r="28" spans="1:10">
      <c r="A28" s="139">
        <v>52</v>
      </c>
      <c r="B28" s="139" t="s">
        <v>2755</v>
      </c>
      <c r="C28" s="139" t="s">
        <v>2826</v>
      </c>
      <c r="D28" s="140" t="s">
        <v>1549</v>
      </c>
      <c r="E28" s="140" t="s">
        <v>77</v>
      </c>
      <c r="F28" s="139" t="s">
        <v>1568</v>
      </c>
      <c r="G28" s="143">
        <v>0</v>
      </c>
      <c r="H28" s="142">
        <v>0</v>
      </c>
      <c r="I28" s="139">
        <v>4939.96</v>
      </c>
      <c r="J28" s="139">
        <v>4940</v>
      </c>
    </row>
    <row r="29" spans="1:10">
      <c r="A29" s="139">
        <v>64</v>
      </c>
      <c r="B29" s="139" t="s">
        <v>2755</v>
      </c>
      <c r="C29" s="139" t="s">
        <v>2826</v>
      </c>
      <c r="D29" s="140" t="s">
        <v>1549</v>
      </c>
      <c r="E29" s="140" t="s">
        <v>77</v>
      </c>
      <c r="F29" s="139" t="s">
        <v>1569</v>
      </c>
      <c r="G29" s="143">
        <v>161632.22</v>
      </c>
      <c r="H29" s="142">
        <v>161700</v>
      </c>
      <c r="I29" s="139">
        <v>516692.56</v>
      </c>
      <c r="J29" s="139">
        <v>516692</v>
      </c>
    </row>
    <row r="30" spans="1:10">
      <c r="A30" s="139">
        <v>65</v>
      </c>
      <c r="B30" s="139" t="s">
        <v>2755</v>
      </c>
      <c r="C30" s="139" t="s">
        <v>2826</v>
      </c>
      <c r="D30" s="140" t="s">
        <v>1549</v>
      </c>
      <c r="E30" s="140" t="s">
        <v>77</v>
      </c>
      <c r="F30" s="139" t="s">
        <v>1570</v>
      </c>
      <c r="G30" s="143">
        <v>3466.8</v>
      </c>
      <c r="H30" s="142">
        <v>3500</v>
      </c>
      <c r="I30" s="139">
        <v>13715.45</v>
      </c>
      <c r="J30" s="139">
        <v>13715</v>
      </c>
    </row>
    <row r="31" spans="1:10">
      <c r="A31" s="139">
        <v>66</v>
      </c>
      <c r="B31" s="139" t="s">
        <v>2755</v>
      </c>
      <c r="C31" s="139" t="s">
        <v>2826</v>
      </c>
      <c r="D31" s="140" t="s">
        <v>1549</v>
      </c>
      <c r="E31" s="140" t="s">
        <v>77</v>
      </c>
      <c r="F31" s="139" t="s">
        <v>1571</v>
      </c>
      <c r="G31" s="143">
        <v>227917.51</v>
      </c>
      <c r="H31" s="142">
        <v>228000</v>
      </c>
      <c r="I31" s="139">
        <v>462512.03</v>
      </c>
      <c r="J31" s="139">
        <v>462512</v>
      </c>
    </row>
    <row r="32" spans="1:10">
      <c r="A32" s="139">
        <v>80</v>
      </c>
      <c r="B32" s="139" t="s">
        <v>2755</v>
      </c>
      <c r="C32" s="139" t="s">
        <v>2826</v>
      </c>
      <c r="D32" s="140" t="s">
        <v>1549</v>
      </c>
      <c r="E32" s="140" t="s">
        <v>77</v>
      </c>
      <c r="F32" s="139" t="s">
        <v>1572</v>
      </c>
      <c r="G32" s="143">
        <v>381.93</v>
      </c>
      <c r="H32" s="142">
        <v>400</v>
      </c>
      <c r="I32" s="139">
        <v>7671.38</v>
      </c>
      <c r="J32" s="139">
        <v>7671</v>
      </c>
    </row>
    <row r="33" spans="1:10">
      <c r="A33" s="139">
        <v>81</v>
      </c>
      <c r="B33" s="139" t="s">
        <v>2755</v>
      </c>
      <c r="C33" s="139" t="s">
        <v>2826</v>
      </c>
      <c r="D33" s="140" t="s">
        <v>1549</v>
      </c>
      <c r="E33" s="140" t="s">
        <v>77</v>
      </c>
      <c r="F33" s="139" t="s">
        <v>1573</v>
      </c>
      <c r="G33" s="143">
        <v>305722.94</v>
      </c>
      <c r="H33" s="142">
        <v>306000</v>
      </c>
      <c r="I33" s="139">
        <v>467848.34</v>
      </c>
      <c r="J33" s="139">
        <v>467848</v>
      </c>
    </row>
    <row r="34" spans="1:10">
      <c r="A34" s="139">
        <v>84</v>
      </c>
      <c r="B34" s="139" t="s">
        <v>2755</v>
      </c>
      <c r="C34" s="139" t="s">
        <v>2826</v>
      </c>
      <c r="D34" s="140" t="s">
        <v>1549</v>
      </c>
      <c r="E34" s="140" t="s">
        <v>77</v>
      </c>
      <c r="F34" s="139" t="s">
        <v>1244</v>
      </c>
      <c r="G34" s="150">
        <v>507366.75</v>
      </c>
      <c r="H34" s="142">
        <v>508000</v>
      </c>
      <c r="I34" s="139">
        <v>689062.63</v>
      </c>
      <c r="J34" s="139">
        <v>689062</v>
      </c>
    </row>
    <row r="35" spans="1:10">
      <c r="A35" s="139">
        <v>100</v>
      </c>
      <c r="B35" s="139" t="s">
        <v>2755</v>
      </c>
      <c r="C35" s="139" t="s">
        <v>2826</v>
      </c>
      <c r="D35" s="140" t="s">
        <v>1549</v>
      </c>
      <c r="E35" s="140" t="s">
        <v>77</v>
      </c>
      <c r="F35" s="139" t="s">
        <v>1579</v>
      </c>
      <c r="G35" s="143">
        <v>156662.29999999999</v>
      </c>
      <c r="H35" s="142">
        <v>157000</v>
      </c>
      <c r="I35" s="139">
        <v>257721.3</v>
      </c>
      <c r="J35" s="139">
        <v>257722</v>
      </c>
    </row>
    <row r="36" spans="1:10">
      <c r="D36" s="140"/>
      <c r="G36" s="143"/>
      <c r="I36" s="157">
        <f>SUM(I23:I35)</f>
        <v>3237503.7599999993</v>
      </c>
      <c r="J36" s="157">
        <f>SUM(J23:J35)</f>
        <v>3237501</v>
      </c>
    </row>
    <row r="37" spans="1:10">
      <c r="D37" s="140"/>
      <c r="G37" s="143"/>
    </row>
    <row r="38" spans="1:10">
      <c r="D38" s="140"/>
      <c r="G38" s="143"/>
    </row>
    <row r="39" spans="1:10">
      <c r="A39" s="139">
        <v>20</v>
      </c>
      <c r="B39" s="139" t="s">
        <v>2755</v>
      </c>
      <c r="C39" s="139" t="s">
        <v>2827</v>
      </c>
      <c r="D39" s="140" t="s">
        <v>1549</v>
      </c>
      <c r="E39" s="140" t="s">
        <v>60</v>
      </c>
      <c r="F39" s="139" t="s">
        <v>1559</v>
      </c>
      <c r="G39" s="143">
        <v>111352.29</v>
      </c>
      <c r="H39" s="142">
        <v>147000</v>
      </c>
      <c r="I39" s="139">
        <v>87438.53</v>
      </c>
      <c r="J39" s="139">
        <v>87439</v>
      </c>
    </row>
    <row r="40" spans="1:10">
      <c r="A40" s="139">
        <v>21</v>
      </c>
      <c r="B40" s="139" t="s">
        <v>2755</v>
      </c>
      <c r="C40" s="139" t="s">
        <v>2827</v>
      </c>
      <c r="D40" s="140" t="s">
        <v>1549</v>
      </c>
      <c r="E40" s="140" t="s">
        <v>60</v>
      </c>
      <c r="F40" s="139" t="s">
        <v>1560</v>
      </c>
      <c r="G40" s="143">
        <v>0</v>
      </c>
      <c r="H40" s="142">
        <v>0</v>
      </c>
      <c r="I40" s="139">
        <v>0</v>
      </c>
      <c r="J40" s="139">
        <v>0</v>
      </c>
    </row>
    <row r="41" spans="1:10">
      <c r="A41" s="139">
        <v>22</v>
      </c>
      <c r="B41" s="139" t="s">
        <v>2755</v>
      </c>
      <c r="C41" s="139" t="s">
        <v>2827</v>
      </c>
      <c r="D41" s="140" t="s">
        <v>1549</v>
      </c>
      <c r="E41" s="140" t="s">
        <v>60</v>
      </c>
      <c r="F41" s="139" t="s">
        <v>1561</v>
      </c>
      <c r="G41" s="143">
        <v>0</v>
      </c>
      <c r="H41" s="142">
        <v>0</v>
      </c>
      <c r="I41" s="139">
        <v>0</v>
      </c>
      <c r="J41" s="139">
        <v>0</v>
      </c>
    </row>
    <row r="42" spans="1:10">
      <c r="A42" s="139">
        <v>27</v>
      </c>
      <c r="B42" s="139" t="s">
        <v>2755</v>
      </c>
      <c r="C42" s="139" t="s">
        <v>2827</v>
      </c>
      <c r="D42" s="140" t="s">
        <v>1549</v>
      </c>
      <c r="E42" s="140" t="s">
        <v>60</v>
      </c>
      <c r="F42" s="139" t="s">
        <v>1563</v>
      </c>
      <c r="G42" s="143">
        <v>120566.7</v>
      </c>
      <c r="H42" s="142">
        <v>124854</v>
      </c>
      <c r="I42" s="139">
        <v>108270.45</v>
      </c>
      <c r="J42" s="139">
        <v>108271</v>
      </c>
    </row>
    <row r="43" spans="1:10">
      <c r="A43" s="139">
        <v>31</v>
      </c>
      <c r="B43" s="139" t="s">
        <v>2755</v>
      </c>
      <c r="C43" s="139" t="s">
        <v>2827</v>
      </c>
      <c r="D43" s="140" t="s">
        <v>1549</v>
      </c>
      <c r="E43" s="140" t="s">
        <v>60</v>
      </c>
      <c r="F43" s="139" t="s">
        <v>1565</v>
      </c>
      <c r="G43" s="143">
        <v>16501.39</v>
      </c>
      <c r="H43" s="142">
        <v>16564</v>
      </c>
      <c r="I43" s="139">
        <v>17871.009999999998</v>
      </c>
      <c r="J43" s="139">
        <v>17871</v>
      </c>
    </row>
    <row r="44" spans="1:10">
      <c r="A44" s="139">
        <v>32</v>
      </c>
      <c r="B44" s="139" t="s">
        <v>2755</v>
      </c>
      <c r="C44" s="139" t="s">
        <v>2827</v>
      </c>
      <c r="D44" s="140" t="s">
        <v>1549</v>
      </c>
      <c r="E44" s="140" t="s">
        <v>60</v>
      </c>
      <c r="F44" s="139" t="s">
        <v>1566</v>
      </c>
      <c r="G44" s="143">
        <v>12758.94</v>
      </c>
      <c r="H44" s="142">
        <v>13000</v>
      </c>
      <c r="I44" s="139">
        <v>13817.92</v>
      </c>
      <c r="J44" s="139">
        <v>13817</v>
      </c>
    </row>
    <row r="45" spans="1:10">
      <c r="A45" s="139">
        <v>50</v>
      </c>
      <c r="B45" s="139" t="s">
        <v>2755</v>
      </c>
      <c r="C45" s="139" t="s">
        <v>2827</v>
      </c>
      <c r="D45" s="140" t="s">
        <v>1549</v>
      </c>
      <c r="E45" s="140" t="s">
        <v>60</v>
      </c>
      <c r="F45" s="139" t="s">
        <v>1567</v>
      </c>
      <c r="G45" s="143">
        <v>654638.66</v>
      </c>
      <c r="H45" s="142">
        <v>212394</v>
      </c>
      <c r="I45" s="139">
        <v>162995.56</v>
      </c>
      <c r="J45" s="139">
        <v>162996</v>
      </c>
    </row>
    <row r="46" spans="1:10">
      <c r="A46" s="139">
        <v>51</v>
      </c>
      <c r="B46" s="139" t="s">
        <v>2755</v>
      </c>
      <c r="C46" s="139" t="s">
        <v>2827</v>
      </c>
      <c r="D46" s="140" t="s">
        <v>1549</v>
      </c>
      <c r="E46" s="140" t="s">
        <v>60</v>
      </c>
      <c r="F46" s="139" t="s">
        <v>1990</v>
      </c>
      <c r="G46" s="143">
        <v>6040.72</v>
      </c>
      <c r="H46" s="142">
        <v>6041</v>
      </c>
      <c r="I46" s="139">
        <v>4402.83</v>
      </c>
      <c r="J46" s="139">
        <v>4403</v>
      </c>
    </row>
    <row r="47" spans="1:10">
      <c r="A47" s="139">
        <v>52</v>
      </c>
      <c r="B47" s="139" t="s">
        <v>2755</v>
      </c>
      <c r="C47" s="139" t="s">
        <v>2827</v>
      </c>
      <c r="D47" s="140" t="s">
        <v>1549</v>
      </c>
      <c r="E47" s="140" t="s">
        <v>60</v>
      </c>
      <c r="F47" s="139" t="s">
        <v>1568</v>
      </c>
      <c r="G47" s="143">
        <v>11740.39</v>
      </c>
      <c r="H47" s="142">
        <v>11840</v>
      </c>
      <c r="I47" s="139">
        <v>12714.84</v>
      </c>
      <c r="J47" s="139">
        <v>12715</v>
      </c>
    </row>
    <row r="48" spans="1:10">
      <c r="A48" s="139">
        <v>63</v>
      </c>
      <c r="B48" s="139" t="s">
        <v>2755</v>
      </c>
      <c r="C48" s="139" t="s">
        <v>2827</v>
      </c>
      <c r="D48" s="140" t="s">
        <v>1549</v>
      </c>
      <c r="E48" s="140" t="s">
        <v>60</v>
      </c>
      <c r="F48" s="139" t="s">
        <v>1229</v>
      </c>
      <c r="G48" s="143">
        <v>14706.03</v>
      </c>
      <c r="H48" s="142">
        <v>14806</v>
      </c>
      <c r="I48" s="139">
        <v>15926.63</v>
      </c>
      <c r="J48" s="139">
        <v>15927</v>
      </c>
    </row>
    <row r="49" spans="1:10">
      <c r="A49" s="139">
        <v>64</v>
      </c>
      <c r="B49" s="139" t="s">
        <v>2755</v>
      </c>
      <c r="C49" s="139" t="s">
        <v>2827</v>
      </c>
      <c r="D49" s="140" t="s">
        <v>1549</v>
      </c>
      <c r="E49" s="140" t="s">
        <v>60</v>
      </c>
      <c r="F49" s="139" t="s">
        <v>1569</v>
      </c>
      <c r="G49" s="143">
        <v>90946.44</v>
      </c>
      <c r="H49" s="142">
        <v>105156</v>
      </c>
      <c r="I49" s="139">
        <v>125141.05</v>
      </c>
      <c r="J49" s="139">
        <v>125142</v>
      </c>
    </row>
    <row r="50" spans="1:10">
      <c r="A50" s="139">
        <v>65</v>
      </c>
      <c r="B50" s="139" t="s">
        <v>2755</v>
      </c>
      <c r="C50" s="139" t="s">
        <v>2827</v>
      </c>
      <c r="D50" s="140" t="s">
        <v>1549</v>
      </c>
      <c r="E50" s="140" t="s">
        <v>60</v>
      </c>
      <c r="F50" s="139" t="s">
        <v>1570</v>
      </c>
      <c r="G50" s="143">
        <v>9630.2099999999991</v>
      </c>
      <c r="H50" s="142">
        <v>9730</v>
      </c>
      <c r="I50" s="139">
        <v>10429.530000000001</v>
      </c>
      <c r="J50" s="139">
        <v>10430</v>
      </c>
    </row>
    <row r="51" spans="1:10">
      <c r="A51" s="139">
        <v>66</v>
      </c>
      <c r="B51" s="139" t="s">
        <v>2755</v>
      </c>
      <c r="C51" s="139" t="s">
        <v>2827</v>
      </c>
      <c r="D51" s="140" t="s">
        <v>1549</v>
      </c>
      <c r="E51" s="140" t="s">
        <v>60</v>
      </c>
      <c r="F51" s="139" t="s">
        <v>1571</v>
      </c>
      <c r="G51" s="143">
        <v>116460.75</v>
      </c>
      <c r="H51" s="142">
        <v>126162</v>
      </c>
      <c r="I51" s="139">
        <v>140499.20000000001</v>
      </c>
      <c r="J51" s="139">
        <v>140500</v>
      </c>
    </row>
    <row r="52" spans="1:10">
      <c r="A52" s="139">
        <v>80</v>
      </c>
      <c r="B52" s="139" t="s">
        <v>2755</v>
      </c>
      <c r="C52" s="139" t="s">
        <v>2827</v>
      </c>
      <c r="D52" s="140" t="s">
        <v>1549</v>
      </c>
      <c r="E52" s="140" t="s">
        <v>60</v>
      </c>
      <c r="F52" s="139" t="s">
        <v>1572</v>
      </c>
      <c r="G52" s="143">
        <v>41614.32</v>
      </c>
      <c r="H52" s="142">
        <v>102891</v>
      </c>
      <c r="I52" s="139">
        <v>40410.730000000003</v>
      </c>
      <c r="J52" s="139">
        <v>40411</v>
      </c>
    </row>
    <row r="53" spans="1:10">
      <c r="A53" s="139">
        <v>81</v>
      </c>
      <c r="B53" s="139" t="s">
        <v>2755</v>
      </c>
      <c r="C53" s="139" t="s">
        <v>2827</v>
      </c>
      <c r="D53" s="140" t="s">
        <v>1549</v>
      </c>
      <c r="E53" s="140" t="s">
        <v>60</v>
      </c>
      <c r="F53" s="139" t="s">
        <v>1573</v>
      </c>
      <c r="G53" s="143">
        <v>129996.95</v>
      </c>
      <c r="H53" s="142">
        <v>163181</v>
      </c>
      <c r="I53" s="139">
        <v>141930.85999999999</v>
      </c>
      <c r="J53" s="139">
        <v>141931</v>
      </c>
    </row>
    <row r="54" spans="1:10">
      <c r="A54" s="139">
        <v>84</v>
      </c>
      <c r="B54" s="139" t="s">
        <v>2755</v>
      </c>
      <c r="C54" s="139" t="s">
        <v>2827</v>
      </c>
      <c r="D54" s="140" t="s">
        <v>1549</v>
      </c>
      <c r="E54" s="140" t="s">
        <v>60</v>
      </c>
      <c r="F54" s="139" t="s">
        <v>1244</v>
      </c>
      <c r="G54" s="150">
        <v>124440.09</v>
      </c>
      <c r="H54" s="142">
        <v>125224</v>
      </c>
      <c r="I54" s="139">
        <v>87863.039999999994</v>
      </c>
      <c r="J54" s="139">
        <v>87864</v>
      </c>
    </row>
    <row r="55" spans="1:10">
      <c r="A55" s="139">
        <v>87</v>
      </c>
      <c r="B55" s="139" t="s">
        <v>2755</v>
      </c>
      <c r="C55" s="139" t="s">
        <v>2827</v>
      </c>
      <c r="D55" s="140" t="s">
        <v>1549</v>
      </c>
      <c r="E55" s="140" t="s">
        <v>60</v>
      </c>
      <c r="F55" s="139" t="s">
        <v>458</v>
      </c>
      <c r="G55" s="143">
        <v>0</v>
      </c>
      <c r="H55" s="142">
        <v>5700</v>
      </c>
      <c r="I55" s="139">
        <v>10686.61</v>
      </c>
      <c r="J55" s="139">
        <v>10687</v>
      </c>
    </row>
    <row r="56" spans="1:10">
      <c r="A56" s="139">
        <v>100</v>
      </c>
      <c r="B56" s="139" t="s">
        <v>2755</v>
      </c>
      <c r="C56" s="139" t="s">
        <v>2827</v>
      </c>
      <c r="D56" s="140" t="s">
        <v>1549</v>
      </c>
      <c r="E56" s="140" t="s">
        <v>60</v>
      </c>
      <c r="F56" s="139" t="s">
        <v>1579</v>
      </c>
      <c r="G56" s="143">
        <v>108270.19</v>
      </c>
      <c r="H56" s="142">
        <v>108305</v>
      </c>
      <c r="I56" s="139">
        <v>153436.57999999999</v>
      </c>
      <c r="J56" s="139">
        <v>153437</v>
      </c>
    </row>
    <row r="57" spans="1:10">
      <c r="D57" s="140"/>
      <c r="G57" s="143"/>
      <c r="I57" s="157">
        <f>SUM(I39:I56)</f>
        <v>1133835.3700000001</v>
      </c>
      <c r="J57" s="157">
        <f>SUM(J39:J56)</f>
        <v>1133841</v>
      </c>
    </row>
    <row r="58" spans="1:10">
      <c r="D58" s="140"/>
      <c r="G58" s="143"/>
    </row>
    <row r="59" spans="1:10">
      <c r="A59" s="139">
        <v>51</v>
      </c>
      <c r="B59" s="139" t="s">
        <v>2755</v>
      </c>
      <c r="C59" s="139" t="s">
        <v>2878</v>
      </c>
      <c r="D59" s="140"/>
      <c r="G59" s="143"/>
      <c r="I59" s="139">
        <v>18213.3</v>
      </c>
      <c r="J59" s="139">
        <v>18214</v>
      </c>
    </row>
    <row r="60" spans="1:10">
      <c r="A60" s="139">
        <v>66</v>
      </c>
      <c r="B60" s="139" t="s">
        <v>2755</v>
      </c>
      <c r="C60" s="139" t="s">
        <v>2878</v>
      </c>
      <c r="D60" s="140" t="s">
        <v>1549</v>
      </c>
      <c r="E60" s="140" t="s">
        <v>1395</v>
      </c>
      <c r="F60" s="139" t="s">
        <v>1571</v>
      </c>
      <c r="G60" s="143">
        <v>0</v>
      </c>
      <c r="H60" s="142">
        <v>0</v>
      </c>
      <c r="I60" s="139">
        <v>781.19</v>
      </c>
      <c r="J60" s="139">
        <v>781</v>
      </c>
    </row>
    <row r="61" spans="1:10">
      <c r="A61" s="139">
        <v>81</v>
      </c>
      <c r="B61" s="139" t="s">
        <v>2755</v>
      </c>
      <c r="C61" s="139" t="s">
        <v>2878</v>
      </c>
      <c r="D61" s="140" t="s">
        <v>1549</v>
      </c>
      <c r="E61" s="140" t="s">
        <v>1395</v>
      </c>
      <c r="F61" s="139" t="s">
        <v>1573</v>
      </c>
      <c r="G61" s="143">
        <v>38755.57</v>
      </c>
      <c r="H61" s="142">
        <v>38800</v>
      </c>
      <c r="I61" s="139">
        <v>38227.480000000003</v>
      </c>
      <c r="J61" s="139">
        <v>38228</v>
      </c>
    </row>
    <row r="62" spans="1:10">
      <c r="A62" s="139">
        <v>84</v>
      </c>
      <c r="B62" s="139" t="s">
        <v>2755</v>
      </c>
      <c r="C62" s="139" t="s">
        <v>2878</v>
      </c>
      <c r="D62" s="140" t="s">
        <v>1549</v>
      </c>
      <c r="E62" s="140" t="s">
        <v>1395</v>
      </c>
      <c r="F62" s="139" t="s">
        <v>1244</v>
      </c>
      <c r="G62" s="150">
        <v>119358.56</v>
      </c>
      <c r="H62" s="142">
        <v>120000</v>
      </c>
      <c r="I62" s="139">
        <v>77347.89</v>
      </c>
      <c r="J62" s="139">
        <v>77348</v>
      </c>
    </row>
    <row r="63" spans="1:10">
      <c r="A63" s="139">
        <v>100</v>
      </c>
      <c r="B63" s="139" t="s">
        <v>2755</v>
      </c>
      <c r="C63" s="139" t="s">
        <v>2878</v>
      </c>
      <c r="D63" s="140" t="s">
        <v>1549</v>
      </c>
      <c r="E63" s="140" t="s">
        <v>1395</v>
      </c>
      <c r="F63" s="139" t="s">
        <v>1579</v>
      </c>
      <c r="G63" s="143">
        <v>40451.279999999999</v>
      </c>
      <c r="H63" s="142">
        <v>40500</v>
      </c>
      <c r="I63" s="139">
        <v>38576.76</v>
      </c>
      <c r="J63" s="139">
        <v>38576</v>
      </c>
    </row>
    <row r="64" spans="1:10">
      <c r="D64" s="140"/>
      <c r="G64" s="143"/>
      <c r="I64" s="157">
        <f>SUM(I59:I63)</f>
        <v>173146.62</v>
      </c>
      <c r="J64" s="157">
        <f>SUM(J59:J63)</f>
        <v>173147</v>
      </c>
    </row>
    <row r="65" spans="1:10">
      <c r="D65" s="140"/>
      <c r="G65" s="143"/>
    </row>
    <row r="66" spans="1:10">
      <c r="A66" s="139">
        <v>20</v>
      </c>
      <c r="B66" s="139" t="s">
        <v>2755</v>
      </c>
      <c r="C66" s="139" t="s">
        <v>2828</v>
      </c>
      <c r="D66" s="140" t="s">
        <v>1549</v>
      </c>
      <c r="E66" s="140" t="s">
        <v>515</v>
      </c>
      <c r="F66" s="139" t="s">
        <v>1559</v>
      </c>
      <c r="G66" s="143">
        <v>136926.10999999999</v>
      </c>
      <c r="H66" s="142">
        <v>137000</v>
      </c>
      <c r="I66" s="139">
        <v>86039.2</v>
      </c>
      <c r="J66" s="139">
        <v>86040</v>
      </c>
    </row>
    <row r="67" spans="1:10">
      <c r="A67" s="139">
        <v>27</v>
      </c>
      <c r="B67" s="139" t="s">
        <v>2755</v>
      </c>
      <c r="C67" s="139" t="s">
        <v>2828</v>
      </c>
      <c r="D67" s="140" t="s">
        <v>1549</v>
      </c>
      <c r="E67" s="140" t="s">
        <v>515</v>
      </c>
      <c r="F67" s="139" t="s">
        <v>1563</v>
      </c>
      <c r="G67" s="143">
        <v>86442.47</v>
      </c>
      <c r="H67" s="142">
        <v>90000</v>
      </c>
      <c r="I67" s="139">
        <v>276380.2</v>
      </c>
      <c r="J67" s="139">
        <v>276381</v>
      </c>
    </row>
    <row r="68" spans="1:10">
      <c r="A68" s="139">
        <v>32</v>
      </c>
      <c r="B68" s="139" t="s">
        <v>2755</v>
      </c>
      <c r="C68" s="139" t="s">
        <v>2828</v>
      </c>
      <c r="D68" s="140" t="s">
        <v>1549</v>
      </c>
      <c r="E68" s="140" t="s">
        <v>515</v>
      </c>
      <c r="F68" s="139" t="s">
        <v>1566</v>
      </c>
      <c r="G68" s="143">
        <v>8520.5</v>
      </c>
      <c r="H68" s="142">
        <v>9000</v>
      </c>
      <c r="I68" s="139">
        <v>0</v>
      </c>
      <c r="J68" s="139">
        <v>0</v>
      </c>
    </row>
    <row r="69" spans="1:10">
      <c r="A69" s="139">
        <v>50</v>
      </c>
      <c r="B69" s="139" t="s">
        <v>2755</v>
      </c>
      <c r="C69" s="139" t="s">
        <v>2828</v>
      </c>
      <c r="D69" s="140" t="s">
        <v>1549</v>
      </c>
      <c r="E69" s="140" t="s">
        <v>515</v>
      </c>
      <c r="F69" s="139" t="s">
        <v>1567</v>
      </c>
      <c r="G69" s="143">
        <v>159134.39999999999</v>
      </c>
      <c r="H69" s="142">
        <v>190000</v>
      </c>
      <c r="I69" s="139">
        <v>115641.3</v>
      </c>
      <c r="J69" s="139">
        <v>115642</v>
      </c>
    </row>
    <row r="70" spans="1:10">
      <c r="A70" s="139">
        <v>63</v>
      </c>
      <c r="B70" s="139" t="s">
        <v>2755</v>
      </c>
      <c r="C70" s="139" t="s">
        <v>2828</v>
      </c>
      <c r="D70" s="140" t="s">
        <v>1549</v>
      </c>
      <c r="E70" s="140" t="s">
        <v>515</v>
      </c>
      <c r="F70" s="139" t="s">
        <v>1229</v>
      </c>
      <c r="G70" s="143">
        <v>24504.48</v>
      </c>
      <c r="H70" s="142">
        <v>24604</v>
      </c>
      <c r="I70" s="139">
        <v>4084.08</v>
      </c>
      <c r="J70" s="139">
        <v>4084</v>
      </c>
    </row>
    <row r="71" spans="1:10">
      <c r="A71" s="139">
        <v>64</v>
      </c>
      <c r="B71" s="139" t="s">
        <v>2755</v>
      </c>
      <c r="C71" s="139" t="s">
        <v>2828</v>
      </c>
      <c r="D71" s="140" t="s">
        <v>1549</v>
      </c>
      <c r="E71" s="140" t="s">
        <v>515</v>
      </c>
      <c r="F71" s="139" t="s">
        <v>1569</v>
      </c>
      <c r="G71" s="143">
        <v>0</v>
      </c>
      <c r="H71" s="142">
        <v>0</v>
      </c>
      <c r="I71" s="139">
        <v>0</v>
      </c>
      <c r="J71" s="139">
        <v>0</v>
      </c>
    </row>
    <row r="72" spans="1:10">
      <c r="A72" s="139">
        <v>66</v>
      </c>
      <c r="B72" s="139" t="s">
        <v>2755</v>
      </c>
      <c r="C72" s="139" t="s">
        <v>2828</v>
      </c>
      <c r="D72" s="140" t="s">
        <v>1549</v>
      </c>
      <c r="E72" s="140" t="s">
        <v>515</v>
      </c>
      <c r="F72" s="139" t="s">
        <v>1571</v>
      </c>
      <c r="G72" s="143">
        <v>0</v>
      </c>
      <c r="H72" s="142">
        <v>0</v>
      </c>
      <c r="I72" s="139">
        <v>0</v>
      </c>
      <c r="J72" s="139">
        <v>0</v>
      </c>
    </row>
    <row r="73" spans="1:10">
      <c r="A73" s="139">
        <v>80</v>
      </c>
      <c r="B73" s="139" t="s">
        <v>2755</v>
      </c>
      <c r="C73" s="139" t="s">
        <v>2828</v>
      </c>
      <c r="D73" s="140" t="s">
        <v>1549</v>
      </c>
      <c r="E73" s="140" t="s">
        <v>515</v>
      </c>
      <c r="F73" s="139" t="s">
        <v>1572</v>
      </c>
      <c r="G73" s="143">
        <v>40854.54</v>
      </c>
      <c r="H73" s="142">
        <v>40855</v>
      </c>
      <c r="I73" s="139">
        <v>45946.14</v>
      </c>
      <c r="J73" s="139">
        <v>45947</v>
      </c>
    </row>
    <row r="74" spans="1:10">
      <c r="A74" s="139">
        <v>81</v>
      </c>
      <c r="B74" s="139" t="s">
        <v>2755</v>
      </c>
      <c r="C74" s="139" t="s">
        <v>2828</v>
      </c>
      <c r="D74" s="140" t="s">
        <v>1549</v>
      </c>
      <c r="E74" s="140" t="s">
        <v>515</v>
      </c>
      <c r="F74" s="139" t="s">
        <v>1573</v>
      </c>
      <c r="G74" s="143">
        <v>622.49</v>
      </c>
      <c r="H74" s="142">
        <v>700</v>
      </c>
      <c r="I74" s="139">
        <v>18278.939999999999</v>
      </c>
      <c r="J74" s="139">
        <v>18278</v>
      </c>
    </row>
    <row r="75" spans="1:10">
      <c r="A75" s="139">
        <v>84</v>
      </c>
      <c r="B75" s="139" t="s">
        <v>2755</v>
      </c>
      <c r="C75" s="139" t="s">
        <v>2828</v>
      </c>
      <c r="D75" s="140" t="s">
        <v>1549</v>
      </c>
      <c r="E75" s="140" t="s">
        <v>515</v>
      </c>
      <c r="F75" s="139" t="s">
        <v>1244</v>
      </c>
      <c r="G75" s="150">
        <v>1439.92</v>
      </c>
      <c r="H75" s="142">
        <v>1500</v>
      </c>
      <c r="I75" s="139">
        <v>29970.65</v>
      </c>
      <c r="J75" s="139">
        <v>29971</v>
      </c>
    </row>
    <row r="76" spans="1:10">
      <c r="A76" s="139">
        <v>100</v>
      </c>
      <c r="B76" s="139" t="s">
        <v>2755</v>
      </c>
      <c r="C76" s="139" t="s">
        <v>2828</v>
      </c>
      <c r="D76" s="140" t="s">
        <v>1549</v>
      </c>
      <c r="E76" s="140" t="s">
        <v>515</v>
      </c>
      <c r="F76" s="139" t="s">
        <v>1579</v>
      </c>
      <c r="G76" s="143">
        <v>67567.320000000007</v>
      </c>
      <c r="H76" s="142">
        <v>67600</v>
      </c>
      <c r="I76" s="139">
        <v>106836.97</v>
      </c>
      <c r="J76" s="139">
        <v>106837</v>
      </c>
    </row>
    <row r="77" spans="1:10">
      <c r="D77" s="140"/>
      <c r="G77" s="143"/>
      <c r="I77" s="157">
        <f>SUM(I66:I76)</f>
        <v>683177.48</v>
      </c>
      <c r="J77" s="157">
        <f>SUM(J66:J76)</f>
        <v>683180</v>
      </c>
    </row>
    <row r="78" spans="1:10">
      <c r="D78" s="140"/>
      <c r="G78" s="143"/>
    </row>
    <row r="79" spans="1:10">
      <c r="A79" s="139">
        <v>20</v>
      </c>
      <c r="B79" s="139" t="s">
        <v>2755</v>
      </c>
      <c r="C79" s="139" t="s">
        <v>2829</v>
      </c>
      <c r="D79" s="140" t="s">
        <v>1549</v>
      </c>
      <c r="E79" s="140" t="s">
        <v>660</v>
      </c>
      <c r="F79" s="139" t="s">
        <v>1559</v>
      </c>
      <c r="G79" s="143">
        <v>0</v>
      </c>
      <c r="H79" s="142">
        <v>0</v>
      </c>
      <c r="I79" s="139">
        <v>0</v>
      </c>
      <c r="J79" s="139">
        <v>0</v>
      </c>
    </row>
    <row r="80" spans="1:10">
      <c r="A80" s="139">
        <v>27</v>
      </c>
      <c r="B80" s="139" t="s">
        <v>2755</v>
      </c>
      <c r="C80" s="139" t="s">
        <v>2829</v>
      </c>
      <c r="D80" s="140" t="s">
        <v>1549</v>
      </c>
      <c r="E80" s="140" t="s">
        <v>660</v>
      </c>
      <c r="F80" s="139" t="s">
        <v>1563</v>
      </c>
      <c r="G80" s="143">
        <v>0</v>
      </c>
      <c r="H80" s="142">
        <v>0</v>
      </c>
      <c r="I80" s="139">
        <v>0</v>
      </c>
      <c r="J80" s="139">
        <v>0</v>
      </c>
    </row>
    <row r="81" spans="1:10">
      <c r="A81" s="139">
        <v>31</v>
      </c>
      <c r="B81" s="139" t="s">
        <v>2755</v>
      </c>
      <c r="C81" s="139" t="s">
        <v>2829</v>
      </c>
      <c r="D81" s="140" t="s">
        <v>1549</v>
      </c>
      <c r="E81" s="140" t="s">
        <v>660</v>
      </c>
      <c r="F81" s="139" t="s">
        <v>1565</v>
      </c>
      <c r="G81" s="143">
        <v>0</v>
      </c>
      <c r="H81" s="142">
        <v>0</v>
      </c>
      <c r="I81" s="139">
        <v>0</v>
      </c>
      <c r="J81" s="139">
        <v>0</v>
      </c>
    </row>
    <row r="82" spans="1:10">
      <c r="A82" s="139">
        <v>50</v>
      </c>
      <c r="B82" s="139" t="s">
        <v>2755</v>
      </c>
      <c r="C82" s="139" t="s">
        <v>2829</v>
      </c>
      <c r="D82" s="140" t="s">
        <v>1549</v>
      </c>
      <c r="E82" s="140" t="s">
        <v>660</v>
      </c>
      <c r="F82" s="139" t="s">
        <v>1567</v>
      </c>
      <c r="G82" s="143">
        <v>0</v>
      </c>
      <c r="H82" s="142">
        <v>0</v>
      </c>
      <c r="I82" s="139">
        <v>0</v>
      </c>
      <c r="J82" s="139">
        <v>0</v>
      </c>
    </row>
    <row r="83" spans="1:10">
      <c r="A83" s="139">
        <v>63</v>
      </c>
      <c r="B83" s="139" t="s">
        <v>2755</v>
      </c>
      <c r="C83" s="139" t="s">
        <v>2829</v>
      </c>
      <c r="D83" s="140" t="s">
        <v>1549</v>
      </c>
      <c r="E83" s="140" t="s">
        <v>660</v>
      </c>
      <c r="F83" s="139" t="s">
        <v>1229</v>
      </c>
      <c r="G83" s="143">
        <v>0</v>
      </c>
      <c r="H83" s="142">
        <v>0</v>
      </c>
      <c r="I83" s="139">
        <v>0</v>
      </c>
      <c r="J83" s="139">
        <v>0</v>
      </c>
    </row>
    <row r="84" spans="1:10">
      <c r="A84" s="139">
        <v>64</v>
      </c>
      <c r="B84" s="139" t="s">
        <v>2755</v>
      </c>
      <c r="C84" s="139" t="s">
        <v>2829</v>
      </c>
      <c r="D84" s="140" t="s">
        <v>1549</v>
      </c>
      <c r="E84" s="140" t="s">
        <v>660</v>
      </c>
      <c r="F84" s="139" t="s">
        <v>1569</v>
      </c>
      <c r="G84" s="143">
        <v>0</v>
      </c>
      <c r="H84" s="142">
        <v>0</v>
      </c>
      <c r="I84" s="139">
        <v>0</v>
      </c>
      <c r="J84" s="139">
        <v>0</v>
      </c>
    </row>
    <row r="85" spans="1:10">
      <c r="A85" s="139">
        <v>66</v>
      </c>
      <c r="B85" s="139" t="s">
        <v>2755</v>
      </c>
      <c r="C85" s="139" t="s">
        <v>2829</v>
      </c>
      <c r="D85" s="140" t="s">
        <v>1549</v>
      </c>
      <c r="E85" s="140" t="s">
        <v>660</v>
      </c>
      <c r="F85" s="139" t="s">
        <v>1571</v>
      </c>
      <c r="G85" s="143">
        <v>0</v>
      </c>
      <c r="H85" s="142">
        <v>0</v>
      </c>
      <c r="I85" s="139">
        <v>0</v>
      </c>
      <c r="J85" s="139">
        <v>0</v>
      </c>
    </row>
    <row r="86" spans="1:10">
      <c r="A86" s="139">
        <v>80</v>
      </c>
      <c r="B86" s="139" t="s">
        <v>2755</v>
      </c>
      <c r="C86" s="139" t="s">
        <v>2829</v>
      </c>
      <c r="D86" s="140" t="s">
        <v>1549</v>
      </c>
      <c r="E86" s="140" t="s">
        <v>660</v>
      </c>
      <c r="F86" s="139" t="s">
        <v>1572</v>
      </c>
      <c r="G86" s="143">
        <v>0</v>
      </c>
      <c r="H86" s="142">
        <v>0</v>
      </c>
      <c r="I86" s="139">
        <v>0</v>
      </c>
      <c r="J86" s="139">
        <v>0</v>
      </c>
    </row>
    <row r="87" spans="1:10">
      <c r="A87" s="139">
        <v>81</v>
      </c>
      <c r="B87" s="139" t="s">
        <v>2755</v>
      </c>
      <c r="C87" s="139" t="s">
        <v>2829</v>
      </c>
      <c r="D87" s="140" t="s">
        <v>1549</v>
      </c>
      <c r="E87" s="140" t="s">
        <v>660</v>
      </c>
      <c r="F87" s="139" t="s">
        <v>1573</v>
      </c>
      <c r="G87" s="143">
        <v>0</v>
      </c>
      <c r="H87" s="142">
        <v>0</v>
      </c>
      <c r="I87" s="139">
        <v>0</v>
      </c>
      <c r="J87" s="139">
        <v>0</v>
      </c>
    </row>
    <row r="88" spans="1:10">
      <c r="A88" s="139">
        <v>84</v>
      </c>
      <c r="B88" s="139" t="s">
        <v>2755</v>
      </c>
      <c r="C88" s="139" t="s">
        <v>2829</v>
      </c>
      <c r="D88" s="140" t="s">
        <v>1549</v>
      </c>
      <c r="E88" s="140" t="s">
        <v>660</v>
      </c>
      <c r="F88" s="139" t="s">
        <v>1244</v>
      </c>
      <c r="G88" s="150">
        <v>0</v>
      </c>
      <c r="H88" s="142">
        <v>0</v>
      </c>
      <c r="I88" s="139">
        <v>0</v>
      </c>
      <c r="J88" s="139">
        <v>0</v>
      </c>
    </row>
    <row r="89" spans="1:10">
      <c r="A89" s="139">
        <v>100</v>
      </c>
      <c r="B89" s="139" t="s">
        <v>2755</v>
      </c>
      <c r="C89" s="139" t="s">
        <v>2829</v>
      </c>
      <c r="D89" s="140" t="s">
        <v>1549</v>
      </c>
      <c r="E89" s="140" t="s">
        <v>660</v>
      </c>
      <c r="F89" s="139" t="s">
        <v>1579</v>
      </c>
      <c r="G89" s="143">
        <v>0</v>
      </c>
      <c r="H89" s="142">
        <v>0</v>
      </c>
      <c r="I89" s="139">
        <v>0</v>
      </c>
      <c r="J89" s="139">
        <v>0</v>
      </c>
    </row>
    <row r="90" spans="1:10">
      <c r="D90" s="140"/>
      <c r="G90" s="143"/>
    </row>
    <row r="91" spans="1:10">
      <c r="D91" s="140"/>
      <c r="G91" s="143"/>
    </row>
    <row r="92" spans="1:10">
      <c r="A92" s="139">
        <v>20</v>
      </c>
      <c r="B92" s="139" t="s">
        <v>2755</v>
      </c>
      <c r="C92" s="139" t="s">
        <v>2830</v>
      </c>
      <c r="D92" s="140" t="s">
        <v>1549</v>
      </c>
      <c r="E92" s="140" t="s">
        <v>767</v>
      </c>
      <c r="F92" s="139" t="s">
        <v>1559</v>
      </c>
      <c r="G92" s="143">
        <v>7051.32</v>
      </c>
      <c r="H92" s="142">
        <v>7087</v>
      </c>
      <c r="I92" s="139">
        <v>4712</v>
      </c>
      <c r="J92" s="139">
        <v>4712</v>
      </c>
    </row>
    <row r="93" spans="1:10">
      <c r="A93" s="139">
        <v>21</v>
      </c>
      <c r="B93" s="139" t="s">
        <v>2755</v>
      </c>
      <c r="C93" s="139" t="s">
        <v>2830</v>
      </c>
      <c r="D93" s="140" t="s">
        <v>1549</v>
      </c>
      <c r="E93" s="140" t="s">
        <v>767</v>
      </c>
      <c r="F93" s="139" t="s">
        <v>1560</v>
      </c>
      <c r="G93" s="143">
        <v>0</v>
      </c>
      <c r="H93" s="142">
        <v>0</v>
      </c>
      <c r="I93" s="139">
        <v>0</v>
      </c>
      <c r="J93" s="139">
        <v>0</v>
      </c>
    </row>
    <row r="94" spans="1:10">
      <c r="A94" s="139">
        <v>27</v>
      </c>
      <c r="B94" s="139" t="s">
        <v>2755</v>
      </c>
      <c r="C94" s="139" t="s">
        <v>2830</v>
      </c>
      <c r="D94" s="140" t="s">
        <v>1549</v>
      </c>
      <c r="E94" s="140" t="s">
        <v>767</v>
      </c>
      <c r="F94" s="139" t="s">
        <v>1563</v>
      </c>
      <c r="G94" s="143">
        <v>20670.2</v>
      </c>
      <c r="H94" s="142">
        <v>20700</v>
      </c>
      <c r="I94" s="139">
        <v>25063.279999999999</v>
      </c>
      <c r="J94" s="139">
        <v>25064</v>
      </c>
    </row>
    <row r="95" spans="1:10">
      <c r="A95" s="139">
        <v>31</v>
      </c>
      <c r="B95" s="139" t="s">
        <v>2755</v>
      </c>
      <c r="C95" s="139" t="s">
        <v>2830</v>
      </c>
      <c r="D95" s="140" t="s">
        <v>1549</v>
      </c>
      <c r="E95" s="140" t="s">
        <v>767</v>
      </c>
      <c r="F95" s="139" t="s">
        <v>1565</v>
      </c>
      <c r="G95" s="143">
        <v>0</v>
      </c>
      <c r="H95" s="142">
        <v>0</v>
      </c>
      <c r="I95" s="139">
        <v>0</v>
      </c>
      <c r="J95" s="139">
        <v>0</v>
      </c>
    </row>
    <row r="96" spans="1:10">
      <c r="A96" s="139">
        <v>32</v>
      </c>
      <c r="B96" s="139" t="s">
        <v>2755</v>
      </c>
      <c r="C96" s="139" t="s">
        <v>2830</v>
      </c>
      <c r="D96" s="140" t="s">
        <v>1549</v>
      </c>
      <c r="E96" s="140" t="s">
        <v>767</v>
      </c>
      <c r="F96" s="139" t="s">
        <v>1566</v>
      </c>
      <c r="G96" s="143">
        <v>0</v>
      </c>
      <c r="H96" s="142">
        <v>0</v>
      </c>
      <c r="I96" s="139">
        <v>0</v>
      </c>
      <c r="J96" s="139">
        <v>0</v>
      </c>
    </row>
    <row r="97" spans="1:10">
      <c r="A97" s="139">
        <v>50</v>
      </c>
      <c r="B97" s="139" t="s">
        <v>2755</v>
      </c>
      <c r="C97" s="139" t="s">
        <v>2830</v>
      </c>
      <c r="D97" s="140" t="s">
        <v>1549</v>
      </c>
      <c r="E97" s="140" t="s">
        <v>767</v>
      </c>
      <c r="F97" s="139" t="s">
        <v>1567</v>
      </c>
      <c r="G97" s="143">
        <v>44380.95</v>
      </c>
      <c r="H97" s="142">
        <v>45000</v>
      </c>
      <c r="I97" s="139">
        <v>17754.84</v>
      </c>
      <c r="J97" s="139">
        <v>17755</v>
      </c>
    </row>
    <row r="98" spans="1:10">
      <c r="A98" s="139">
        <v>52</v>
      </c>
      <c r="B98" s="139" t="s">
        <v>2755</v>
      </c>
      <c r="C98" s="139" t="s">
        <v>2830</v>
      </c>
      <c r="D98" s="140" t="s">
        <v>1549</v>
      </c>
      <c r="E98" s="140" t="s">
        <v>767</v>
      </c>
      <c r="F98" s="139" t="s">
        <v>1568</v>
      </c>
      <c r="G98" s="143">
        <v>0</v>
      </c>
      <c r="H98" s="142">
        <v>0</v>
      </c>
      <c r="I98" s="139">
        <v>0</v>
      </c>
      <c r="J98" s="139">
        <v>0</v>
      </c>
    </row>
    <row r="99" spans="1:10">
      <c r="A99" s="139">
        <v>63</v>
      </c>
      <c r="B99" s="139" t="s">
        <v>2755</v>
      </c>
      <c r="C99" s="139" t="s">
        <v>2830</v>
      </c>
      <c r="D99" s="140" t="s">
        <v>1549</v>
      </c>
      <c r="E99" s="140" t="s">
        <v>767</v>
      </c>
      <c r="F99" s="139" t="s">
        <v>1229</v>
      </c>
      <c r="G99" s="143">
        <v>7068</v>
      </c>
      <c r="H99" s="142">
        <v>7000</v>
      </c>
      <c r="I99" s="139">
        <v>1248</v>
      </c>
      <c r="J99" s="139">
        <v>1248</v>
      </c>
    </row>
    <row r="100" spans="1:10">
      <c r="A100" s="139">
        <v>64</v>
      </c>
      <c r="B100" s="139" t="s">
        <v>2755</v>
      </c>
      <c r="C100" s="139" t="s">
        <v>2830</v>
      </c>
      <c r="D100" s="140" t="s">
        <v>1549</v>
      </c>
      <c r="E100" s="140" t="s">
        <v>767</v>
      </c>
      <c r="F100" s="139" t="s">
        <v>1569</v>
      </c>
      <c r="G100" s="143">
        <v>0</v>
      </c>
      <c r="H100" s="142">
        <v>0</v>
      </c>
      <c r="I100" s="139">
        <v>0</v>
      </c>
      <c r="J100" s="139">
        <v>0</v>
      </c>
    </row>
    <row r="101" spans="1:10">
      <c r="A101" s="139">
        <v>66</v>
      </c>
      <c r="B101" s="139" t="s">
        <v>2755</v>
      </c>
      <c r="C101" s="139" t="s">
        <v>2830</v>
      </c>
      <c r="D101" s="140" t="s">
        <v>1549</v>
      </c>
      <c r="E101" s="140" t="s">
        <v>767</v>
      </c>
      <c r="F101" s="139" t="s">
        <v>1571</v>
      </c>
      <c r="G101" s="143">
        <v>0</v>
      </c>
      <c r="H101" s="142">
        <v>0</v>
      </c>
      <c r="I101" s="139">
        <v>0</v>
      </c>
      <c r="J101" s="139">
        <v>0</v>
      </c>
    </row>
    <row r="102" spans="1:10">
      <c r="A102" s="139">
        <v>80</v>
      </c>
      <c r="B102" s="139" t="s">
        <v>2755</v>
      </c>
      <c r="C102" s="139" t="s">
        <v>2830</v>
      </c>
      <c r="D102" s="140" t="s">
        <v>1549</v>
      </c>
      <c r="E102" s="140" t="s">
        <v>767</v>
      </c>
      <c r="F102" s="139" t="s">
        <v>1572</v>
      </c>
      <c r="G102" s="143">
        <v>7068</v>
      </c>
      <c r="H102" s="142">
        <v>7100</v>
      </c>
      <c r="I102" s="139">
        <v>8244</v>
      </c>
      <c r="J102" s="139">
        <v>8244</v>
      </c>
    </row>
    <row r="103" spans="1:10">
      <c r="A103" s="139">
        <v>81</v>
      </c>
      <c r="B103" s="139" t="s">
        <v>2755</v>
      </c>
      <c r="C103" s="139" t="s">
        <v>2830</v>
      </c>
      <c r="D103" s="140" t="s">
        <v>1549</v>
      </c>
      <c r="E103" s="140" t="s">
        <v>767</v>
      </c>
      <c r="F103" s="139" t="s">
        <v>1573</v>
      </c>
      <c r="G103" s="143">
        <v>7068</v>
      </c>
      <c r="H103" s="142">
        <v>7100</v>
      </c>
      <c r="I103" s="139">
        <v>8244</v>
      </c>
      <c r="J103" s="139">
        <v>8244</v>
      </c>
    </row>
    <row r="104" spans="1:10">
      <c r="A104" s="139">
        <v>84</v>
      </c>
      <c r="B104" s="139" t="s">
        <v>2755</v>
      </c>
      <c r="C104" s="139" t="s">
        <v>2830</v>
      </c>
      <c r="D104" s="140" t="s">
        <v>1549</v>
      </c>
      <c r="E104" s="140" t="s">
        <v>767</v>
      </c>
      <c r="F104" s="139" t="s">
        <v>1244</v>
      </c>
      <c r="G104" s="150">
        <v>13908</v>
      </c>
      <c r="H104" s="142">
        <v>15000</v>
      </c>
      <c r="I104" s="139">
        <v>990.4</v>
      </c>
      <c r="J104" s="139">
        <v>991</v>
      </c>
    </row>
    <row r="105" spans="1:10">
      <c r="A105" s="139">
        <v>87</v>
      </c>
      <c r="B105" s="139" t="s">
        <v>2755</v>
      </c>
      <c r="C105" s="139" t="s">
        <v>2830</v>
      </c>
      <c r="D105" s="140" t="s">
        <v>1549</v>
      </c>
      <c r="E105" s="140" t="s">
        <v>767</v>
      </c>
      <c r="G105" s="143"/>
      <c r="I105" s="139">
        <v>3424</v>
      </c>
      <c r="J105" s="139">
        <v>3424</v>
      </c>
    </row>
    <row r="106" spans="1:10">
      <c r="A106" s="139">
        <v>100</v>
      </c>
      <c r="B106" s="139" t="s">
        <v>2755</v>
      </c>
      <c r="C106" s="139" t="s">
        <v>2830</v>
      </c>
      <c r="D106" s="140" t="s">
        <v>1549</v>
      </c>
      <c r="E106" s="140" t="s">
        <v>767</v>
      </c>
      <c r="F106" s="139" t="s">
        <v>1579</v>
      </c>
      <c r="G106" s="143">
        <v>11947</v>
      </c>
      <c r="H106" s="142">
        <v>13000</v>
      </c>
      <c r="I106" s="139">
        <v>17245</v>
      </c>
      <c r="J106" s="139">
        <v>17245</v>
      </c>
    </row>
    <row r="107" spans="1:10">
      <c r="A107" s="161"/>
      <c r="B107" s="161"/>
      <c r="C107" s="161"/>
      <c r="D107" s="162"/>
      <c r="E107" s="162"/>
      <c r="F107" s="161"/>
      <c r="G107" s="163"/>
      <c r="H107" s="164"/>
      <c r="I107" s="161">
        <f>SUM(I92:I106)</f>
        <v>86925.51999999999</v>
      </c>
      <c r="J107" s="161">
        <f>SUM(J92:J106)</f>
        <v>86927</v>
      </c>
    </row>
    <row r="108" spans="1:10">
      <c r="D108" s="140"/>
      <c r="G108" s="143"/>
    </row>
    <row r="109" spans="1:10">
      <c r="A109" s="139">
        <v>20</v>
      </c>
      <c r="B109" s="139" t="s">
        <v>2755</v>
      </c>
      <c r="C109" s="139" t="s">
        <v>2831</v>
      </c>
      <c r="D109" s="140" t="s">
        <v>1549</v>
      </c>
      <c r="E109" s="140" t="s">
        <v>84</v>
      </c>
      <c r="F109" s="139" t="s">
        <v>1559</v>
      </c>
      <c r="G109" s="143">
        <v>202494.53</v>
      </c>
      <c r="H109" s="142">
        <v>202500</v>
      </c>
      <c r="I109" s="139">
        <v>220467.89</v>
      </c>
      <c r="J109" s="139">
        <v>220467</v>
      </c>
    </row>
    <row r="110" spans="1:10">
      <c r="A110" s="139">
        <v>21</v>
      </c>
      <c r="B110" s="139" t="s">
        <v>2755</v>
      </c>
      <c r="C110" s="139" t="s">
        <v>2831</v>
      </c>
      <c r="D110" s="140" t="s">
        <v>1549</v>
      </c>
      <c r="E110" s="140" t="s">
        <v>84</v>
      </c>
      <c r="F110" s="139" t="s">
        <v>1560</v>
      </c>
      <c r="G110" s="143">
        <v>0</v>
      </c>
      <c r="H110" s="142">
        <v>0</v>
      </c>
      <c r="I110" s="139">
        <v>0</v>
      </c>
      <c r="J110" s="139">
        <v>0</v>
      </c>
    </row>
    <row r="111" spans="1:10">
      <c r="A111" s="139">
        <v>22</v>
      </c>
      <c r="B111" s="139" t="s">
        <v>2755</v>
      </c>
      <c r="C111" s="139" t="s">
        <v>2831</v>
      </c>
      <c r="D111" s="140" t="s">
        <v>1549</v>
      </c>
      <c r="E111" s="140" t="s">
        <v>84</v>
      </c>
      <c r="F111" s="139" t="s">
        <v>1561</v>
      </c>
      <c r="G111" s="143">
        <v>0</v>
      </c>
      <c r="H111" s="142">
        <v>18000</v>
      </c>
      <c r="I111" s="139">
        <v>0</v>
      </c>
      <c r="J111" s="139">
        <v>0</v>
      </c>
    </row>
    <row r="112" spans="1:10">
      <c r="A112" s="139">
        <v>27</v>
      </c>
      <c r="B112" s="139" t="s">
        <v>2755</v>
      </c>
      <c r="C112" s="139" t="s">
        <v>2831</v>
      </c>
      <c r="D112" s="140" t="s">
        <v>1549</v>
      </c>
      <c r="E112" s="140" t="s">
        <v>84</v>
      </c>
      <c r="F112" s="139" t="s">
        <v>1563</v>
      </c>
      <c r="G112" s="143">
        <v>224416.53</v>
      </c>
      <c r="H112" s="142">
        <v>226000</v>
      </c>
      <c r="I112" s="139">
        <v>212791.04000000001</v>
      </c>
      <c r="J112" s="139">
        <v>212791</v>
      </c>
    </row>
    <row r="113" spans="1:10">
      <c r="A113" s="139">
        <v>32</v>
      </c>
      <c r="B113" s="139" t="s">
        <v>2755</v>
      </c>
      <c r="C113" s="139" t="s">
        <v>2831</v>
      </c>
      <c r="D113" s="140" t="s">
        <v>1549</v>
      </c>
      <c r="E113" s="140" t="s">
        <v>84</v>
      </c>
      <c r="G113" s="143"/>
      <c r="I113" s="139">
        <v>1048.4000000000001</v>
      </c>
      <c r="J113" s="139">
        <v>1048</v>
      </c>
    </row>
    <row r="114" spans="1:10">
      <c r="A114" s="139">
        <v>50</v>
      </c>
      <c r="B114" s="139" t="s">
        <v>2755</v>
      </c>
      <c r="C114" s="139" t="s">
        <v>2831</v>
      </c>
      <c r="D114" s="140" t="s">
        <v>1549</v>
      </c>
      <c r="E114" s="140" t="s">
        <v>84</v>
      </c>
      <c r="F114" s="139" t="s">
        <v>1567</v>
      </c>
      <c r="G114" s="143">
        <v>260960.68</v>
      </c>
      <c r="H114" s="142">
        <v>261600</v>
      </c>
      <c r="I114" s="139">
        <v>379027.3</v>
      </c>
      <c r="J114" s="139">
        <v>379027</v>
      </c>
    </row>
    <row r="115" spans="1:10">
      <c r="A115" s="139">
        <v>52</v>
      </c>
      <c r="B115" s="139" t="s">
        <v>2755</v>
      </c>
      <c r="C115" s="139" t="s">
        <v>2831</v>
      </c>
      <c r="D115" s="140" t="s">
        <v>1549</v>
      </c>
      <c r="E115" s="140" t="s">
        <v>84</v>
      </c>
      <c r="F115" s="139" t="s">
        <v>1568</v>
      </c>
      <c r="G115" s="143">
        <v>44295</v>
      </c>
      <c r="H115" s="142">
        <v>44295</v>
      </c>
      <c r="I115" s="139">
        <v>49618</v>
      </c>
      <c r="J115" s="139">
        <v>49618</v>
      </c>
    </row>
    <row r="116" spans="1:10">
      <c r="A116" s="139">
        <v>63</v>
      </c>
      <c r="B116" s="139" t="s">
        <v>2755</v>
      </c>
      <c r="C116" s="139" t="s">
        <v>2831</v>
      </c>
      <c r="D116" s="140" t="s">
        <v>1549</v>
      </c>
      <c r="E116" s="140" t="s">
        <v>84</v>
      </c>
      <c r="F116" s="139" t="s">
        <v>1229</v>
      </c>
      <c r="G116" s="143">
        <v>75065.759999999995</v>
      </c>
      <c r="H116" s="142">
        <v>75800</v>
      </c>
      <c r="I116" s="139">
        <v>12510.96</v>
      </c>
      <c r="J116" s="139">
        <v>12511</v>
      </c>
    </row>
    <row r="117" spans="1:10">
      <c r="A117" s="139">
        <v>80</v>
      </c>
      <c r="B117" s="139" t="s">
        <v>2755</v>
      </c>
      <c r="C117" s="139" t="s">
        <v>2831</v>
      </c>
      <c r="D117" s="140" t="s">
        <v>1549</v>
      </c>
      <c r="E117" s="140" t="s">
        <v>84</v>
      </c>
      <c r="F117" s="139" t="s">
        <v>1572</v>
      </c>
      <c r="G117" s="143">
        <v>190579.08</v>
      </c>
      <c r="H117" s="142">
        <v>200000</v>
      </c>
      <c r="I117" s="139">
        <v>176657.59</v>
      </c>
      <c r="J117" s="139">
        <v>176657</v>
      </c>
    </row>
    <row r="118" spans="1:10">
      <c r="A118" s="139">
        <v>81</v>
      </c>
      <c r="B118" s="139" t="s">
        <v>2755</v>
      </c>
      <c r="C118" s="139" t="s">
        <v>2831</v>
      </c>
      <c r="D118" s="140" t="s">
        <v>1549</v>
      </c>
      <c r="E118" s="140" t="s">
        <v>84</v>
      </c>
      <c r="F118" s="139" t="s">
        <v>1573</v>
      </c>
      <c r="G118" s="143">
        <v>45824.17</v>
      </c>
      <c r="H118" s="142">
        <v>46000</v>
      </c>
      <c r="I118" s="139">
        <v>48210.75</v>
      </c>
      <c r="J118" s="139">
        <v>48210</v>
      </c>
    </row>
    <row r="119" spans="1:10">
      <c r="A119" s="139">
        <v>84</v>
      </c>
      <c r="B119" s="139" t="s">
        <v>2755</v>
      </c>
      <c r="C119" s="139" t="s">
        <v>2831</v>
      </c>
      <c r="D119" s="140" t="s">
        <v>1549</v>
      </c>
      <c r="E119" s="140" t="s">
        <v>84</v>
      </c>
      <c r="G119" s="150"/>
      <c r="I119" s="139">
        <v>12052.42</v>
      </c>
      <c r="J119" s="139">
        <v>12052</v>
      </c>
    </row>
    <row r="120" spans="1:10">
      <c r="A120" s="139">
        <v>87</v>
      </c>
      <c r="B120" s="139" t="s">
        <v>2755</v>
      </c>
      <c r="C120" s="139" t="s">
        <v>2831</v>
      </c>
      <c r="D120" s="140" t="s">
        <v>1549</v>
      </c>
      <c r="E120" s="140" t="s">
        <v>84</v>
      </c>
      <c r="G120" s="143"/>
      <c r="I120" s="139">
        <v>14652.9</v>
      </c>
      <c r="J120" s="139">
        <v>14652</v>
      </c>
    </row>
    <row r="121" spans="1:10">
      <c r="A121" s="139">
        <v>100</v>
      </c>
      <c r="B121" s="139" t="s">
        <v>2755</v>
      </c>
      <c r="C121" s="139" t="s">
        <v>2831</v>
      </c>
      <c r="D121" s="140" t="s">
        <v>1549</v>
      </c>
      <c r="E121" s="140" t="s">
        <v>84</v>
      </c>
      <c r="F121" s="139" t="s">
        <v>1579</v>
      </c>
      <c r="G121" s="143">
        <v>179992.82</v>
      </c>
      <c r="H121" s="142">
        <v>180000</v>
      </c>
      <c r="I121" s="139">
        <v>197144.69</v>
      </c>
      <c r="J121" s="139">
        <v>197144</v>
      </c>
    </row>
    <row r="122" spans="1:10">
      <c r="D122" s="140"/>
      <c r="G122" s="143"/>
      <c r="I122" s="157">
        <f>SUM(I109:I121)</f>
        <v>1324181.94</v>
      </c>
      <c r="J122" s="157">
        <f>SUM(J109:J121)</f>
        <v>1324177</v>
      </c>
    </row>
    <row r="123" spans="1:10">
      <c r="D123" s="140"/>
      <c r="G123" s="143"/>
    </row>
    <row r="124" spans="1:10">
      <c r="A124" s="139">
        <v>10</v>
      </c>
      <c r="B124" s="139" t="s">
        <v>2755</v>
      </c>
      <c r="C124" s="139" t="s">
        <v>2756</v>
      </c>
      <c r="D124" s="140" t="s">
        <v>1549</v>
      </c>
      <c r="E124" s="140" t="s">
        <v>572</v>
      </c>
      <c r="F124" s="139" t="s">
        <v>1558</v>
      </c>
      <c r="G124" s="143">
        <v>715.28</v>
      </c>
      <c r="H124" s="142">
        <v>4500</v>
      </c>
      <c r="I124" s="139">
        <v>0</v>
      </c>
      <c r="J124" s="139">
        <v>0</v>
      </c>
    </row>
    <row r="125" spans="1:10">
      <c r="A125" s="139">
        <v>20</v>
      </c>
      <c r="B125" s="139" t="s">
        <v>2755</v>
      </c>
      <c r="C125" s="139" t="s">
        <v>2756</v>
      </c>
      <c r="D125" s="140" t="s">
        <v>1549</v>
      </c>
      <c r="E125" s="140" t="s">
        <v>86</v>
      </c>
      <c r="F125" s="139" t="s">
        <v>1559</v>
      </c>
      <c r="G125" s="143">
        <v>0</v>
      </c>
      <c r="H125" s="142">
        <v>0</v>
      </c>
      <c r="I125" s="139">
        <v>594447.66</v>
      </c>
      <c r="J125" s="139">
        <v>594447</v>
      </c>
    </row>
    <row r="126" spans="1:10">
      <c r="A126" s="139">
        <v>27</v>
      </c>
      <c r="B126" s="139" t="s">
        <v>2755</v>
      </c>
      <c r="C126" s="139" t="s">
        <v>2756</v>
      </c>
      <c r="D126" s="140" t="s">
        <v>1549</v>
      </c>
      <c r="E126" s="140" t="s">
        <v>141</v>
      </c>
      <c r="F126" s="139" t="s">
        <v>1563</v>
      </c>
      <c r="G126" s="143">
        <v>21511.81</v>
      </c>
      <c r="H126" s="142">
        <v>22000</v>
      </c>
      <c r="I126" s="139">
        <v>51439.49</v>
      </c>
      <c r="J126" s="139">
        <v>51439</v>
      </c>
    </row>
    <row r="127" spans="1:10">
      <c r="A127" s="139">
        <v>50</v>
      </c>
      <c r="B127" s="139" t="s">
        <v>2755</v>
      </c>
      <c r="C127" s="139" t="s">
        <v>2756</v>
      </c>
      <c r="D127" s="140" t="s">
        <v>1549</v>
      </c>
      <c r="E127" s="140" t="s">
        <v>86</v>
      </c>
      <c r="F127" s="139" t="s">
        <v>1567</v>
      </c>
      <c r="G127" s="143">
        <v>11023.61</v>
      </c>
      <c r="H127" s="142">
        <v>12000</v>
      </c>
      <c r="I127" s="139">
        <v>70461.75</v>
      </c>
      <c r="J127" s="139">
        <v>70461</v>
      </c>
    </row>
    <row r="128" spans="1:10">
      <c r="A128" s="139">
        <v>84</v>
      </c>
      <c r="B128" s="139" t="s">
        <v>2755</v>
      </c>
      <c r="C128" s="139" t="s">
        <v>2756</v>
      </c>
      <c r="D128" s="140"/>
      <c r="G128" s="150"/>
      <c r="I128" s="139">
        <v>1225</v>
      </c>
      <c r="J128" s="139">
        <v>1225</v>
      </c>
    </row>
    <row r="129" spans="1:10">
      <c r="A129" s="139">
        <v>100</v>
      </c>
      <c r="B129" s="139" t="s">
        <v>2755</v>
      </c>
      <c r="C129" s="139" t="s">
        <v>2756</v>
      </c>
      <c r="D129" s="140" t="s">
        <v>1549</v>
      </c>
      <c r="E129" s="140" t="s">
        <v>572</v>
      </c>
      <c r="F129" s="139" t="s">
        <v>1579</v>
      </c>
      <c r="G129" s="143">
        <v>458.28</v>
      </c>
      <c r="H129" s="142">
        <v>500</v>
      </c>
      <c r="I129" s="139">
        <v>0</v>
      </c>
      <c r="J129" s="139">
        <v>0</v>
      </c>
    </row>
    <row r="130" spans="1:10">
      <c r="D130" s="140"/>
      <c r="G130" s="143"/>
      <c r="I130" s="157">
        <f>SUM(I124:I129)</f>
        <v>717573.9</v>
      </c>
      <c r="J130" s="157">
        <f>SUM(J124:J129)</f>
        <v>717572</v>
      </c>
    </row>
    <row r="131" spans="1:10">
      <c r="D131" s="140"/>
      <c r="G131" s="143"/>
    </row>
    <row r="132" spans="1:10">
      <c r="A132" s="139">
        <v>10</v>
      </c>
      <c r="B132" s="139" t="s">
        <v>2755</v>
      </c>
      <c r="C132" s="139" t="s">
        <v>2757</v>
      </c>
      <c r="D132" s="140" t="s">
        <v>1549</v>
      </c>
      <c r="E132" s="140" t="s">
        <v>2321</v>
      </c>
      <c r="F132" s="139" t="s">
        <v>1558</v>
      </c>
      <c r="G132" s="143">
        <v>13852</v>
      </c>
      <c r="H132" s="142">
        <v>13908</v>
      </c>
      <c r="I132" s="139">
        <v>33350</v>
      </c>
      <c r="J132" s="139">
        <v>33350</v>
      </c>
    </row>
    <row r="133" spans="1:10">
      <c r="D133" s="140"/>
      <c r="G133" s="143"/>
      <c r="I133" s="157">
        <f>SUM(I132)</f>
        <v>33350</v>
      </c>
      <c r="J133" s="157">
        <f>SUM(J132)</f>
        <v>33350</v>
      </c>
    </row>
    <row r="134" spans="1:10">
      <c r="D134" s="140"/>
      <c r="G134" s="143"/>
    </row>
    <row r="135" spans="1:10">
      <c r="A135" s="139">
        <v>20</v>
      </c>
      <c r="B135" s="139" t="s">
        <v>2758</v>
      </c>
      <c r="C135" s="139" t="s">
        <v>2832</v>
      </c>
      <c r="D135" s="140" t="s">
        <v>1549</v>
      </c>
      <c r="E135" s="140" t="s">
        <v>590</v>
      </c>
      <c r="F135" s="139" t="s">
        <v>1559</v>
      </c>
      <c r="G135" s="143">
        <v>33708</v>
      </c>
      <c r="H135" s="142">
        <v>33800</v>
      </c>
      <c r="I135" s="139">
        <v>33139.199999999997</v>
      </c>
      <c r="J135" s="139">
        <v>33139</v>
      </c>
    </row>
    <row r="136" spans="1:10">
      <c r="A136" s="139">
        <v>27</v>
      </c>
      <c r="B136" s="139" t="s">
        <v>2758</v>
      </c>
      <c r="C136" s="139" t="s">
        <v>2832</v>
      </c>
      <c r="D136" s="140" t="s">
        <v>1549</v>
      </c>
      <c r="E136" s="140" t="s">
        <v>590</v>
      </c>
      <c r="F136" s="139" t="s">
        <v>1563</v>
      </c>
      <c r="G136" s="143">
        <v>65199.12</v>
      </c>
      <c r="H136" s="142">
        <v>65500</v>
      </c>
      <c r="I136" s="139">
        <v>78810.320000000007</v>
      </c>
      <c r="J136" s="139">
        <v>78811</v>
      </c>
    </row>
    <row r="137" spans="1:10">
      <c r="A137" s="139">
        <v>31</v>
      </c>
      <c r="B137" s="139" t="s">
        <v>2758</v>
      </c>
      <c r="C137" s="139" t="s">
        <v>2832</v>
      </c>
      <c r="D137" s="140" t="s">
        <v>1549</v>
      </c>
      <c r="E137" s="140" t="s">
        <v>575</v>
      </c>
      <c r="F137" s="139" t="s">
        <v>1565</v>
      </c>
      <c r="G137" s="143">
        <v>10641.6</v>
      </c>
      <c r="H137" s="142">
        <v>11000</v>
      </c>
      <c r="I137" s="139">
        <v>11959.2</v>
      </c>
      <c r="J137" s="139">
        <v>11959</v>
      </c>
    </row>
    <row r="138" spans="1:10">
      <c r="A138" s="139">
        <v>32</v>
      </c>
      <c r="B138" s="139" t="s">
        <v>2758</v>
      </c>
      <c r="C138" s="139" t="s">
        <v>2832</v>
      </c>
      <c r="D138" s="140" t="s">
        <v>1549</v>
      </c>
      <c r="E138" s="140" t="s">
        <v>590</v>
      </c>
      <c r="F138" s="139" t="s">
        <v>1566</v>
      </c>
      <c r="G138" s="143">
        <v>8956.7999999999993</v>
      </c>
      <c r="H138" s="142">
        <v>9000</v>
      </c>
      <c r="I138" s="139">
        <v>10717.2</v>
      </c>
      <c r="J138" s="139">
        <v>10717</v>
      </c>
    </row>
    <row r="139" spans="1:10">
      <c r="A139" s="139">
        <v>50</v>
      </c>
      <c r="B139" s="139" t="s">
        <v>2758</v>
      </c>
      <c r="C139" s="139" t="s">
        <v>2832</v>
      </c>
      <c r="D139" s="140" t="s">
        <v>1549</v>
      </c>
      <c r="E139" s="140" t="s">
        <v>590</v>
      </c>
      <c r="F139" s="139" t="s">
        <v>1567</v>
      </c>
      <c r="G139" s="143">
        <v>134936.4</v>
      </c>
      <c r="H139" s="142">
        <v>140000</v>
      </c>
      <c r="I139" s="139">
        <v>80877.88</v>
      </c>
      <c r="J139" s="139">
        <v>80878</v>
      </c>
    </row>
    <row r="140" spans="1:10">
      <c r="A140" s="139">
        <v>51</v>
      </c>
      <c r="B140" s="139" t="s">
        <v>2758</v>
      </c>
      <c r="C140" s="139" t="s">
        <v>2832</v>
      </c>
      <c r="D140" s="140" t="s">
        <v>1549</v>
      </c>
      <c r="E140" s="140" t="s">
        <v>575</v>
      </c>
      <c r="F140" s="139" t="s">
        <v>1990</v>
      </c>
      <c r="G140" s="143">
        <v>0</v>
      </c>
      <c r="H140" s="142">
        <v>24000</v>
      </c>
      <c r="I140" s="139">
        <v>0</v>
      </c>
      <c r="J140" s="139">
        <v>0</v>
      </c>
    </row>
    <row r="141" spans="1:10">
      <c r="A141" s="139">
        <v>52</v>
      </c>
      <c r="B141" s="139" t="s">
        <v>2758</v>
      </c>
      <c r="C141" s="139" t="s">
        <v>2832</v>
      </c>
      <c r="D141" s="140" t="s">
        <v>1549</v>
      </c>
      <c r="E141" s="140" t="s">
        <v>575</v>
      </c>
      <c r="F141" s="139" t="s">
        <v>1568</v>
      </c>
      <c r="G141" s="143">
        <v>8902.7999999999993</v>
      </c>
      <c r="H141" s="142">
        <v>9000</v>
      </c>
      <c r="I141" s="139">
        <v>9871.2000000000007</v>
      </c>
      <c r="J141" s="139">
        <v>9871</v>
      </c>
    </row>
    <row r="142" spans="1:10">
      <c r="A142" s="139">
        <v>63</v>
      </c>
      <c r="B142" s="139" t="s">
        <v>2758</v>
      </c>
      <c r="C142" s="139" t="s">
        <v>2832</v>
      </c>
      <c r="D142" s="140" t="s">
        <v>1549</v>
      </c>
      <c r="E142" s="140" t="s">
        <v>590</v>
      </c>
      <c r="F142" s="139" t="s">
        <v>1229</v>
      </c>
      <c r="G142" s="143">
        <v>22868.15</v>
      </c>
      <c r="H142" s="142">
        <v>22900</v>
      </c>
      <c r="I142" s="139">
        <v>4994.3999999999996</v>
      </c>
      <c r="J142" s="139">
        <v>4994</v>
      </c>
    </row>
    <row r="143" spans="1:10">
      <c r="A143" s="139">
        <v>64</v>
      </c>
      <c r="B143" s="139" t="s">
        <v>2758</v>
      </c>
      <c r="C143" s="139" t="s">
        <v>2832</v>
      </c>
      <c r="D143" s="140" t="s">
        <v>1549</v>
      </c>
      <c r="E143" s="140" t="s">
        <v>575</v>
      </c>
      <c r="F143" s="139" t="s">
        <v>1569</v>
      </c>
      <c r="G143" s="143">
        <v>0</v>
      </c>
      <c r="H143" s="142">
        <v>0</v>
      </c>
      <c r="I143" s="139">
        <v>0</v>
      </c>
      <c r="J143" s="139">
        <v>0</v>
      </c>
    </row>
    <row r="144" spans="1:10">
      <c r="A144" s="139">
        <v>65</v>
      </c>
      <c r="B144" s="139" t="s">
        <v>2758</v>
      </c>
      <c r="C144" s="139" t="s">
        <v>2832</v>
      </c>
      <c r="D144" s="140" t="s">
        <v>1549</v>
      </c>
      <c r="E144" s="140" t="s">
        <v>575</v>
      </c>
      <c r="F144" s="139" t="s">
        <v>1570</v>
      </c>
      <c r="G144" s="143">
        <v>0</v>
      </c>
      <c r="H144" s="142">
        <v>0</v>
      </c>
      <c r="I144" s="139">
        <v>0</v>
      </c>
      <c r="J144" s="139">
        <v>0</v>
      </c>
    </row>
    <row r="145" spans="1:10">
      <c r="A145" s="139">
        <v>66</v>
      </c>
      <c r="B145" s="139" t="s">
        <v>2758</v>
      </c>
      <c r="C145" s="139" t="s">
        <v>2832</v>
      </c>
      <c r="D145" s="140" t="s">
        <v>1549</v>
      </c>
      <c r="E145" s="140" t="s">
        <v>590</v>
      </c>
      <c r="F145" s="139" t="s">
        <v>1571</v>
      </c>
      <c r="G145" s="143">
        <v>0</v>
      </c>
      <c r="H145" s="142">
        <v>0</v>
      </c>
      <c r="I145" s="139">
        <v>4749.6000000000004</v>
      </c>
      <c r="J145" s="139">
        <v>4750</v>
      </c>
    </row>
    <row r="146" spans="1:10">
      <c r="A146" s="139">
        <v>80</v>
      </c>
      <c r="B146" s="139" t="s">
        <v>2758</v>
      </c>
      <c r="C146" s="139" t="s">
        <v>2832</v>
      </c>
      <c r="D146" s="140" t="s">
        <v>1549</v>
      </c>
      <c r="E146" s="140" t="s">
        <v>590</v>
      </c>
      <c r="F146" s="139" t="s">
        <v>1572</v>
      </c>
      <c r="G146" s="143">
        <v>26149.39</v>
      </c>
      <c r="H146" s="142">
        <v>26200</v>
      </c>
      <c r="I146" s="139">
        <v>34797.410000000003</v>
      </c>
      <c r="J146" s="139">
        <v>34798</v>
      </c>
    </row>
    <row r="147" spans="1:10">
      <c r="A147" s="139">
        <v>81</v>
      </c>
      <c r="B147" s="139" t="s">
        <v>2758</v>
      </c>
      <c r="C147" s="139" t="s">
        <v>2832</v>
      </c>
      <c r="D147" s="140" t="s">
        <v>1549</v>
      </c>
      <c r="E147" s="140" t="s">
        <v>590</v>
      </c>
      <c r="F147" s="139" t="s">
        <v>1573</v>
      </c>
      <c r="G147" s="143">
        <v>29530.799999999999</v>
      </c>
      <c r="H147" s="142">
        <v>30000</v>
      </c>
      <c r="I147" s="139">
        <v>19911.599999999999</v>
      </c>
      <c r="J147" s="139">
        <v>19911</v>
      </c>
    </row>
    <row r="148" spans="1:10">
      <c r="A148" s="139">
        <v>84</v>
      </c>
      <c r="B148" s="139" t="s">
        <v>2758</v>
      </c>
      <c r="C148" s="139" t="s">
        <v>2832</v>
      </c>
      <c r="D148" s="140" t="s">
        <v>1549</v>
      </c>
      <c r="E148" s="140" t="s">
        <v>590</v>
      </c>
      <c r="F148" s="139" t="s">
        <v>1244</v>
      </c>
      <c r="G148" s="150">
        <v>59929.68</v>
      </c>
      <c r="H148" s="142">
        <v>63000</v>
      </c>
      <c r="I148" s="139">
        <v>40624</v>
      </c>
      <c r="J148" s="139">
        <v>40624</v>
      </c>
    </row>
    <row r="149" spans="1:10">
      <c r="A149" s="139">
        <v>87</v>
      </c>
      <c r="B149" s="139" t="s">
        <v>2758</v>
      </c>
      <c r="C149" s="139" t="s">
        <v>2832</v>
      </c>
      <c r="D149" s="140" t="s">
        <v>1549</v>
      </c>
      <c r="E149" s="140" t="s">
        <v>575</v>
      </c>
      <c r="F149" s="139" t="s">
        <v>458</v>
      </c>
      <c r="G149" s="143">
        <v>0</v>
      </c>
      <c r="H149" s="142">
        <v>15000</v>
      </c>
      <c r="I149" s="139">
        <v>11756.4</v>
      </c>
      <c r="J149" s="139">
        <v>11756</v>
      </c>
    </row>
    <row r="150" spans="1:10">
      <c r="A150" s="139">
        <v>100</v>
      </c>
      <c r="B150" s="139" t="s">
        <v>2758</v>
      </c>
      <c r="C150" s="139" t="s">
        <v>2832</v>
      </c>
      <c r="D150" s="140" t="s">
        <v>1549</v>
      </c>
      <c r="E150" s="140" t="s">
        <v>590</v>
      </c>
      <c r="F150" s="139" t="s">
        <v>1579</v>
      </c>
      <c r="G150" s="143">
        <v>59976</v>
      </c>
      <c r="H150" s="142">
        <v>60000</v>
      </c>
      <c r="I150" s="139">
        <v>111931.5</v>
      </c>
      <c r="J150" s="139">
        <v>111931</v>
      </c>
    </row>
    <row r="151" spans="1:10">
      <c r="A151" s="161"/>
      <c r="B151" s="161"/>
      <c r="C151" s="161"/>
      <c r="D151" s="162"/>
      <c r="E151" s="162"/>
      <c r="F151" s="161"/>
      <c r="G151" s="163"/>
      <c r="H151" s="164"/>
      <c r="I151" s="161">
        <f>SUM(I135:I150)</f>
        <v>454139.91000000003</v>
      </c>
      <c r="J151" s="161">
        <f>SUM(J135:J150)</f>
        <v>454139</v>
      </c>
    </row>
    <row r="152" spans="1:10">
      <c r="D152" s="140"/>
      <c r="G152" s="143"/>
    </row>
    <row r="153" spans="1:10">
      <c r="A153" s="139">
        <v>20</v>
      </c>
      <c r="B153" s="139" t="s">
        <v>2758</v>
      </c>
      <c r="C153" s="139" t="s">
        <v>2833</v>
      </c>
      <c r="D153" s="140" t="s">
        <v>1549</v>
      </c>
      <c r="E153" s="140" t="s">
        <v>590</v>
      </c>
      <c r="F153" s="139" t="s">
        <v>1559</v>
      </c>
      <c r="G153" s="143">
        <v>198197.61</v>
      </c>
      <c r="H153" s="142">
        <v>198200</v>
      </c>
      <c r="I153" s="139">
        <v>208135.36</v>
      </c>
      <c r="J153" s="139">
        <v>208136</v>
      </c>
    </row>
    <row r="154" spans="1:10">
      <c r="A154" s="139">
        <v>21</v>
      </c>
      <c r="B154" s="139" t="s">
        <v>2758</v>
      </c>
      <c r="C154" s="139" t="s">
        <v>2833</v>
      </c>
      <c r="D154" s="140" t="s">
        <v>1549</v>
      </c>
      <c r="E154" s="140" t="s">
        <v>575</v>
      </c>
      <c r="F154" s="139" t="s">
        <v>1560</v>
      </c>
      <c r="G154" s="143">
        <v>0</v>
      </c>
      <c r="H154" s="142">
        <v>0</v>
      </c>
      <c r="I154" s="139">
        <v>0</v>
      </c>
      <c r="J154" s="139">
        <v>0</v>
      </c>
    </row>
    <row r="155" spans="1:10">
      <c r="A155" s="139">
        <v>27</v>
      </c>
      <c r="B155" s="139" t="s">
        <v>2758</v>
      </c>
      <c r="C155" s="139" t="s">
        <v>2833</v>
      </c>
      <c r="D155" s="140" t="s">
        <v>1549</v>
      </c>
      <c r="E155" s="140" t="s">
        <v>590</v>
      </c>
      <c r="F155" s="139" t="s">
        <v>1563</v>
      </c>
      <c r="G155" s="143">
        <v>220194</v>
      </c>
      <c r="H155" s="142">
        <v>221000</v>
      </c>
      <c r="I155" s="139">
        <v>226097.71</v>
      </c>
      <c r="J155" s="139">
        <v>226098</v>
      </c>
    </row>
    <row r="156" spans="1:10">
      <c r="A156" s="139">
        <v>31</v>
      </c>
      <c r="B156" s="139" t="s">
        <v>2758</v>
      </c>
      <c r="C156" s="139" t="s">
        <v>2833</v>
      </c>
      <c r="D156" s="140" t="s">
        <v>1549</v>
      </c>
      <c r="E156" s="140" t="s">
        <v>590</v>
      </c>
      <c r="F156" s="139" t="s">
        <v>1565</v>
      </c>
      <c r="G156" s="143">
        <v>42557.279999999999</v>
      </c>
      <c r="H156" s="142">
        <v>42700</v>
      </c>
      <c r="I156" s="139">
        <v>46089.599999999999</v>
      </c>
      <c r="J156" s="139">
        <v>46090</v>
      </c>
    </row>
    <row r="157" spans="1:10">
      <c r="A157" s="139">
        <v>32</v>
      </c>
      <c r="B157" s="139" t="s">
        <v>2758</v>
      </c>
      <c r="C157" s="139" t="s">
        <v>2833</v>
      </c>
      <c r="D157" s="140" t="s">
        <v>1549</v>
      </c>
      <c r="E157" s="140" t="s">
        <v>590</v>
      </c>
      <c r="F157" s="139" t="s">
        <v>1566</v>
      </c>
      <c r="G157" s="143">
        <v>33967.980000000003</v>
      </c>
      <c r="H157" s="142">
        <v>35000</v>
      </c>
      <c r="I157" s="139">
        <v>36479.279999999999</v>
      </c>
      <c r="J157" s="139">
        <v>36479</v>
      </c>
    </row>
    <row r="158" spans="1:10">
      <c r="A158" s="139">
        <v>50</v>
      </c>
      <c r="B158" s="139" t="s">
        <v>2758</v>
      </c>
      <c r="C158" s="139" t="s">
        <v>2833</v>
      </c>
      <c r="D158" s="140" t="s">
        <v>1549</v>
      </c>
      <c r="E158" s="140" t="s">
        <v>590</v>
      </c>
      <c r="F158" s="139" t="s">
        <v>1567</v>
      </c>
      <c r="G158" s="143">
        <v>469203.24</v>
      </c>
      <c r="H158" s="142">
        <v>469500</v>
      </c>
      <c r="I158" s="139">
        <v>361694.9</v>
      </c>
      <c r="J158" s="139">
        <v>361695</v>
      </c>
    </row>
    <row r="159" spans="1:10">
      <c r="A159" s="139">
        <v>51</v>
      </c>
      <c r="B159" s="139" t="s">
        <v>2758</v>
      </c>
      <c r="C159" s="139" t="s">
        <v>2833</v>
      </c>
      <c r="D159" s="140" t="s">
        <v>1549</v>
      </c>
      <c r="E159" s="140" t="s">
        <v>590</v>
      </c>
      <c r="F159" s="139" t="s">
        <v>1990</v>
      </c>
      <c r="G159" s="143">
        <v>13098.72</v>
      </c>
      <c r="H159" s="142">
        <v>13100</v>
      </c>
      <c r="I159" s="139">
        <v>8024.84</v>
      </c>
      <c r="J159" s="139">
        <v>8025</v>
      </c>
    </row>
    <row r="160" spans="1:10">
      <c r="A160" s="139">
        <v>52</v>
      </c>
      <c r="B160" s="139" t="s">
        <v>2758</v>
      </c>
      <c r="C160" s="139" t="s">
        <v>2833</v>
      </c>
      <c r="D160" s="140" t="s">
        <v>1549</v>
      </c>
      <c r="E160" s="140" t="s">
        <v>575</v>
      </c>
      <c r="F160" s="139" t="s">
        <v>1568</v>
      </c>
      <c r="G160" s="143">
        <v>30994.68</v>
      </c>
      <c r="H160" s="142">
        <v>31000</v>
      </c>
      <c r="I160" s="139">
        <v>33567.120000000003</v>
      </c>
      <c r="J160" s="139">
        <v>33567</v>
      </c>
    </row>
    <row r="161" spans="1:10">
      <c r="A161" s="139">
        <v>63</v>
      </c>
      <c r="B161" s="139" t="s">
        <v>2758</v>
      </c>
      <c r="C161" s="139" t="s">
        <v>2833</v>
      </c>
      <c r="D161" s="140" t="s">
        <v>1549</v>
      </c>
      <c r="E161" s="140" t="s">
        <v>590</v>
      </c>
      <c r="F161" s="139" t="s">
        <v>1229</v>
      </c>
      <c r="G161" s="143">
        <v>38823.96</v>
      </c>
      <c r="H161" s="142">
        <v>39000</v>
      </c>
      <c r="I161" s="139">
        <v>7007.72</v>
      </c>
      <c r="J161" s="139">
        <v>7008</v>
      </c>
    </row>
    <row r="162" spans="1:10">
      <c r="A162" s="139">
        <v>64</v>
      </c>
      <c r="B162" s="139" t="s">
        <v>2758</v>
      </c>
      <c r="C162" s="139" t="s">
        <v>2833</v>
      </c>
      <c r="D162" s="140" t="s">
        <v>1549</v>
      </c>
      <c r="E162" s="140" t="s">
        <v>590</v>
      </c>
      <c r="F162" s="139" t="s">
        <v>1569</v>
      </c>
      <c r="G162" s="143">
        <v>263461.74</v>
      </c>
      <c r="H162" s="142">
        <v>263500</v>
      </c>
      <c r="I162" s="139">
        <v>317698.2</v>
      </c>
      <c r="J162" s="139">
        <v>317698</v>
      </c>
    </row>
    <row r="163" spans="1:10">
      <c r="A163" s="139">
        <v>65</v>
      </c>
      <c r="B163" s="139" t="s">
        <v>2758</v>
      </c>
      <c r="C163" s="139" t="s">
        <v>2833</v>
      </c>
      <c r="D163" s="140" t="s">
        <v>1549</v>
      </c>
      <c r="E163" s="140" t="s">
        <v>590</v>
      </c>
      <c r="F163" s="139" t="s">
        <v>1570</v>
      </c>
      <c r="G163" s="143">
        <v>23439.96</v>
      </c>
      <c r="H163" s="142">
        <v>24000</v>
      </c>
      <c r="I163" s="139">
        <v>25385.52</v>
      </c>
      <c r="J163" s="139">
        <v>25386</v>
      </c>
    </row>
    <row r="164" spans="1:10">
      <c r="A164" s="139">
        <v>66</v>
      </c>
      <c r="B164" s="139" t="s">
        <v>2758</v>
      </c>
      <c r="C164" s="139" t="s">
        <v>2833</v>
      </c>
      <c r="D164" s="140" t="s">
        <v>1549</v>
      </c>
      <c r="E164" s="140" t="s">
        <v>590</v>
      </c>
      <c r="F164" s="139" t="s">
        <v>1571</v>
      </c>
      <c r="G164" s="143">
        <v>319519.44</v>
      </c>
      <c r="H164" s="142">
        <v>319600</v>
      </c>
      <c r="I164" s="139">
        <v>355786.54</v>
      </c>
      <c r="J164" s="139">
        <v>335787</v>
      </c>
    </row>
    <row r="165" spans="1:10">
      <c r="A165" s="139">
        <v>80</v>
      </c>
      <c r="B165" s="139" t="s">
        <v>2758</v>
      </c>
      <c r="C165" s="139" t="s">
        <v>2833</v>
      </c>
      <c r="D165" s="140" t="s">
        <v>1549</v>
      </c>
      <c r="E165" s="140" t="s">
        <v>590</v>
      </c>
      <c r="F165" s="139" t="s">
        <v>1572</v>
      </c>
      <c r="G165" s="143">
        <v>63148.2</v>
      </c>
      <c r="H165" s="142">
        <v>63200</v>
      </c>
      <c r="I165" s="139">
        <v>58343.94</v>
      </c>
      <c r="J165" s="139">
        <v>58344</v>
      </c>
    </row>
    <row r="166" spans="1:10">
      <c r="A166" s="139">
        <v>81</v>
      </c>
      <c r="B166" s="139" t="s">
        <v>2758</v>
      </c>
      <c r="C166" s="139" t="s">
        <v>2833</v>
      </c>
      <c r="D166" s="140" t="s">
        <v>1549</v>
      </c>
      <c r="E166" s="140" t="s">
        <v>590</v>
      </c>
      <c r="F166" s="139" t="s">
        <v>1573</v>
      </c>
      <c r="G166" s="143">
        <v>351422.69</v>
      </c>
      <c r="H166" s="142">
        <v>351500</v>
      </c>
      <c r="I166" s="139">
        <v>368866.18</v>
      </c>
      <c r="J166" s="139">
        <v>368867</v>
      </c>
    </row>
    <row r="167" spans="1:10">
      <c r="A167" s="139">
        <v>84</v>
      </c>
      <c r="B167" s="139" t="s">
        <v>2758</v>
      </c>
      <c r="C167" s="139" t="s">
        <v>2833</v>
      </c>
      <c r="D167" s="140" t="s">
        <v>1549</v>
      </c>
      <c r="E167" s="140" t="s">
        <v>590</v>
      </c>
      <c r="F167" s="139" t="s">
        <v>1244</v>
      </c>
      <c r="G167" s="150">
        <v>310948.84999999998</v>
      </c>
      <c r="H167" s="142">
        <v>317000</v>
      </c>
      <c r="I167" s="139">
        <v>235307.2</v>
      </c>
      <c r="J167" s="139">
        <v>235308</v>
      </c>
    </row>
    <row r="168" spans="1:10">
      <c r="A168" s="139">
        <v>87</v>
      </c>
      <c r="B168" s="139" t="s">
        <v>2758</v>
      </c>
      <c r="C168" s="139" t="s">
        <v>2833</v>
      </c>
      <c r="D168" s="140" t="s">
        <v>1549</v>
      </c>
      <c r="E168" s="140" t="s">
        <v>575</v>
      </c>
      <c r="F168" s="139" t="s">
        <v>458</v>
      </c>
      <c r="G168" s="143">
        <v>0</v>
      </c>
      <c r="H168" s="142">
        <v>15000</v>
      </c>
      <c r="I168" s="139">
        <v>19644.62</v>
      </c>
      <c r="J168" s="139">
        <v>19644</v>
      </c>
    </row>
    <row r="169" spans="1:10">
      <c r="A169" s="139">
        <v>100</v>
      </c>
      <c r="B169" s="139" t="s">
        <v>2758</v>
      </c>
      <c r="C169" s="139" t="s">
        <v>2833</v>
      </c>
      <c r="D169" s="140" t="s">
        <v>1549</v>
      </c>
      <c r="E169" s="140" t="s">
        <v>590</v>
      </c>
      <c r="F169" s="139" t="s">
        <v>1579</v>
      </c>
      <c r="G169" s="143">
        <v>240608.16</v>
      </c>
      <c r="H169" s="142">
        <v>240700</v>
      </c>
      <c r="I169" s="139">
        <v>271295.40000000002</v>
      </c>
      <c r="J169" s="139">
        <v>271295</v>
      </c>
    </row>
    <row r="170" spans="1:10">
      <c r="A170" s="161"/>
      <c r="B170" s="161"/>
      <c r="C170" s="161"/>
      <c r="D170" s="162"/>
      <c r="E170" s="162"/>
      <c r="F170" s="161"/>
      <c r="G170" s="163"/>
      <c r="H170" s="164"/>
      <c r="I170" s="161">
        <f>SUM(I153:I169)</f>
        <v>2579424.13</v>
      </c>
      <c r="J170" s="161">
        <f>SUM(J153:J169)</f>
        <v>2559427</v>
      </c>
    </row>
    <row r="171" spans="1:10">
      <c r="D171" s="140"/>
      <c r="G171" s="143"/>
    </row>
    <row r="172" spans="1:10">
      <c r="A172" s="139">
        <v>10</v>
      </c>
      <c r="B172" s="139" t="s">
        <v>2758</v>
      </c>
      <c r="C172" s="139" t="s">
        <v>2759</v>
      </c>
      <c r="D172" s="140" t="s">
        <v>1550</v>
      </c>
      <c r="E172" s="140" t="s">
        <v>575</v>
      </c>
      <c r="F172" s="139" t="s">
        <v>1558</v>
      </c>
      <c r="G172" s="143">
        <v>13827.15</v>
      </c>
      <c r="H172" s="142">
        <v>13836</v>
      </c>
      <c r="I172" s="139">
        <v>11173.77</v>
      </c>
      <c r="J172" s="139">
        <v>11174</v>
      </c>
    </row>
    <row r="173" spans="1:10">
      <c r="A173" s="139">
        <v>20</v>
      </c>
      <c r="B173" s="139" t="s">
        <v>2758</v>
      </c>
      <c r="C173" s="139" t="s">
        <v>2759</v>
      </c>
      <c r="D173" s="140" t="s">
        <v>1549</v>
      </c>
      <c r="E173" s="140" t="s">
        <v>590</v>
      </c>
      <c r="F173" s="139" t="s">
        <v>1559</v>
      </c>
      <c r="G173" s="152">
        <v>13270.72</v>
      </c>
      <c r="H173" s="142">
        <v>13300</v>
      </c>
      <c r="I173" s="139">
        <v>10509.92</v>
      </c>
      <c r="J173" s="139">
        <v>10510</v>
      </c>
    </row>
    <row r="174" spans="1:10">
      <c r="A174" s="139">
        <v>21</v>
      </c>
      <c r="B174" s="139" t="s">
        <v>2758</v>
      </c>
      <c r="C174" s="139" t="s">
        <v>2759</v>
      </c>
      <c r="D174" s="140" t="s">
        <v>1549</v>
      </c>
      <c r="E174" s="140" t="s">
        <v>575</v>
      </c>
      <c r="F174" s="139" t="s">
        <v>1560</v>
      </c>
      <c r="G174" s="152">
        <v>0</v>
      </c>
      <c r="H174" s="142">
        <v>0</v>
      </c>
      <c r="I174" s="139">
        <v>0</v>
      </c>
      <c r="J174" s="139">
        <v>0</v>
      </c>
    </row>
    <row r="175" spans="1:10">
      <c r="A175" s="139">
        <v>27</v>
      </c>
      <c r="B175" s="139" t="s">
        <v>2758</v>
      </c>
      <c r="C175" s="139" t="s">
        <v>2759</v>
      </c>
      <c r="D175" s="140" t="s">
        <v>1549</v>
      </c>
      <c r="E175" s="140" t="s">
        <v>590</v>
      </c>
      <c r="F175" s="139" t="s">
        <v>1563</v>
      </c>
      <c r="G175" s="152">
        <v>13048.17</v>
      </c>
      <c r="H175" s="142">
        <v>13100</v>
      </c>
      <c r="I175" s="139">
        <v>11795.03</v>
      </c>
      <c r="J175" s="139">
        <v>11796</v>
      </c>
    </row>
    <row r="176" spans="1:10">
      <c r="A176" s="139">
        <v>31</v>
      </c>
      <c r="B176" s="139" t="s">
        <v>2758</v>
      </c>
      <c r="C176" s="139" t="s">
        <v>2759</v>
      </c>
      <c r="D176" s="140" t="s">
        <v>1549</v>
      </c>
      <c r="E176" s="140" t="s">
        <v>590</v>
      </c>
      <c r="F176" s="139" t="s">
        <v>1565</v>
      </c>
      <c r="G176" s="152">
        <v>2139.98</v>
      </c>
      <c r="H176" s="142">
        <v>2200</v>
      </c>
      <c r="I176" s="139">
        <v>2274.2600000000002</v>
      </c>
      <c r="J176" s="139">
        <v>2274</v>
      </c>
    </row>
    <row r="177" spans="1:10">
      <c r="A177" s="139">
        <v>32</v>
      </c>
      <c r="B177" s="139" t="s">
        <v>2758</v>
      </c>
      <c r="C177" s="139" t="s">
        <v>2759</v>
      </c>
      <c r="D177" s="140" t="s">
        <v>1549</v>
      </c>
      <c r="E177" s="140" t="s">
        <v>590</v>
      </c>
      <c r="F177" s="139" t="s">
        <v>1566</v>
      </c>
      <c r="G177" s="152">
        <v>1721.69</v>
      </c>
      <c r="H177" s="142">
        <v>1800</v>
      </c>
      <c r="I177" s="139">
        <v>2186.8200000000002</v>
      </c>
      <c r="J177" s="139">
        <v>2186</v>
      </c>
    </row>
    <row r="178" spans="1:10">
      <c r="A178" s="139">
        <v>50</v>
      </c>
      <c r="B178" s="139" t="s">
        <v>2758</v>
      </c>
      <c r="C178" s="139" t="s">
        <v>2759</v>
      </c>
      <c r="D178" s="140" t="s">
        <v>1549</v>
      </c>
      <c r="E178" s="140" t="s">
        <v>590</v>
      </c>
      <c r="F178" s="139" t="s">
        <v>1567</v>
      </c>
      <c r="G178" s="152">
        <v>25990.080000000002</v>
      </c>
      <c r="H178" s="142">
        <v>30000</v>
      </c>
      <c r="I178" s="139">
        <v>17270.650000000001</v>
      </c>
      <c r="J178" s="139">
        <v>17271</v>
      </c>
    </row>
    <row r="179" spans="1:10">
      <c r="A179" s="139">
        <v>51</v>
      </c>
      <c r="B179" s="139" t="s">
        <v>2758</v>
      </c>
      <c r="C179" s="139" t="s">
        <v>2759</v>
      </c>
      <c r="D179" s="140" t="s">
        <v>1549</v>
      </c>
      <c r="E179" s="140" t="s">
        <v>590</v>
      </c>
      <c r="F179" s="139" t="s">
        <v>1990</v>
      </c>
      <c r="G179" s="152">
        <v>790.35</v>
      </c>
      <c r="H179" s="142">
        <v>900</v>
      </c>
      <c r="I179" s="139">
        <v>992.4</v>
      </c>
      <c r="J179" s="139">
        <v>993</v>
      </c>
    </row>
    <row r="180" spans="1:10">
      <c r="A180" s="139">
        <v>52</v>
      </c>
      <c r="B180" s="139" t="s">
        <v>2758</v>
      </c>
      <c r="C180" s="139" t="s">
        <v>2759</v>
      </c>
      <c r="D180" s="140" t="s">
        <v>1549</v>
      </c>
      <c r="E180" s="140" t="s">
        <v>575</v>
      </c>
      <c r="F180" s="139" t="s">
        <v>1568</v>
      </c>
      <c r="G180" s="152">
        <v>1472.88</v>
      </c>
      <c r="H180" s="142">
        <v>1500</v>
      </c>
      <c r="I180" s="139">
        <v>1497.36</v>
      </c>
      <c r="J180" s="139">
        <v>1497</v>
      </c>
    </row>
    <row r="181" spans="1:10">
      <c r="A181" s="139">
        <v>63</v>
      </c>
      <c r="B181" s="139" t="s">
        <v>2758</v>
      </c>
      <c r="C181" s="139" t="s">
        <v>2759</v>
      </c>
      <c r="D181" s="140" t="s">
        <v>1549</v>
      </c>
      <c r="E181" s="140" t="s">
        <v>590</v>
      </c>
      <c r="F181" s="139" t="s">
        <v>1229</v>
      </c>
      <c r="G181" s="152">
        <v>1472.88</v>
      </c>
      <c r="H181" s="142">
        <v>1500</v>
      </c>
      <c r="I181" s="139">
        <v>249.56</v>
      </c>
      <c r="J181" s="139">
        <v>250</v>
      </c>
    </row>
    <row r="182" spans="1:10">
      <c r="A182" s="139">
        <v>64</v>
      </c>
      <c r="B182" s="139" t="s">
        <v>2758</v>
      </c>
      <c r="C182" s="139" t="s">
        <v>2759</v>
      </c>
      <c r="D182" s="140" t="s">
        <v>1549</v>
      </c>
      <c r="E182" s="140" t="s">
        <v>590</v>
      </c>
      <c r="F182" s="139" t="s">
        <v>1569</v>
      </c>
      <c r="G182" s="152">
        <v>14673.55</v>
      </c>
      <c r="H182" s="142">
        <v>15000</v>
      </c>
      <c r="I182" s="139">
        <v>20239.91</v>
      </c>
      <c r="J182" s="139">
        <v>20232</v>
      </c>
    </row>
    <row r="183" spans="1:10">
      <c r="A183" s="139">
        <v>65</v>
      </c>
      <c r="B183" s="139" t="s">
        <v>2758</v>
      </c>
      <c r="C183" s="139" t="s">
        <v>2759</v>
      </c>
      <c r="D183" s="140" t="s">
        <v>1549</v>
      </c>
      <c r="E183" s="140" t="s">
        <v>590</v>
      </c>
      <c r="F183" s="139" t="s">
        <v>1570</v>
      </c>
      <c r="G183" s="152">
        <v>1310.67</v>
      </c>
      <c r="H183" s="142">
        <v>1400</v>
      </c>
      <c r="I183" s="139">
        <v>1491.42</v>
      </c>
      <c r="J183" s="139">
        <v>1497</v>
      </c>
    </row>
    <row r="184" spans="1:10">
      <c r="A184" s="139">
        <v>66</v>
      </c>
      <c r="B184" s="139" t="s">
        <v>2758</v>
      </c>
      <c r="C184" s="139" t="s">
        <v>2759</v>
      </c>
      <c r="D184" s="140" t="s">
        <v>1549</v>
      </c>
      <c r="E184" s="140" t="s">
        <v>590</v>
      </c>
      <c r="F184" s="139" t="s">
        <v>1571</v>
      </c>
      <c r="G184" s="152">
        <v>18689.27</v>
      </c>
      <c r="H184" s="142">
        <v>18700</v>
      </c>
      <c r="I184" s="139">
        <v>23035.85</v>
      </c>
      <c r="J184" s="139">
        <v>23035</v>
      </c>
    </row>
    <row r="185" spans="1:10">
      <c r="A185" s="139">
        <v>80</v>
      </c>
      <c r="B185" s="139" t="s">
        <v>2758</v>
      </c>
      <c r="C185" s="139" t="s">
        <v>2759</v>
      </c>
      <c r="D185" s="140" t="s">
        <v>1549</v>
      </c>
      <c r="E185" s="140" t="s">
        <v>590</v>
      </c>
      <c r="F185" s="139" t="s">
        <v>1572</v>
      </c>
      <c r="G185" s="152">
        <v>3798.2</v>
      </c>
      <c r="H185" s="142">
        <v>3800</v>
      </c>
      <c r="I185" s="139">
        <v>458.73</v>
      </c>
      <c r="J185" s="139">
        <v>459</v>
      </c>
    </row>
    <row r="186" spans="1:10">
      <c r="A186" s="139">
        <v>81</v>
      </c>
      <c r="B186" s="139" t="s">
        <v>2758</v>
      </c>
      <c r="C186" s="139" t="s">
        <v>2759</v>
      </c>
      <c r="D186" s="140" t="s">
        <v>1549</v>
      </c>
      <c r="E186" s="140" t="s">
        <v>590</v>
      </c>
      <c r="F186" s="139" t="s">
        <v>1573</v>
      </c>
      <c r="G186" s="152">
        <v>19890.439999999999</v>
      </c>
      <c r="H186" s="142">
        <v>20000</v>
      </c>
      <c r="I186" s="139">
        <v>23606.03</v>
      </c>
      <c r="J186" s="139">
        <v>23606</v>
      </c>
    </row>
    <row r="187" spans="1:10">
      <c r="A187" s="139">
        <v>84</v>
      </c>
      <c r="B187" s="139" t="s">
        <v>2758</v>
      </c>
      <c r="C187" s="139" t="s">
        <v>2759</v>
      </c>
      <c r="D187" s="140" t="s">
        <v>1549</v>
      </c>
      <c r="E187" s="140" t="s">
        <v>590</v>
      </c>
      <c r="F187" s="139" t="s">
        <v>1244</v>
      </c>
      <c r="G187" s="153">
        <v>18370.490000000002</v>
      </c>
      <c r="H187" s="142">
        <v>19000</v>
      </c>
      <c r="I187" s="139">
        <v>15320.51</v>
      </c>
      <c r="J187" s="139">
        <v>15321</v>
      </c>
    </row>
    <row r="188" spans="1:10">
      <c r="A188" s="139">
        <v>87</v>
      </c>
      <c r="B188" s="139" t="s">
        <v>2758</v>
      </c>
      <c r="C188" s="139" t="s">
        <v>2759</v>
      </c>
      <c r="D188" s="140" t="s">
        <v>1549</v>
      </c>
      <c r="E188" s="140" t="s">
        <v>575</v>
      </c>
      <c r="F188" s="139" t="s">
        <v>458</v>
      </c>
      <c r="G188" s="152">
        <v>0</v>
      </c>
      <c r="H188" s="142">
        <v>700</v>
      </c>
      <c r="I188" s="139">
        <v>987.23</v>
      </c>
      <c r="J188" s="139">
        <v>987</v>
      </c>
    </row>
    <row r="189" spans="1:10">
      <c r="A189" s="139">
        <v>100</v>
      </c>
      <c r="B189" s="139" t="s">
        <v>2758</v>
      </c>
      <c r="C189" s="139" t="s">
        <v>2759</v>
      </c>
      <c r="D189" s="140" t="s">
        <v>1549</v>
      </c>
      <c r="E189" s="140" t="s">
        <v>590</v>
      </c>
      <c r="F189" s="139" t="s">
        <v>1579</v>
      </c>
      <c r="G189" s="152">
        <v>16190.31</v>
      </c>
      <c r="H189" s="142">
        <v>16200</v>
      </c>
      <c r="I189" s="139">
        <v>16187.57</v>
      </c>
      <c r="J189" s="139">
        <v>16188</v>
      </c>
    </row>
    <row r="190" spans="1:10">
      <c r="A190" s="161"/>
      <c r="B190" s="161"/>
      <c r="C190" s="161"/>
      <c r="D190" s="162"/>
      <c r="E190" s="162"/>
      <c r="F190" s="161"/>
      <c r="G190" s="163"/>
      <c r="H190" s="164"/>
      <c r="I190" s="161">
        <f>SUM(I172:I189)</f>
        <v>159277.02000000002</v>
      </c>
      <c r="J190" s="161">
        <f>SUM(J172:J189)</f>
        <v>159276</v>
      </c>
    </row>
    <row r="191" spans="1:10">
      <c r="D191" s="140"/>
      <c r="G191" s="152"/>
    </row>
    <row r="192" spans="1:10">
      <c r="A192" s="139">
        <v>20</v>
      </c>
      <c r="B192" s="139" t="s">
        <v>2758</v>
      </c>
      <c r="C192" s="139" t="s">
        <v>2834</v>
      </c>
      <c r="D192" s="140" t="s">
        <v>1549</v>
      </c>
      <c r="E192" s="140" t="s">
        <v>590</v>
      </c>
      <c r="F192" s="139" t="s">
        <v>1559</v>
      </c>
      <c r="G192" s="143">
        <v>10468.07</v>
      </c>
      <c r="H192" s="142">
        <v>10500</v>
      </c>
      <c r="I192" s="139">
        <v>12173.43</v>
      </c>
      <c r="J192" s="139">
        <v>12174</v>
      </c>
    </row>
    <row r="193" spans="1:10">
      <c r="A193" s="139">
        <v>27</v>
      </c>
      <c r="B193" s="139" t="s">
        <v>2758</v>
      </c>
      <c r="C193" s="139" t="s">
        <v>2834</v>
      </c>
      <c r="D193" s="140" t="s">
        <v>1549</v>
      </c>
      <c r="E193" s="140" t="s">
        <v>590</v>
      </c>
      <c r="F193" s="139" t="s">
        <v>1563</v>
      </c>
      <c r="G193" s="143">
        <v>13092.81</v>
      </c>
      <c r="H193" s="142">
        <v>13100</v>
      </c>
      <c r="I193" s="139">
        <v>14140.09</v>
      </c>
      <c r="J193" s="139">
        <v>14141</v>
      </c>
    </row>
    <row r="194" spans="1:10">
      <c r="A194" s="139">
        <v>31</v>
      </c>
      <c r="B194" s="139" t="s">
        <v>2758</v>
      </c>
      <c r="C194" s="139" t="s">
        <v>2834</v>
      </c>
      <c r="D194" s="140" t="s">
        <v>1549</v>
      </c>
      <c r="E194" s="140" t="s">
        <v>590</v>
      </c>
      <c r="F194" s="139" t="s">
        <v>1565</v>
      </c>
      <c r="G194" s="143">
        <v>1755.96</v>
      </c>
      <c r="H194" s="142">
        <v>2000</v>
      </c>
      <c r="I194" s="139">
        <v>1901.76</v>
      </c>
      <c r="J194" s="139">
        <v>1902</v>
      </c>
    </row>
    <row r="195" spans="1:10">
      <c r="A195" s="139">
        <v>32</v>
      </c>
      <c r="B195" s="139" t="s">
        <v>2758</v>
      </c>
      <c r="C195" s="139" t="s">
        <v>2834</v>
      </c>
      <c r="D195" s="140" t="s">
        <v>1549</v>
      </c>
      <c r="E195" s="140" t="s">
        <v>590</v>
      </c>
      <c r="F195" s="139" t="s">
        <v>1566</v>
      </c>
      <c r="G195" s="143">
        <v>2285.4</v>
      </c>
      <c r="H195" s="142">
        <v>2300</v>
      </c>
      <c r="I195" s="139">
        <v>2520.48</v>
      </c>
      <c r="J195" s="139">
        <v>2520</v>
      </c>
    </row>
    <row r="196" spans="1:10">
      <c r="A196" s="139">
        <v>50</v>
      </c>
      <c r="B196" s="139" t="s">
        <v>2758</v>
      </c>
      <c r="C196" s="139" t="s">
        <v>2834</v>
      </c>
      <c r="D196" s="140" t="s">
        <v>1549</v>
      </c>
      <c r="E196" s="140" t="s">
        <v>590</v>
      </c>
      <c r="F196" s="139" t="s">
        <v>1567</v>
      </c>
      <c r="G196" s="143">
        <v>28361.99</v>
      </c>
      <c r="H196" s="142">
        <v>32000</v>
      </c>
      <c r="I196" s="139">
        <v>18825.23</v>
      </c>
      <c r="J196" s="139">
        <v>18826</v>
      </c>
    </row>
    <row r="197" spans="1:10">
      <c r="A197" s="139">
        <v>51</v>
      </c>
      <c r="B197" s="139" t="s">
        <v>2758</v>
      </c>
      <c r="C197" s="139" t="s">
        <v>2834</v>
      </c>
      <c r="D197" s="140" t="s">
        <v>1549</v>
      </c>
      <c r="E197" s="140" t="s">
        <v>590</v>
      </c>
      <c r="F197" s="139" t="s">
        <v>1990</v>
      </c>
      <c r="G197" s="143">
        <v>0</v>
      </c>
      <c r="H197" s="142">
        <v>0</v>
      </c>
      <c r="I197" s="139">
        <v>0</v>
      </c>
      <c r="J197" s="139">
        <v>0</v>
      </c>
    </row>
    <row r="198" spans="1:10">
      <c r="A198" s="139">
        <v>52</v>
      </c>
      <c r="B198" s="139" t="s">
        <v>2758</v>
      </c>
      <c r="C198" s="139" t="s">
        <v>2834</v>
      </c>
      <c r="D198" s="140" t="s">
        <v>1549</v>
      </c>
      <c r="E198" s="140" t="s">
        <v>575</v>
      </c>
      <c r="F198" s="139" t="s">
        <v>1568</v>
      </c>
      <c r="G198" s="143">
        <v>2141.4</v>
      </c>
      <c r="H198" s="142">
        <v>2200</v>
      </c>
      <c r="I198" s="139">
        <v>2319.2399999999998</v>
      </c>
      <c r="J198" s="139">
        <v>2319</v>
      </c>
    </row>
    <row r="199" spans="1:10">
      <c r="A199" s="139">
        <v>63</v>
      </c>
      <c r="B199" s="139" t="s">
        <v>2758</v>
      </c>
      <c r="C199" s="139" t="s">
        <v>2834</v>
      </c>
      <c r="D199" s="140" t="s">
        <v>1549</v>
      </c>
      <c r="E199" s="140" t="s">
        <v>575</v>
      </c>
      <c r="F199" s="139" t="s">
        <v>1229</v>
      </c>
      <c r="G199" s="143">
        <v>4464.72</v>
      </c>
      <c r="H199" s="142">
        <v>4500</v>
      </c>
      <c r="I199" s="139">
        <v>805.88</v>
      </c>
      <c r="J199" s="139">
        <v>806</v>
      </c>
    </row>
    <row r="200" spans="1:10">
      <c r="A200" s="139">
        <v>64</v>
      </c>
      <c r="B200" s="139" t="s">
        <v>2758</v>
      </c>
      <c r="C200" s="139" t="s">
        <v>2834</v>
      </c>
      <c r="D200" s="140" t="s">
        <v>1549</v>
      </c>
      <c r="E200" s="140" t="s">
        <v>575</v>
      </c>
      <c r="F200" s="139" t="s">
        <v>1569</v>
      </c>
      <c r="G200" s="143">
        <v>4534.01</v>
      </c>
      <c r="H200" s="142">
        <v>5000</v>
      </c>
      <c r="I200" s="139">
        <v>6591.24</v>
      </c>
      <c r="J200" s="139">
        <v>6591</v>
      </c>
    </row>
    <row r="201" spans="1:10">
      <c r="A201" s="139">
        <v>65</v>
      </c>
      <c r="B201" s="139" t="s">
        <v>2758</v>
      </c>
      <c r="C201" s="139" t="s">
        <v>2834</v>
      </c>
      <c r="D201" s="140" t="s">
        <v>1549</v>
      </c>
      <c r="E201" s="140" t="s">
        <v>590</v>
      </c>
      <c r="F201" s="139" t="s">
        <v>1570</v>
      </c>
      <c r="G201" s="143">
        <v>0</v>
      </c>
      <c r="H201" s="142">
        <v>0</v>
      </c>
      <c r="I201" s="139">
        <v>0</v>
      </c>
      <c r="J201" s="139">
        <v>0</v>
      </c>
    </row>
    <row r="202" spans="1:10">
      <c r="A202" s="139">
        <v>66</v>
      </c>
      <c r="B202" s="139" t="s">
        <v>2758</v>
      </c>
      <c r="C202" s="139" t="s">
        <v>2834</v>
      </c>
      <c r="D202" s="140" t="s">
        <v>1549</v>
      </c>
      <c r="E202" s="140" t="s">
        <v>590</v>
      </c>
      <c r="F202" s="139" t="s">
        <v>1571</v>
      </c>
      <c r="G202" s="143">
        <v>4391.1000000000004</v>
      </c>
      <c r="H202" s="142">
        <v>4400</v>
      </c>
      <c r="I202" s="139">
        <v>6974.88</v>
      </c>
      <c r="J202" s="139">
        <v>6975</v>
      </c>
    </row>
    <row r="203" spans="1:10">
      <c r="A203" s="139">
        <v>80</v>
      </c>
      <c r="B203" s="139" t="s">
        <v>2758</v>
      </c>
      <c r="C203" s="139" t="s">
        <v>2834</v>
      </c>
      <c r="D203" s="140" t="s">
        <v>1549</v>
      </c>
      <c r="E203" s="140" t="s">
        <v>590</v>
      </c>
      <c r="F203" s="139" t="s">
        <v>1572</v>
      </c>
      <c r="G203" s="143">
        <v>4362.93</v>
      </c>
      <c r="H203" s="142">
        <v>4400</v>
      </c>
      <c r="I203" s="139">
        <v>317.76</v>
      </c>
      <c r="J203" s="139">
        <v>318</v>
      </c>
    </row>
    <row r="204" spans="1:10">
      <c r="A204" s="139">
        <v>81</v>
      </c>
      <c r="B204" s="139" t="s">
        <v>2758</v>
      </c>
      <c r="C204" s="139" t="s">
        <v>2834</v>
      </c>
      <c r="D204" s="140" t="s">
        <v>1549</v>
      </c>
      <c r="E204" s="140" t="s">
        <v>590</v>
      </c>
      <c r="F204" s="139" t="s">
        <v>1573</v>
      </c>
      <c r="G204" s="143">
        <v>4935.0600000000004</v>
      </c>
      <c r="H204" s="142">
        <v>5000</v>
      </c>
      <c r="I204" s="139">
        <v>6008.2</v>
      </c>
      <c r="J204" s="139">
        <v>6006</v>
      </c>
    </row>
    <row r="205" spans="1:10">
      <c r="A205" s="139">
        <v>84</v>
      </c>
      <c r="B205" s="139" t="s">
        <v>2758</v>
      </c>
      <c r="C205" s="139" t="s">
        <v>2834</v>
      </c>
      <c r="D205" s="140" t="s">
        <v>1549</v>
      </c>
      <c r="E205" s="140" t="s">
        <v>590</v>
      </c>
      <c r="F205" s="139" t="s">
        <v>1244</v>
      </c>
      <c r="G205" s="150">
        <v>13188.6</v>
      </c>
      <c r="H205" s="142">
        <v>14000</v>
      </c>
      <c r="I205" s="139">
        <v>6363.12</v>
      </c>
      <c r="J205" s="139">
        <v>6364</v>
      </c>
    </row>
    <row r="206" spans="1:10">
      <c r="A206" s="139">
        <v>87</v>
      </c>
      <c r="B206" s="139" t="s">
        <v>2758</v>
      </c>
      <c r="C206" s="139" t="s">
        <v>2834</v>
      </c>
      <c r="D206" s="140" t="s">
        <v>1549</v>
      </c>
      <c r="E206" s="140" t="s">
        <v>575</v>
      </c>
      <c r="F206" s="139" t="s">
        <v>458</v>
      </c>
      <c r="G206" s="143">
        <v>0</v>
      </c>
      <c r="H206" s="142">
        <v>1400</v>
      </c>
      <c r="I206" s="139">
        <v>1357.27</v>
      </c>
      <c r="J206" s="139">
        <v>1357</v>
      </c>
    </row>
    <row r="207" spans="1:10">
      <c r="A207" s="139">
        <v>100</v>
      </c>
      <c r="B207" s="139" t="s">
        <v>2758</v>
      </c>
      <c r="C207" s="139" t="s">
        <v>2834</v>
      </c>
      <c r="D207" s="140" t="s">
        <v>1549</v>
      </c>
      <c r="E207" s="140" t="s">
        <v>590</v>
      </c>
      <c r="F207" s="139" t="s">
        <v>1579</v>
      </c>
      <c r="G207" s="143">
        <v>10885.6</v>
      </c>
      <c r="H207" s="142">
        <v>10900</v>
      </c>
      <c r="I207" s="139">
        <v>11960.62</v>
      </c>
      <c r="J207" s="139">
        <v>11960</v>
      </c>
    </row>
    <row r="208" spans="1:10">
      <c r="A208" s="161"/>
      <c r="B208" s="161"/>
      <c r="C208" s="161"/>
      <c r="D208" s="162"/>
      <c r="E208" s="162"/>
      <c r="F208" s="161"/>
      <c r="G208" s="163"/>
      <c r="H208" s="164"/>
      <c r="I208" s="161">
        <f>SUM(I192:I207)</f>
        <v>92259.199999999983</v>
      </c>
      <c r="J208" s="161">
        <f>SUM(J192:J207)</f>
        <v>92259</v>
      </c>
    </row>
    <row r="209" spans="1:10">
      <c r="D209" s="140"/>
      <c r="G209" s="143"/>
    </row>
    <row r="210" spans="1:10">
      <c r="A210" s="139">
        <v>10</v>
      </c>
      <c r="B210" s="139" t="s">
        <v>2758</v>
      </c>
      <c r="C210" s="139" t="s">
        <v>2760</v>
      </c>
      <c r="D210" s="140" t="s">
        <v>1549</v>
      </c>
      <c r="E210" s="140" t="s">
        <v>577</v>
      </c>
      <c r="F210" s="139" t="s">
        <v>1558</v>
      </c>
      <c r="G210" s="143">
        <v>0</v>
      </c>
      <c r="H210" s="142">
        <v>0</v>
      </c>
      <c r="I210" s="139">
        <v>0</v>
      </c>
      <c r="J210" s="139">
        <v>0</v>
      </c>
    </row>
    <row r="211" spans="1:10">
      <c r="D211" s="140"/>
      <c r="G211" s="143"/>
    </row>
    <row r="212" spans="1:10">
      <c r="D212" s="140"/>
      <c r="G212" s="143"/>
    </row>
    <row r="213" spans="1:10">
      <c r="A213" s="139">
        <v>10</v>
      </c>
      <c r="B213" s="139" t="s">
        <v>2758</v>
      </c>
      <c r="C213" s="139" t="s">
        <v>2761</v>
      </c>
      <c r="D213" s="140" t="s">
        <v>1549</v>
      </c>
      <c r="E213" s="140" t="s">
        <v>577</v>
      </c>
      <c r="F213" s="139" t="s">
        <v>1558</v>
      </c>
      <c r="G213" s="143">
        <v>0</v>
      </c>
      <c r="H213" s="142">
        <v>0</v>
      </c>
      <c r="I213" s="139">
        <v>0</v>
      </c>
      <c r="J213" s="139">
        <v>0</v>
      </c>
    </row>
    <row r="214" spans="1:10">
      <c r="D214" s="140"/>
      <c r="G214" s="143"/>
    </row>
    <row r="215" spans="1:10">
      <c r="D215" s="140"/>
      <c r="G215" s="143"/>
    </row>
    <row r="216" spans="1:10">
      <c r="A216" s="139">
        <v>10</v>
      </c>
      <c r="B216" s="139" t="s">
        <v>2758</v>
      </c>
      <c r="C216" s="139" t="s">
        <v>2762</v>
      </c>
      <c r="D216" s="140" t="s">
        <v>1549</v>
      </c>
      <c r="E216" s="140" t="s">
        <v>1807</v>
      </c>
      <c r="F216" s="139" t="s">
        <v>1558</v>
      </c>
      <c r="G216" s="143">
        <v>0</v>
      </c>
      <c r="H216" s="142">
        <v>0</v>
      </c>
      <c r="I216" s="139">
        <v>0</v>
      </c>
      <c r="J216" s="139">
        <v>0</v>
      </c>
    </row>
    <row r="217" spans="1:10">
      <c r="A217" s="139">
        <v>20</v>
      </c>
      <c r="B217" s="139" t="s">
        <v>2758</v>
      </c>
      <c r="C217" s="139" t="s">
        <v>2762</v>
      </c>
      <c r="D217" s="140" t="s">
        <v>1549</v>
      </c>
      <c r="E217" s="140" t="s">
        <v>1807</v>
      </c>
      <c r="F217" s="139" t="s">
        <v>1559</v>
      </c>
      <c r="G217" s="143">
        <v>547.20000000000005</v>
      </c>
      <c r="H217" s="142">
        <v>640</v>
      </c>
      <c r="I217" s="139">
        <v>525.78</v>
      </c>
      <c r="J217" s="139">
        <v>526</v>
      </c>
    </row>
    <row r="218" spans="1:10">
      <c r="A218" s="139">
        <v>21</v>
      </c>
      <c r="B218" s="139" t="s">
        <v>2758</v>
      </c>
      <c r="C218" s="139" t="s">
        <v>2762</v>
      </c>
      <c r="D218" s="140" t="s">
        <v>1549</v>
      </c>
      <c r="E218" s="140" t="s">
        <v>1807</v>
      </c>
      <c r="F218" s="139" t="s">
        <v>1560</v>
      </c>
      <c r="G218" s="143">
        <v>0</v>
      </c>
      <c r="H218" s="142">
        <v>0</v>
      </c>
      <c r="I218" s="139">
        <v>0</v>
      </c>
      <c r="J218" s="139">
        <v>0</v>
      </c>
    </row>
    <row r="219" spans="1:10">
      <c r="A219" s="139">
        <v>27</v>
      </c>
      <c r="B219" s="139" t="s">
        <v>2758</v>
      </c>
      <c r="C219" s="139" t="s">
        <v>2762</v>
      </c>
      <c r="D219" s="140" t="s">
        <v>1549</v>
      </c>
      <c r="E219" s="140" t="s">
        <v>1807</v>
      </c>
      <c r="F219" s="139" t="s">
        <v>1563</v>
      </c>
      <c r="G219" s="143">
        <v>630.4</v>
      </c>
      <c r="H219" s="142">
        <v>700</v>
      </c>
      <c r="I219" s="139">
        <v>656.88</v>
      </c>
      <c r="J219" s="139">
        <v>657</v>
      </c>
    </row>
    <row r="220" spans="1:10">
      <c r="A220" s="139">
        <v>31</v>
      </c>
      <c r="B220" s="139" t="s">
        <v>2758</v>
      </c>
      <c r="C220" s="139" t="s">
        <v>2762</v>
      </c>
      <c r="D220" s="140" t="s">
        <v>1549</v>
      </c>
      <c r="E220" s="140" t="s">
        <v>1807</v>
      </c>
      <c r="F220" s="139" t="s">
        <v>1565</v>
      </c>
      <c r="G220" s="143">
        <v>76.8</v>
      </c>
      <c r="H220" s="142">
        <v>80</v>
      </c>
      <c r="I220" s="139">
        <v>82.8</v>
      </c>
      <c r="J220" s="139">
        <v>83</v>
      </c>
    </row>
    <row r="221" spans="1:10">
      <c r="A221" s="139">
        <v>32</v>
      </c>
      <c r="B221" s="139" t="s">
        <v>2758</v>
      </c>
      <c r="C221" s="139" t="s">
        <v>2762</v>
      </c>
      <c r="D221" s="140" t="s">
        <v>1549</v>
      </c>
      <c r="E221" s="140" t="s">
        <v>1807</v>
      </c>
      <c r="F221" s="139" t="s">
        <v>1566</v>
      </c>
      <c r="G221" s="143">
        <v>76.8</v>
      </c>
      <c r="H221" s="142">
        <v>80</v>
      </c>
      <c r="I221" s="139">
        <v>82.8</v>
      </c>
      <c r="J221" s="139">
        <v>83</v>
      </c>
    </row>
    <row r="222" spans="1:10">
      <c r="A222" s="139">
        <v>50</v>
      </c>
      <c r="B222" s="139" t="s">
        <v>2758</v>
      </c>
      <c r="C222" s="139" t="s">
        <v>2762</v>
      </c>
      <c r="D222" s="140" t="s">
        <v>1549</v>
      </c>
      <c r="E222" s="140" t="s">
        <v>1807</v>
      </c>
      <c r="F222" s="139" t="s">
        <v>1567</v>
      </c>
      <c r="G222" s="143">
        <v>982.4</v>
      </c>
      <c r="H222" s="142">
        <v>1200</v>
      </c>
      <c r="I222" s="139">
        <v>767.28</v>
      </c>
      <c r="J222" s="139">
        <v>768</v>
      </c>
    </row>
    <row r="223" spans="1:10">
      <c r="A223" s="139">
        <v>51</v>
      </c>
      <c r="B223" s="139" t="s">
        <v>2758</v>
      </c>
      <c r="C223" s="139" t="s">
        <v>2762</v>
      </c>
      <c r="D223" s="140" t="s">
        <v>1549</v>
      </c>
      <c r="E223" s="140" t="s">
        <v>1807</v>
      </c>
      <c r="F223" s="139" t="s">
        <v>1990</v>
      </c>
      <c r="G223" s="143">
        <v>38.4</v>
      </c>
      <c r="H223" s="142">
        <v>40</v>
      </c>
      <c r="I223" s="139">
        <v>28.98</v>
      </c>
      <c r="J223" s="139">
        <v>29</v>
      </c>
    </row>
    <row r="224" spans="1:10">
      <c r="A224" s="139">
        <v>52</v>
      </c>
      <c r="B224" s="139" t="s">
        <v>2758</v>
      </c>
      <c r="C224" s="139" t="s">
        <v>2762</v>
      </c>
      <c r="D224" s="140" t="s">
        <v>1549</v>
      </c>
      <c r="E224" s="140" t="s">
        <v>1807</v>
      </c>
      <c r="F224" s="139" t="s">
        <v>1568</v>
      </c>
      <c r="G224" s="143">
        <v>38.4</v>
      </c>
      <c r="H224" s="142">
        <v>40</v>
      </c>
      <c r="I224" s="139">
        <v>41.4</v>
      </c>
      <c r="J224" s="139">
        <v>41</v>
      </c>
    </row>
    <row r="225" spans="1:13">
      <c r="A225" s="139">
        <v>63</v>
      </c>
      <c r="B225" s="139" t="s">
        <v>2758</v>
      </c>
      <c r="C225" s="139" t="s">
        <v>2762</v>
      </c>
      <c r="D225" s="140" t="s">
        <v>1549</v>
      </c>
      <c r="E225" s="140" t="s">
        <v>1807</v>
      </c>
      <c r="F225" s="139" t="s">
        <v>1229</v>
      </c>
      <c r="G225" s="143">
        <v>38.4</v>
      </c>
      <c r="H225" s="142">
        <v>40</v>
      </c>
      <c r="I225" s="139">
        <v>6.9</v>
      </c>
      <c r="J225" s="139">
        <v>7</v>
      </c>
    </row>
    <row r="226" spans="1:13">
      <c r="A226" s="139">
        <v>64</v>
      </c>
      <c r="B226" s="139" t="s">
        <v>2758</v>
      </c>
      <c r="C226" s="139" t="s">
        <v>2762</v>
      </c>
      <c r="D226" s="140" t="s">
        <v>1549</v>
      </c>
      <c r="E226" s="140" t="s">
        <v>1807</v>
      </c>
      <c r="F226" s="139" t="s">
        <v>1569</v>
      </c>
      <c r="G226" s="143">
        <v>1129.5999999999999</v>
      </c>
      <c r="H226" s="142">
        <v>1150</v>
      </c>
      <c r="I226" s="139">
        <v>1366.2</v>
      </c>
      <c r="J226" s="139">
        <v>1366</v>
      </c>
    </row>
    <row r="227" spans="1:13">
      <c r="A227" s="139">
        <v>65</v>
      </c>
      <c r="B227" s="139" t="s">
        <v>2758</v>
      </c>
      <c r="C227" s="139" t="s">
        <v>2762</v>
      </c>
      <c r="D227" s="140" t="s">
        <v>1549</v>
      </c>
      <c r="E227" s="140" t="s">
        <v>1807</v>
      </c>
      <c r="F227" s="139" t="s">
        <v>1570</v>
      </c>
      <c r="G227" s="143">
        <v>115.2</v>
      </c>
      <c r="H227" s="142">
        <v>120</v>
      </c>
      <c r="I227" s="139">
        <v>124.2</v>
      </c>
      <c r="J227" s="139">
        <v>124</v>
      </c>
    </row>
    <row r="228" spans="1:13">
      <c r="A228" s="139">
        <v>66</v>
      </c>
      <c r="B228" s="139" t="s">
        <v>2758</v>
      </c>
      <c r="C228" s="139" t="s">
        <v>2762</v>
      </c>
      <c r="D228" s="140" t="s">
        <v>1549</v>
      </c>
      <c r="E228" s="140" t="s">
        <v>1807</v>
      </c>
      <c r="F228" s="139" t="s">
        <v>1571</v>
      </c>
      <c r="G228" s="143">
        <v>1417.6</v>
      </c>
      <c r="H228" s="142">
        <v>1420</v>
      </c>
      <c r="I228" s="139">
        <v>1569.75</v>
      </c>
      <c r="J228" s="139">
        <v>1570</v>
      </c>
    </row>
    <row r="229" spans="1:13">
      <c r="A229" s="139">
        <v>80</v>
      </c>
      <c r="B229" s="139" t="s">
        <v>2758</v>
      </c>
      <c r="C229" s="139" t="s">
        <v>2762</v>
      </c>
      <c r="D229" s="140" t="s">
        <v>1549</v>
      </c>
      <c r="E229" s="140" t="s">
        <v>1807</v>
      </c>
      <c r="F229" s="139" t="s">
        <v>1572</v>
      </c>
      <c r="G229" s="143">
        <v>118.4</v>
      </c>
      <c r="H229" s="142">
        <v>210</v>
      </c>
      <c r="I229" s="139">
        <v>117.99</v>
      </c>
      <c r="J229" s="139">
        <v>118</v>
      </c>
    </row>
    <row r="230" spans="1:13">
      <c r="A230" s="139">
        <v>81</v>
      </c>
      <c r="B230" s="139" t="s">
        <v>2758</v>
      </c>
      <c r="C230" s="139" t="s">
        <v>2762</v>
      </c>
      <c r="D230" s="140" t="s">
        <v>1549</v>
      </c>
      <c r="E230" s="140" t="s">
        <v>1807</v>
      </c>
      <c r="F230" s="139" t="s">
        <v>1573</v>
      </c>
      <c r="G230" s="143">
        <v>1395.2</v>
      </c>
      <c r="H230" s="142">
        <v>1400</v>
      </c>
      <c r="I230" s="139">
        <v>1555.95</v>
      </c>
      <c r="J230" s="139">
        <v>1556</v>
      </c>
    </row>
    <row r="231" spans="1:13" s="146" customFormat="1">
      <c r="A231" s="139">
        <v>84</v>
      </c>
      <c r="B231" s="139" t="s">
        <v>2758</v>
      </c>
      <c r="C231" s="139" t="s">
        <v>2762</v>
      </c>
      <c r="D231" s="140" t="s">
        <v>1549</v>
      </c>
      <c r="E231" s="140" t="s">
        <v>1807</v>
      </c>
      <c r="F231" s="139" t="s">
        <v>1244</v>
      </c>
      <c r="G231" s="150">
        <v>1027.2</v>
      </c>
      <c r="H231" s="142">
        <v>1100</v>
      </c>
      <c r="I231" s="139">
        <v>901.14</v>
      </c>
      <c r="J231" s="139">
        <v>902</v>
      </c>
      <c r="K231" s="139"/>
      <c r="L231" s="139"/>
      <c r="M231" s="139"/>
    </row>
    <row r="232" spans="1:13">
      <c r="A232" s="139">
        <v>87</v>
      </c>
      <c r="B232" s="139" t="s">
        <v>2758</v>
      </c>
      <c r="C232" s="139" t="s">
        <v>2762</v>
      </c>
      <c r="D232" s="140" t="s">
        <v>1549</v>
      </c>
      <c r="E232" s="140" t="s">
        <v>1807</v>
      </c>
      <c r="F232" s="139" t="s">
        <v>458</v>
      </c>
      <c r="G232" s="143">
        <v>0</v>
      </c>
      <c r="H232" s="142">
        <v>22</v>
      </c>
      <c r="I232" s="139">
        <v>27.6</v>
      </c>
      <c r="J232" s="139">
        <v>27</v>
      </c>
    </row>
    <row r="233" spans="1:13">
      <c r="A233" s="139">
        <v>100</v>
      </c>
      <c r="B233" s="139" t="s">
        <v>2758</v>
      </c>
      <c r="C233" s="139" t="s">
        <v>2762</v>
      </c>
      <c r="D233" s="140" t="s">
        <v>1549</v>
      </c>
      <c r="E233" s="140" t="s">
        <v>1807</v>
      </c>
      <c r="F233" s="139" t="s">
        <v>1579</v>
      </c>
      <c r="G233" s="143">
        <v>726.4</v>
      </c>
      <c r="H233" s="142">
        <v>800</v>
      </c>
      <c r="I233" s="139">
        <v>686.55</v>
      </c>
      <c r="J233" s="139">
        <v>686</v>
      </c>
    </row>
    <row r="234" spans="1:13">
      <c r="A234" s="139">
        <v>10</v>
      </c>
      <c r="B234" s="139" t="s">
        <v>2758</v>
      </c>
      <c r="C234" s="139" t="s">
        <v>2763</v>
      </c>
      <c r="D234" s="140" t="s">
        <v>1549</v>
      </c>
      <c r="E234" s="140" t="s">
        <v>2321</v>
      </c>
      <c r="F234" s="139" t="s">
        <v>1558</v>
      </c>
      <c r="G234" s="143">
        <v>7027.2</v>
      </c>
      <c r="H234" s="142">
        <v>7100</v>
      </c>
      <c r="I234" s="139">
        <v>0</v>
      </c>
      <c r="J234" s="139">
        <v>0</v>
      </c>
    </row>
    <row r="235" spans="1:13">
      <c r="D235" s="140"/>
      <c r="G235" s="143"/>
      <c r="I235" s="157">
        <f>SUM(I216:I234)</f>
        <v>8542.2000000000007</v>
      </c>
      <c r="J235" s="157">
        <f>SUM(J216:J234)</f>
        <v>8543</v>
      </c>
    </row>
    <row r="236" spans="1:13">
      <c r="D236" s="140"/>
      <c r="G236" s="143"/>
    </row>
    <row r="237" spans="1:13">
      <c r="D237" s="140"/>
      <c r="G237" s="143"/>
      <c r="I237" s="159">
        <f>SUM(I2:I235)/2</f>
        <v>23731899.859999996</v>
      </c>
      <c r="J237" s="159">
        <f>SUM(J2:J234)/2</f>
        <v>23709670.5</v>
      </c>
    </row>
    <row r="238" spans="1:13">
      <c r="D238" s="140"/>
      <c r="G238" s="143"/>
      <c r="I238" s="165"/>
      <c r="J238" s="165"/>
    </row>
    <row r="239" spans="1:13">
      <c r="D239" s="140"/>
      <c r="G239" s="143"/>
      <c r="I239" s="165"/>
      <c r="J239" s="165"/>
    </row>
    <row r="240" spans="1:13">
      <c r="D240" s="140"/>
      <c r="G240" s="143"/>
    </row>
    <row r="241" spans="1:10">
      <c r="A241" s="139">
        <v>10</v>
      </c>
      <c r="B241" s="139" t="s">
        <v>2764</v>
      </c>
      <c r="C241" s="139" t="s">
        <v>2765</v>
      </c>
      <c r="D241" s="140" t="s">
        <v>1550</v>
      </c>
      <c r="E241" s="140" t="s">
        <v>583</v>
      </c>
      <c r="F241" s="139" t="s">
        <v>1558</v>
      </c>
      <c r="G241" s="143">
        <v>451952.04</v>
      </c>
      <c r="H241" s="142">
        <v>452052</v>
      </c>
      <c r="I241" s="139">
        <v>534681</v>
      </c>
      <c r="J241" s="139">
        <v>534681</v>
      </c>
    </row>
    <row r="242" spans="1:10">
      <c r="A242" s="139">
        <v>10</v>
      </c>
      <c r="B242" s="139" t="s">
        <v>2764</v>
      </c>
      <c r="C242" s="139" t="s">
        <v>2766</v>
      </c>
      <c r="D242" s="140" t="s">
        <v>1550</v>
      </c>
      <c r="E242" s="140" t="s">
        <v>583</v>
      </c>
      <c r="G242" s="143"/>
      <c r="I242" s="139">
        <v>166689.47</v>
      </c>
      <c r="J242" s="139">
        <v>166689</v>
      </c>
    </row>
    <row r="243" spans="1:10">
      <c r="A243" s="139">
        <v>10</v>
      </c>
      <c r="B243" s="139" t="s">
        <v>2764</v>
      </c>
      <c r="C243" s="139" t="s">
        <v>2767</v>
      </c>
      <c r="D243" s="140" t="s">
        <v>1550</v>
      </c>
      <c r="E243" s="140" t="s">
        <v>583</v>
      </c>
      <c r="F243" s="139" t="s">
        <v>1558</v>
      </c>
      <c r="G243" s="143">
        <v>1132163.3999999999</v>
      </c>
      <c r="H243" s="142">
        <v>1132164</v>
      </c>
      <c r="I243" s="139">
        <v>1201138.73</v>
      </c>
      <c r="J243" s="139">
        <v>1201139</v>
      </c>
    </row>
    <row r="244" spans="1:10">
      <c r="A244" s="139">
        <v>10</v>
      </c>
      <c r="B244" s="139" t="s">
        <v>2764</v>
      </c>
      <c r="C244" s="139" t="s">
        <v>2768</v>
      </c>
      <c r="D244" s="140" t="s">
        <v>1550</v>
      </c>
      <c r="E244" s="140" t="s">
        <v>545</v>
      </c>
      <c r="F244" s="139" t="s">
        <v>1558</v>
      </c>
      <c r="G244" s="143">
        <v>376845.36</v>
      </c>
      <c r="H244" s="142">
        <v>376865</v>
      </c>
      <c r="I244" s="139">
        <v>398800.9</v>
      </c>
      <c r="J244" s="139">
        <v>398801</v>
      </c>
    </row>
    <row r="245" spans="1:10">
      <c r="A245" s="139">
        <v>10</v>
      </c>
      <c r="B245" s="139" t="s">
        <v>2764</v>
      </c>
      <c r="C245" s="139" t="s">
        <v>2769</v>
      </c>
      <c r="D245" s="140" t="s">
        <v>1550</v>
      </c>
      <c r="E245" s="140" t="s">
        <v>545</v>
      </c>
      <c r="F245" s="139" t="s">
        <v>1558</v>
      </c>
      <c r="G245" s="143">
        <v>0</v>
      </c>
      <c r="H245" s="142">
        <v>0</v>
      </c>
      <c r="I245" s="139">
        <v>0</v>
      </c>
      <c r="J245" s="139">
        <v>0</v>
      </c>
    </row>
    <row r="246" spans="1:10">
      <c r="A246" s="139">
        <v>10</v>
      </c>
      <c r="B246" s="139" t="s">
        <v>2764</v>
      </c>
      <c r="C246" s="139" t="s">
        <v>2770</v>
      </c>
      <c r="D246" s="140" t="s">
        <v>1550</v>
      </c>
      <c r="E246" s="140" t="s">
        <v>545</v>
      </c>
      <c r="F246" s="139" t="s">
        <v>1558</v>
      </c>
      <c r="G246" s="143">
        <v>95292</v>
      </c>
      <c r="H246" s="142">
        <v>95292</v>
      </c>
      <c r="I246" s="139">
        <v>98779.93</v>
      </c>
      <c r="J246" s="139">
        <v>98780</v>
      </c>
    </row>
    <row r="247" spans="1:10">
      <c r="A247" s="139">
        <v>10</v>
      </c>
      <c r="B247" s="139" t="s">
        <v>2764</v>
      </c>
      <c r="C247" s="139" t="s">
        <v>2771</v>
      </c>
      <c r="D247" s="140" t="s">
        <v>1550</v>
      </c>
      <c r="E247" s="140" t="s">
        <v>590</v>
      </c>
      <c r="F247" s="139" t="s">
        <v>1558</v>
      </c>
      <c r="G247" s="143">
        <v>219048.88</v>
      </c>
      <c r="H247" s="142">
        <v>219050</v>
      </c>
      <c r="I247" s="139">
        <v>167596.84</v>
      </c>
      <c r="J247" s="139">
        <v>167597</v>
      </c>
    </row>
    <row r="248" spans="1:10">
      <c r="I248" s="157">
        <f>SUM(I241:I247)</f>
        <v>2567686.87</v>
      </c>
      <c r="J248" s="157">
        <f>SUM(J241:J247)</f>
        <v>2567687</v>
      </c>
    </row>
  </sheetData>
  <sortState ref="A2:J200">
    <sortCondition ref="B2:B200"/>
    <sortCondition ref="C2:C200"/>
  </sortState>
  <pageMargins left="0.7" right="0.7" top="0.75" bottom="0.75" header="0.3" footer="0.3"/>
</worksheet>
</file>

<file path=xl/worksheets/sheet51.xml><?xml version="1.0" encoding="utf-8"?>
<worksheet xmlns="http://schemas.openxmlformats.org/spreadsheetml/2006/main" xmlns:r="http://schemas.openxmlformats.org/officeDocument/2006/relationships">
  <dimension ref="A1:X1102"/>
  <sheetViews>
    <sheetView workbookViewId="0">
      <selection sqref="A1:XFD1048576"/>
    </sheetView>
  </sheetViews>
  <sheetFormatPr defaultColWidth="19" defaultRowHeight="15"/>
  <cols>
    <col min="1" max="1" width="15.7109375" style="168" customWidth="1"/>
    <col min="2" max="2" width="15.7109375" style="168" hidden="1" customWidth="1"/>
    <col min="3" max="3" width="16.5703125" style="455" hidden="1" customWidth="1"/>
    <col min="4" max="4" width="19" style="168" hidden="1" customWidth="1"/>
    <col min="5" max="5" width="15.85546875" style="456" hidden="1" customWidth="1"/>
    <col min="6" max="6" width="19" style="456" hidden="1" customWidth="1"/>
    <col min="7" max="13" width="0" style="168" hidden="1" customWidth="1"/>
    <col min="14" max="16384" width="19" style="168"/>
  </cols>
  <sheetData>
    <row r="1" spans="1:20" ht="15.75" customHeight="1">
      <c r="A1" s="168" t="s">
        <v>33</v>
      </c>
      <c r="B1" s="455" t="s">
        <v>1556</v>
      </c>
      <c r="C1" s="455" t="s">
        <v>1710</v>
      </c>
      <c r="D1" s="168" t="s">
        <v>1557</v>
      </c>
      <c r="E1" s="456" t="s">
        <v>2664</v>
      </c>
      <c r="F1" s="456" t="s">
        <v>2665</v>
      </c>
      <c r="G1" s="456" t="s">
        <v>2666</v>
      </c>
      <c r="H1" s="456" t="s">
        <v>2667</v>
      </c>
      <c r="Q1" s="168" t="s">
        <v>3744</v>
      </c>
      <c r="R1" s="168" t="s">
        <v>3745</v>
      </c>
      <c r="S1" s="456" t="s">
        <v>3485</v>
      </c>
      <c r="T1" s="456" t="s">
        <v>3486</v>
      </c>
    </row>
    <row r="2" spans="1:20">
      <c r="A2" s="168" t="s">
        <v>547</v>
      </c>
      <c r="B2" s="455" t="s">
        <v>21</v>
      </c>
      <c r="C2" s="455" t="s">
        <v>548</v>
      </c>
      <c r="D2" s="168" t="s">
        <v>1558</v>
      </c>
      <c r="E2" s="150">
        <v>-3895935.53</v>
      </c>
      <c r="F2" s="456">
        <v>-4769223</v>
      </c>
      <c r="G2" s="168">
        <v>-4413961.93</v>
      </c>
      <c r="H2" s="168">
        <v>-4777179</v>
      </c>
      <c r="N2" s="168" t="s">
        <v>547</v>
      </c>
      <c r="O2" s="455" t="s">
        <v>21</v>
      </c>
      <c r="P2" s="455" t="s">
        <v>548</v>
      </c>
      <c r="Q2" s="455">
        <v>-5332997</v>
      </c>
      <c r="R2" s="455">
        <v>-5332997</v>
      </c>
      <c r="S2" s="168">
        <v>-4533786.2</v>
      </c>
      <c r="T2" s="523">
        <v>-4685019</v>
      </c>
    </row>
    <row r="3" spans="1:20" ht="17.100000000000001" customHeight="1">
      <c r="A3" s="168" t="s">
        <v>549</v>
      </c>
      <c r="B3" s="455" t="s">
        <v>21</v>
      </c>
      <c r="C3" s="455" t="s">
        <v>550</v>
      </c>
      <c r="D3" s="168" t="s">
        <v>1558</v>
      </c>
      <c r="E3" s="150">
        <v>-316494.03000000003</v>
      </c>
      <c r="F3" s="456">
        <v>-316495</v>
      </c>
      <c r="G3" s="168">
        <v>-367080.3</v>
      </c>
      <c r="H3" s="168">
        <v>-367080</v>
      </c>
      <c r="N3" s="168" t="s">
        <v>549</v>
      </c>
      <c r="O3" s="455" t="s">
        <v>21</v>
      </c>
      <c r="P3" s="455" t="s">
        <v>550</v>
      </c>
      <c r="Q3" s="455">
        <v>-396611</v>
      </c>
      <c r="R3" s="455">
        <v>-396611</v>
      </c>
      <c r="S3" s="168">
        <v>-388601.39</v>
      </c>
      <c r="T3" s="523">
        <v>-396611</v>
      </c>
    </row>
    <row r="4" spans="1:20" ht="17.100000000000001" customHeight="1">
      <c r="A4" s="168" t="s">
        <v>551</v>
      </c>
      <c r="B4" s="455" t="s">
        <v>21</v>
      </c>
      <c r="C4" s="455" t="s">
        <v>552</v>
      </c>
      <c r="D4" s="168" t="s">
        <v>1558</v>
      </c>
      <c r="E4" s="150">
        <v>-1432991.23</v>
      </c>
      <c r="F4" s="456">
        <v>-1432992</v>
      </c>
      <c r="G4" s="168">
        <v>-1368166.81</v>
      </c>
      <c r="H4" s="168">
        <v>-1368166</v>
      </c>
      <c r="N4" s="168" t="s">
        <v>551</v>
      </c>
      <c r="O4" s="455" t="s">
        <v>21</v>
      </c>
      <c r="P4" s="455" t="s">
        <v>552</v>
      </c>
      <c r="Q4" s="455">
        <v>-1518839</v>
      </c>
      <c r="R4" s="455">
        <v>-1518839</v>
      </c>
      <c r="S4" s="168">
        <v>-1783100.34</v>
      </c>
      <c r="T4" s="523">
        <v>-1783100</v>
      </c>
    </row>
    <row r="5" spans="1:20" ht="17.100000000000001" customHeight="1">
      <c r="A5" s="168" t="s">
        <v>553</v>
      </c>
      <c r="B5" s="455" t="s">
        <v>21</v>
      </c>
      <c r="C5" s="455" t="s">
        <v>554</v>
      </c>
      <c r="D5" s="168" t="s">
        <v>1558</v>
      </c>
      <c r="E5" s="150">
        <v>-1192909.3799999999</v>
      </c>
      <c r="F5" s="456">
        <v>-1192910</v>
      </c>
      <c r="G5" s="168">
        <v>-2564443.09</v>
      </c>
      <c r="H5" s="168">
        <v>-2564443</v>
      </c>
      <c r="N5" s="168" t="s">
        <v>553</v>
      </c>
      <c r="O5" s="455" t="s">
        <v>21</v>
      </c>
      <c r="P5" s="455" t="s">
        <v>554</v>
      </c>
      <c r="Q5" s="455">
        <v>-3032704</v>
      </c>
      <c r="R5" s="455">
        <v>-3032704</v>
      </c>
      <c r="S5" s="168">
        <v>-2752108.07</v>
      </c>
      <c r="T5" s="523">
        <v>-3032704</v>
      </c>
    </row>
    <row r="6" spans="1:20" ht="17.100000000000001" customHeight="1">
      <c r="A6" s="168" t="s">
        <v>555</v>
      </c>
      <c r="B6" s="455"/>
      <c r="C6" s="455" t="s">
        <v>556</v>
      </c>
      <c r="D6" s="168" t="s">
        <v>1558</v>
      </c>
      <c r="E6" s="150">
        <v>0</v>
      </c>
      <c r="F6" s="456">
        <v>0</v>
      </c>
      <c r="G6" s="168">
        <v>0</v>
      </c>
      <c r="H6" s="168">
        <v>0</v>
      </c>
      <c r="N6" s="168" t="s">
        <v>3446</v>
      </c>
      <c r="O6" s="455" t="s">
        <v>21</v>
      </c>
      <c r="P6" s="455" t="s">
        <v>3447</v>
      </c>
      <c r="Q6" s="455">
        <v>-473324</v>
      </c>
      <c r="R6" s="455">
        <v>-473324</v>
      </c>
      <c r="T6" s="523">
        <v>-473324</v>
      </c>
    </row>
    <row r="7" spans="1:20" ht="17.100000000000001" customHeight="1">
      <c r="A7" s="168" t="s">
        <v>557</v>
      </c>
      <c r="B7" s="455"/>
      <c r="C7" s="455" t="s">
        <v>556</v>
      </c>
      <c r="D7" s="168" t="s">
        <v>1558</v>
      </c>
      <c r="E7" s="150">
        <v>0</v>
      </c>
      <c r="F7" s="456">
        <v>0</v>
      </c>
      <c r="G7" s="168">
        <v>0</v>
      </c>
      <c r="H7" s="168">
        <v>0</v>
      </c>
      <c r="N7" s="168" t="s">
        <v>3448</v>
      </c>
      <c r="O7" s="455" t="s">
        <v>21</v>
      </c>
      <c r="P7" s="455" t="s">
        <v>3449</v>
      </c>
      <c r="Q7" s="455">
        <v>-306944</v>
      </c>
      <c r="R7" s="455">
        <v>-306944</v>
      </c>
      <c r="T7" s="523">
        <v>-306944</v>
      </c>
    </row>
    <row r="8" spans="1:20">
      <c r="A8" s="168" t="s">
        <v>558</v>
      </c>
      <c r="B8" s="455"/>
      <c r="C8" s="455" t="s">
        <v>556</v>
      </c>
      <c r="D8" s="168" t="s">
        <v>1558</v>
      </c>
      <c r="E8" s="150">
        <v>0</v>
      </c>
      <c r="F8" s="456">
        <v>0</v>
      </c>
      <c r="G8" s="168">
        <v>0</v>
      </c>
      <c r="H8" s="168">
        <v>0</v>
      </c>
      <c r="N8" s="168" t="s">
        <v>555</v>
      </c>
      <c r="O8" s="455"/>
      <c r="P8" s="455" t="s">
        <v>556</v>
      </c>
      <c r="Q8" s="455"/>
      <c r="R8" s="455"/>
      <c r="S8" s="168">
        <v>0</v>
      </c>
      <c r="T8" s="523">
        <v>0</v>
      </c>
    </row>
    <row r="9" spans="1:20">
      <c r="A9" s="168" t="s">
        <v>559</v>
      </c>
      <c r="B9" s="455"/>
      <c r="C9" s="455" t="s">
        <v>560</v>
      </c>
      <c r="D9" s="168" t="s">
        <v>1558</v>
      </c>
      <c r="E9" s="150">
        <v>0</v>
      </c>
      <c r="F9" s="456">
        <v>0</v>
      </c>
      <c r="G9" s="168">
        <v>-210885.9</v>
      </c>
      <c r="H9" s="168">
        <v>0</v>
      </c>
      <c r="N9" s="168" t="s">
        <v>557</v>
      </c>
      <c r="O9" s="455"/>
      <c r="P9" s="455" t="s">
        <v>556</v>
      </c>
      <c r="Q9" s="455"/>
      <c r="R9" s="455"/>
      <c r="S9" s="168">
        <v>0</v>
      </c>
      <c r="T9" s="523">
        <v>0</v>
      </c>
    </row>
    <row r="10" spans="1:20">
      <c r="A10" s="168" t="s">
        <v>561</v>
      </c>
      <c r="B10" s="455" t="s">
        <v>431</v>
      </c>
      <c r="C10" s="455" t="s">
        <v>2317</v>
      </c>
      <c r="D10" s="168" t="s">
        <v>1558</v>
      </c>
      <c r="E10" s="150">
        <v>-56950.080000000002</v>
      </c>
      <c r="F10" s="456">
        <v>0</v>
      </c>
      <c r="G10" s="168">
        <v>0</v>
      </c>
      <c r="H10" s="168">
        <v>0</v>
      </c>
      <c r="N10" s="168" t="s">
        <v>558</v>
      </c>
      <c r="O10" s="455"/>
      <c r="P10" s="455" t="s">
        <v>3450</v>
      </c>
      <c r="Q10" s="455">
        <v>-1129232</v>
      </c>
      <c r="R10" s="455">
        <v>-1129232</v>
      </c>
      <c r="S10" s="168">
        <v>0</v>
      </c>
      <c r="T10" s="523">
        <v>-1129232</v>
      </c>
    </row>
    <row r="11" spans="1:20">
      <c r="A11" s="168" t="s">
        <v>562</v>
      </c>
      <c r="B11" s="455"/>
      <c r="C11" s="455" t="s">
        <v>563</v>
      </c>
      <c r="D11" s="168" t="s">
        <v>1558</v>
      </c>
      <c r="E11" s="150">
        <v>0</v>
      </c>
      <c r="F11" s="456">
        <v>0</v>
      </c>
      <c r="G11" s="168">
        <v>0</v>
      </c>
      <c r="H11" s="168">
        <v>0</v>
      </c>
      <c r="N11" s="168" t="s">
        <v>3451</v>
      </c>
      <c r="O11" s="455"/>
      <c r="P11" s="455" t="s">
        <v>560</v>
      </c>
      <c r="Q11" s="455"/>
      <c r="R11" s="455"/>
      <c r="S11" s="168">
        <v>-13191.93</v>
      </c>
      <c r="T11" s="523">
        <v>-13191</v>
      </c>
    </row>
    <row r="12" spans="1:20">
      <c r="A12" s="168" t="s">
        <v>564</v>
      </c>
      <c r="B12" s="455" t="s">
        <v>22</v>
      </c>
      <c r="C12" s="455" t="s">
        <v>565</v>
      </c>
      <c r="D12" s="168" t="s">
        <v>1558</v>
      </c>
      <c r="E12" s="150">
        <v>-985502.46</v>
      </c>
      <c r="F12" s="456">
        <v>0</v>
      </c>
      <c r="G12" s="168">
        <f>-1149775.8+1149775.8</f>
        <v>0</v>
      </c>
      <c r="H12" s="168">
        <v>-3766689</v>
      </c>
      <c r="N12" s="168" t="s">
        <v>3452</v>
      </c>
      <c r="O12" s="455"/>
      <c r="P12" s="455" t="s">
        <v>3453</v>
      </c>
      <c r="Q12" s="455"/>
      <c r="R12" s="455"/>
      <c r="S12" s="168">
        <v>-18127.2</v>
      </c>
      <c r="T12" s="523">
        <v>-18127</v>
      </c>
    </row>
    <row r="13" spans="1:20">
      <c r="B13" s="455"/>
      <c r="E13" s="150"/>
      <c r="G13" s="168">
        <f>-92821316-241950+64776</f>
        <v>-92998490</v>
      </c>
      <c r="N13" s="168" t="s">
        <v>559</v>
      </c>
      <c r="O13" s="455"/>
      <c r="P13" s="455" t="s">
        <v>560</v>
      </c>
      <c r="Q13" s="455"/>
      <c r="R13" s="455"/>
      <c r="S13" s="168">
        <v>0</v>
      </c>
      <c r="T13" s="523">
        <v>0</v>
      </c>
    </row>
    <row r="14" spans="1:20">
      <c r="A14" s="168" t="s">
        <v>567</v>
      </c>
      <c r="B14" s="455" t="s">
        <v>1730</v>
      </c>
      <c r="C14" s="455" t="s">
        <v>568</v>
      </c>
      <c r="D14" s="168" t="s">
        <v>1558</v>
      </c>
      <c r="E14" s="150">
        <v>-477000</v>
      </c>
      <c r="F14" s="456">
        <v>-477000</v>
      </c>
      <c r="G14" s="168">
        <v>-757352.56</v>
      </c>
      <c r="H14" s="168">
        <v>-543000</v>
      </c>
      <c r="N14" s="168" t="s">
        <v>561</v>
      </c>
      <c r="O14" s="455" t="s">
        <v>431</v>
      </c>
      <c r="P14" s="455" t="s">
        <v>2317</v>
      </c>
      <c r="Q14" s="455"/>
      <c r="R14" s="455"/>
      <c r="S14" s="168">
        <v>0</v>
      </c>
      <c r="T14" s="523">
        <v>0</v>
      </c>
    </row>
    <row r="15" spans="1:20">
      <c r="A15" s="168" t="s">
        <v>2680</v>
      </c>
      <c r="B15" s="455"/>
      <c r="C15" s="455" t="s">
        <v>570</v>
      </c>
      <c r="D15" s="168" t="s">
        <v>1558</v>
      </c>
      <c r="E15" s="150">
        <v>0</v>
      </c>
      <c r="F15" s="456">
        <v>0</v>
      </c>
      <c r="G15" s="168">
        <v>0</v>
      </c>
      <c r="H15" s="168">
        <v>-1500000</v>
      </c>
      <c r="N15" s="168" t="s">
        <v>3454</v>
      </c>
      <c r="O15" s="455"/>
      <c r="P15" s="455" t="s">
        <v>3455</v>
      </c>
      <c r="Q15" s="455"/>
      <c r="R15" s="455"/>
      <c r="S15" s="168">
        <v>-2399.2199999999998</v>
      </c>
      <c r="T15" s="523">
        <v>-2399</v>
      </c>
    </row>
    <row r="16" spans="1:20">
      <c r="B16" s="455"/>
      <c r="E16" s="150"/>
      <c r="N16" s="168" t="s">
        <v>562</v>
      </c>
      <c r="O16" s="455"/>
      <c r="P16" s="455" t="s">
        <v>563</v>
      </c>
      <c r="Q16" s="455"/>
      <c r="R16" s="455"/>
      <c r="S16" s="168">
        <v>0</v>
      </c>
      <c r="T16" s="523">
        <v>0</v>
      </c>
    </row>
    <row r="17" spans="1:22">
      <c r="B17" s="455"/>
      <c r="E17" s="150"/>
      <c r="N17" s="168" t="s">
        <v>564</v>
      </c>
      <c r="O17" s="455" t="s">
        <v>22</v>
      </c>
      <c r="P17" s="455" t="s">
        <v>565</v>
      </c>
      <c r="Q17" s="455">
        <v>-1500000</v>
      </c>
      <c r="R17" s="455">
        <v>-1500000</v>
      </c>
      <c r="S17" s="168">
        <f>-1149775.8+1149775.8</f>
        <v>0</v>
      </c>
      <c r="T17" s="523">
        <v>-1500000</v>
      </c>
    </row>
    <row r="18" spans="1:22">
      <c r="B18" s="455"/>
      <c r="E18" s="150"/>
      <c r="O18" s="455"/>
      <c r="P18" s="455"/>
      <c r="Q18" s="455"/>
      <c r="R18" s="455"/>
      <c r="S18" s="168">
        <v>0</v>
      </c>
      <c r="T18" s="523"/>
    </row>
    <row r="19" spans="1:22">
      <c r="B19" s="455"/>
      <c r="E19" s="150"/>
      <c r="N19" s="168" t="s">
        <v>3456</v>
      </c>
      <c r="O19" s="455" t="s">
        <v>3457</v>
      </c>
      <c r="P19" s="455" t="s">
        <v>568</v>
      </c>
      <c r="Q19" s="455"/>
      <c r="R19" s="455"/>
      <c r="S19" s="168">
        <v>-350000</v>
      </c>
      <c r="T19" s="523">
        <v>-350000</v>
      </c>
    </row>
    <row r="20" spans="1:22">
      <c r="B20" s="455"/>
      <c r="E20" s="150"/>
      <c r="N20" s="168" t="s">
        <v>567</v>
      </c>
      <c r="O20" s="455" t="s">
        <v>1730</v>
      </c>
      <c r="P20" s="455" t="s">
        <v>568</v>
      </c>
      <c r="Q20" s="455"/>
      <c r="R20" s="455"/>
      <c r="S20" s="598">
        <v>0</v>
      </c>
      <c r="T20" s="456" t="s">
        <v>2666</v>
      </c>
    </row>
    <row r="21" spans="1:22">
      <c r="B21" s="455"/>
      <c r="E21" s="150"/>
      <c r="N21" s="168" t="s">
        <v>2680</v>
      </c>
      <c r="O21" s="455"/>
      <c r="P21" s="455" t="s">
        <v>570</v>
      </c>
      <c r="Q21" s="455"/>
      <c r="R21" s="455"/>
      <c r="S21" s="168">
        <v>0</v>
      </c>
      <c r="T21" s="523">
        <v>0</v>
      </c>
    </row>
    <row r="22" spans="1:22" ht="15.75" thickBot="1">
      <c r="B22" s="455"/>
      <c r="E22" s="150"/>
      <c r="U22" s="168">
        <f>SUM(S2:S22)</f>
        <v>-9841314.3499999996</v>
      </c>
      <c r="V22" s="168">
        <f>SUM(T2:T22)</f>
        <v>-13690651</v>
      </c>
    </row>
    <row r="23" spans="1:22" ht="16.5" thickTop="1" thickBot="1">
      <c r="A23" s="554" t="s">
        <v>2668</v>
      </c>
      <c r="B23" s="555"/>
      <c r="C23" s="555"/>
      <c r="D23" s="556"/>
      <c r="E23" s="557">
        <f>SUM(E2:E15)</f>
        <v>-8357782.709999999</v>
      </c>
      <c r="F23" s="558"/>
      <c r="G23" s="557">
        <f>SUM(G2:G15)</f>
        <v>-102680380.59</v>
      </c>
      <c r="H23" s="557">
        <f>SUM(H2:H15)</f>
        <v>-14886557</v>
      </c>
      <c r="I23" s="168">
        <v>14886557</v>
      </c>
      <c r="N23" s="554" t="s">
        <v>2668</v>
      </c>
      <c r="O23" s="555"/>
      <c r="P23" s="555"/>
      <c r="Q23" s="555">
        <f>SUM(Q2:Q22)</f>
        <v>-13690651</v>
      </c>
      <c r="R23" s="555">
        <f>SUM(R2:R22)</f>
        <v>-13690651</v>
      </c>
      <c r="S23" s="557">
        <f>SUM(S2:S21)</f>
        <v>-9841314.3499999996</v>
      </c>
      <c r="T23" s="559">
        <f>SUM(T2:T21)</f>
        <v>-13690651</v>
      </c>
    </row>
    <row r="24" spans="1:22" ht="15.75" thickTop="1">
      <c r="B24" s="455"/>
      <c r="E24" s="151"/>
      <c r="G24" s="151"/>
      <c r="H24" s="151"/>
      <c r="O24" s="455"/>
      <c r="P24" s="455"/>
      <c r="Q24" s="455"/>
      <c r="R24" s="455"/>
      <c r="S24" s="151"/>
      <c r="T24" s="149"/>
    </row>
    <row r="25" spans="1:22">
      <c r="A25" s="561" t="s">
        <v>3458</v>
      </c>
      <c r="B25" s="455"/>
      <c r="E25" s="150"/>
      <c r="N25" s="168" t="s">
        <v>3458</v>
      </c>
      <c r="O25" s="455"/>
      <c r="P25" s="455"/>
      <c r="Q25" s="455"/>
      <c r="R25" s="455"/>
      <c r="S25" s="168">
        <v>1981.6</v>
      </c>
      <c r="T25" s="523">
        <v>1981</v>
      </c>
    </row>
    <row r="26" spans="1:22">
      <c r="A26" s="168" t="s">
        <v>3714</v>
      </c>
      <c r="B26" s="455"/>
      <c r="E26" s="150"/>
      <c r="N26" s="561" t="s">
        <v>3714</v>
      </c>
      <c r="O26" s="455"/>
      <c r="P26" s="455"/>
      <c r="Q26" s="455">
        <v>23545</v>
      </c>
      <c r="R26" s="455"/>
      <c r="T26" s="523"/>
    </row>
    <row r="27" spans="1:22">
      <c r="A27" s="168" t="s">
        <v>571</v>
      </c>
      <c r="B27" s="455" t="s">
        <v>1549</v>
      </c>
      <c r="C27" s="455" t="s">
        <v>572</v>
      </c>
      <c r="D27" s="168" t="s">
        <v>1558</v>
      </c>
      <c r="E27" s="150">
        <v>715.28</v>
      </c>
      <c r="F27" s="456">
        <v>4500</v>
      </c>
      <c r="G27" s="168">
        <v>0</v>
      </c>
      <c r="H27" s="168">
        <v>0</v>
      </c>
      <c r="N27" s="168" t="s">
        <v>571</v>
      </c>
      <c r="O27" s="455" t="s">
        <v>1549</v>
      </c>
      <c r="P27" s="455" t="s">
        <v>572</v>
      </c>
      <c r="Q27" s="455"/>
      <c r="R27" s="455"/>
      <c r="S27" s="168">
        <v>0</v>
      </c>
      <c r="T27" s="523">
        <v>0</v>
      </c>
    </row>
    <row r="28" spans="1:22">
      <c r="A28" s="168" t="s">
        <v>573</v>
      </c>
      <c r="B28" s="455" t="s">
        <v>1549</v>
      </c>
      <c r="C28" s="455" t="s">
        <v>2321</v>
      </c>
      <c r="D28" s="168" t="s">
        <v>1558</v>
      </c>
      <c r="E28" s="150">
        <v>13852</v>
      </c>
      <c r="F28" s="456">
        <v>13908</v>
      </c>
      <c r="G28" s="168">
        <v>33350</v>
      </c>
      <c r="H28" s="168">
        <v>33350</v>
      </c>
      <c r="N28" s="168" t="s">
        <v>573</v>
      </c>
      <c r="O28" s="455" t="s">
        <v>1549</v>
      </c>
      <c r="P28" s="455" t="s">
        <v>2321</v>
      </c>
      <c r="Q28" s="455">
        <v>2880</v>
      </c>
      <c r="R28" s="455">
        <v>2160</v>
      </c>
      <c r="S28" s="168">
        <v>3480</v>
      </c>
      <c r="T28" s="523">
        <v>3480</v>
      </c>
    </row>
    <row r="29" spans="1:22">
      <c r="B29" s="455"/>
      <c r="E29" s="150"/>
      <c r="N29" s="168" t="s">
        <v>3459</v>
      </c>
      <c r="O29" s="455"/>
      <c r="P29" s="455" t="s">
        <v>575</v>
      </c>
      <c r="Q29" s="455"/>
      <c r="R29" s="455"/>
      <c r="S29" s="168">
        <v>79415.22</v>
      </c>
      <c r="T29" s="523">
        <v>79415</v>
      </c>
    </row>
    <row r="30" spans="1:22">
      <c r="A30" s="168" t="s">
        <v>574</v>
      </c>
      <c r="B30" s="455" t="s">
        <v>1550</v>
      </c>
      <c r="C30" s="455" t="s">
        <v>575</v>
      </c>
      <c r="D30" s="168" t="s">
        <v>1558</v>
      </c>
      <c r="E30" s="150">
        <v>13827.15</v>
      </c>
      <c r="F30" s="456">
        <v>13836</v>
      </c>
      <c r="G30" s="168">
        <v>11173.77</v>
      </c>
      <c r="H30" s="168">
        <v>11174</v>
      </c>
      <c r="N30" s="168" t="s">
        <v>574</v>
      </c>
      <c r="O30" s="455" t="s">
        <v>1550</v>
      </c>
      <c r="P30" s="455" t="s">
        <v>575</v>
      </c>
      <c r="Q30" s="455"/>
      <c r="R30" s="455"/>
      <c r="S30" s="168">
        <v>3180.92</v>
      </c>
      <c r="T30" s="523">
        <v>3180</v>
      </c>
    </row>
    <row r="31" spans="1:22">
      <c r="A31" s="168" t="s">
        <v>576</v>
      </c>
      <c r="B31" s="455" t="s">
        <v>1549</v>
      </c>
      <c r="C31" s="455" t="s">
        <v>577</v>
      </c>
      <c r="D31" s="168" t="s">
        <v>1558</v>
      </c>
      <c r="E31" s="150">
        <v>0</v>
      </c>
      <c r="F31" s="456">
        <v>0</v>
      </c>
      <c r="G31" s="168">
        <v>0</v>
      </c>
      <c r="H31" s="168">
        <v>0</v>
      </c>
      <c r="N31" s="168" t="s">
        <v>576</v>
      </c>
      <c r="O31" s="455" t="s">
        <v>1549</v>
      </c>
      <c r="P31" s="455" t="s">
        <v>577</v>
      </c>
      <c r="Q31" s="455"/>
      <c r="R31" s="455"/>
      <c r="S31" s="168">
        <v>0</v>
      </c>
      <c r="T31" s="523">
        <v>0</v>
      </c>
    </row>
    <row r="32" spans="1:22">
      <c r="A32" s="168" t="s">
        <v>579</v>
      </c>
      <c r="B32" s="455" t="s">
        <v>1549</v>
      </c>
      <c r="C32" s="455" t="s">
        <v>577</v>
      </c>
      <c r="D32" s="168" t="s">
        <v>1558</v>
      </c>
      <c r="E32" s="150">
        <v>0</v>
      </c>
      <c r="F32" s="456">
        <v>0</v>
      </c>
      <c r="G32" s="168">
        <v>0</v>
      </c>
      <c r="H32" s="168">
        <v>0</v>
      </c>
      <c r="N32" s="168" t="s">
        <v>579</v>
      </c>
      <c r="O32" s="455" t="s">
        <v>1549</v>
      </c>
      <c r="P32" s="455" t="s">
        <v>577</v>
      </c>
      <c r="Q32" s="455"/>
      <c r="R32" s="455"/>
      <c r="S32" s="168">
        <v>0</v>
      </c>
      <c r="T32" s="523">
        <v>0</v>
      </c>
    </row>
    <row r="33" spans="1:20">
      <c r="A33" s="168" t="s">
        <v>580</v>
      </c>
      <c r="B33" s="455" t="s">
        <v>1549</v>
      </c>
      <c r="C33" s="455" t="s">
        <v>1807</v>
      </c>
      <c r="D33" s="168" t="s">
        <v>1558</v>
      </c>
      <c r="E33" s="150">
        <v>0</v>
      </c>
      <c r="F33" s="456">
        <v>0</v>
      </c>
      <c r="G33" s="168">
        <v>0</v>
      </c>
      <c r="H33" s="168">
        <v>0</v>
      </c>
      <c r="N33" s="168" t="s">
        <v>580</v>
      </c>
      <c r="O33" s="455" t="s">
        <v>1549</v>
      </c>
      <c r="P33" s="455" t="s">
        <v>1807</v>
      </c>
      <c r="Q33" s="455"/>
      <c r="R33" s="455"/>
      <c r="S33" s="168">
        <v>0</v>
      </c>
      <c r="T33" s="523">
        <v>0</v>
      </c>
    </row>
    <row r="34" spans="1:20">
      <c r="A34" s="168" t="s">
        <v>581</v>
      </c>
      <c r="B34" s="455" t="s">
        <v>1549</v>
      </c>
      <c r="C34" s="455" t="s">
        <v>2321</v>
      </c>
      <c r="D34" s="168" t="s">
        <v>1558</v>
      </c>
      <c r="E34" s="150">
        <v>7027.2</v>
      </c>
      <c r="F34" s="456">
        <v>7100</v>
      </c>
      <c r="G34" s="168">
        <v>0</v>
      </c>
      <c r="H34" s="168">
        <v>0</v>
      </c>
      <c r="N34" s="168" t="s">
        <v>581</v>
      </c>
      <c r="O34" s="455" t="s">
        <v>1549</v>
      </c>
      <c r="P34" s="455" t="s">
        <v>2321</v>
      </c>
      <c r="Q34" s="455"/>
      <c r="R34" s="455"/>
      <c r="S34" s="168">
        <v>0</v>
      </c>
      <c r="T34" s="523">
        <v>0</v>
      </c>
    </row>
    <row r="35" spans="1:20">
      <c r="A35" s="168" t="s">
        <v>582</v>
      </c>
      <c r="B35" s="455" t="s">
        <v>1550</v>
      </c>
      <c r="C35" s="455" t="s">
        <v>583</v>
      </c>
      <c r="D35" s="168" t="s">
        <v>1558</v>
      </c>
      <c r="E35" s="150">
        <v>451952.04</v>
      </c>
      <c r="F35" s="456">
        <v>452052</v>
      </c>
      <c r="G35" s="168">
        <v>534681</v>
      </c>
      <c r="H35" s="168">
        <v>534681</v>
      </c>
      <c r="N35" s="168" t="s">
        <v>582</v>
      </c>
      <c r="O35" s="455" t="s">
        <v>1550</v>
      </c>
      <c r="P35" s="455" t="s">
        <v>583</v>
      </c>
      <c r="Q35" s="455">
        <v>359718</v>
      </c>
      <c r="R35" s="455">
        <v>359718</v>
      </c>
      <c r="S35" s="168">
        <v>572108.04</v>
      </c>
      <c r="T35" s="523">
        <v>572108</v>
      </c>
    </row>
    <row r="36" spans="1:20">
      <c r="A36" s="168" t="s">
        <v>2681</v>
      </c>
      <c r="B36" s="455"/>
      <c r="E36" s="150"/>
      <c r="G36" s="168">
        <v>166689.47</v>
      </c>
      <c r="H36" s="168">
        <v>166689</v>
      </c>
      <c r="N36" s="168" t="s">
        <v>2681</v>
      </c>
      <c r="O36" s="455"/>
      <c r="P36" s="455"/>
      <c r="Q36" s="455">
        <v>294258</v>
      </c>
      <c r="R36" s="455">
        <v>294258</v>
      </c>
      <c r="S36" s="168">
        <v>433355.02</v>
      </c>
      <c r="T36" s="523">
        <v>433355</v>
      </c>
    </row>
    <row r="37" spans="1:20">
      <c r="A37" s="168" t="s">
        <v>585</v>
      </c>
      <c r="B37" s="455" t="s">
        <v>1550</v>
      </c>
      <c r="C37" s="455" t="s">
        <v>583</v>
      </c>
      <c r="D37" s="168" t="s">
        <v>1558</v>
      </c>
      <c r="E37" s="150">
        <v>1132163.3999999999</v>
      </c>
      <c r="F37" s="456">
        <v>1132164</v>
      </c>
      <c r="G37" s="168">
        <v>1201138.73</v>
      </c>
      <c r="H37" s="168">
        <v>1201139</v>
      </c>
      <c r="N37" s="168" t="s">
        <v>585</v>
      </c>
      <c r="O37" s="455" t="s">
        <v>1550</v>
      </c>
      <c r="P37" s="455" t="s">
        <v>583</v>
      </c>
      <c r="Q37" s="455">
        <v>971228</v>
      </c>
      <c r="R37" s="455">
        <v>971228</v>
      </c>
      <c r="S37" s="168">
        <v>1123880.32</v>
      </c>
      <c r="T37" s="523">
        <v>1123880</v>
      </c>
    </row>
    <row r="38" spans="1:20">
      <c r="A38" s="168" t="s">
        <v>586</v>
      </c>
      <c r="B38" s="455" t="s">
        <v>1550</v>
      </c>
      <c r="C38" s="455" t="s">
        <v>545</v>
      </c>
      <c r="D38" s="168" t="s">
        <v>1558</v>
      </c>
      <c r="E38" s="150">
        <v>376845.36</v>
      </c>
      <c r="F38" s="456">
        <v>376865</v>
      </c>
      <c r="G38" s="168">
        <v>398800.9</v>
      </c>
      <c r="H38" s="168">
        <v>398801</v>
      </c>
      <c r="N38" s="168" t="s">
        <v>586</v>
      </c>
      <c r="O38" s="455" t="s">
        <v>1550</v>
      </c>
      <c r="P38" s="455" t="s">
        <v>545</v>
      </c>
      <c r="Q38" s="455">
        <v>577047</v>
      </c>
      <c r="R38" s="455">
        <v>577047</v>
      </c>
      <c r="S38" s="168">
        <v>374625</v>
      </c>
      <c r="T38" s="523">
        <v>374626</v>
      </c>
    </row>
    <row r="39" spans="1:20">
      <c r="A39" s="168" t="s">
        <v>587</v>
      </c>
      <c r="B39" s="455" t="s">
        <v>1550</v>
      </c>
      <c r="C39" s="455" t="s">
        <v>545</v>
      </c>
      <c r="D39" s="168" t="s">
        <v>1558</v>
      </c>
      <c r="E39" s="150">
        <v>0</v>
      </c>
      <c r="F39" s="456">
        <v>0</v>
      </c>
      <c r="G39" s="168">
        <v>0</v>
      </c>
      <c r="H39" s="168">
        <v>0</v>
      </c>
      <c r="N39" s="168" t="s">
        <v>587</v>
      </c>
      <c r="O39" s="455" t="s">
        <v>1550</v>
      </c>
      <c r="P39" s="455" t="s">
        <v>545</v>
      </c>
      <c r="Q39" s="455"/>
      <c r="R39" s="455"/>
      <c r="S39" s="168">
        <v>0</v>
      </c>
      <c r="T39" s="523">
        <v>0</v>
      </c>
    </row>
    <row r="40" spans="1:20">
      <c r="A40" s="168" t="s">
        <v>588</v>
      </c>
      <c r="B40" s="455" t="s">
        <v>1550</v>
      </c>
      <c r="C40" s="455" t="s">
        <v>545</v>
      </c>
      <c r="D40" s="168" t="s">
        <v>1558</v>
      </c>
      <c r="E40" s="150">
        <v>95292</v>
      </c>
      <c r="F40" s="456">
        <v>95292</v>
      </c>
      <c r="G40" s="168">
        <v>98779.93</v>
      </c>
      <c r="H40" s="168">
        <v>98780</v>
      </c>
      <c r="N40" s="168" t="s">
        <v>588</v>
      </c>
      <c r="O40" s="455" t="s">
        <v>1550</v>
      </c>
      <c r="P40" s="455" t="s">
        <v>545</v>
      </c>
      <c r="Q40" s="455">
        <v>121716</v>
      </c>
      <c r="R40" s="455">
        <v>121716</v>
      </c>
      <c r="S40" s="168">
        <v>96012</v>
      </c>
      <c r="T40" s="523">
        <v>96013</v>
      </c>
    </row>
    <row r="41" spans="1:20">
      <c r="A41" s="168" t="s">
        <v>589</v>
      </c>
      <c r="B41" s="455" t="s">
        <v>1550</v>
      </c>
      <c r="C41" s="455" t="s">
        <v>590</v>
      </c>
      <c r="D41" s="168" t="s">
        <v>1558</v>
      </c>
      <c r="E41" s="150">
        <v>219048.88</v>
      </c>
      <c r="F41" s="456">
        <v>219050</v>
      </c>
      <c r="G41" s="168">
        <v>167596.84</v>
      </c>
      <c r="H41" s="168">
        <v>167597</v>
      </c>
      <c r="N41" s="168" t="s">
        <v>589</v>
      </c>
      <c r="O41" s="455" t="s">
        <v>1550</v>
      </c>
      <c r="P41" s="455" t="s">
        <v>590</v>
      </c>
      <c r="Q41" s="455">
        <v>388632</v>
      </c>
      <c r="R41" s="455">
        <v>388632</v>
      </c>
      <c r="S41" s="168">
        <v>335464.15000000002</v>
      </c>
      <c r="T41" s="523">
        <v>335465</v>
      </c>
    </row>
    <row r="42" spans="1:20">
      <c r="A42" s="168" t="s">
        <v>3156</v>
      </c>
      <c r="B42" s="455"/>
      <c r="E42" s="150"/>
      <c r="G42" s="168">
        <f>241950-64776</f>
        <v>177174</v>
      </c>
      <c r="N42" s="168" t="s">
        <v>3156</v>
      </c>
      <c r="O42" s="455"/>
      <c r="P42" s="455"/>
      <c r="Q42" s="455"/>
      <c r="R42" s="455"/>
      <c r="S42" s="168">
        <v>0</v>
      </c>
      <c r="T42" s="523"/>
    </row>
    <row r="43" spans="1:20">
      <c r="A43" s="168" t="s">
        <v>591</v>
      </c>
      <c r="B43" s="455" t="s">
        <v>1551</v>
      </c>
      <c r="C43" s="455" t="s">
        <v>592</v>
      </c>
      <c r="D43" s="168" t="s">
        <v>1558</v>
      </c>
      <c r="E43" s="150">
        <v>0</v>
      </c>
      <c r="F43" s="456">
        <v>23391</v>
      </c>
      <c r="G43" s="168">
        <f>2539509.71+817359.29+64776-241950</f>
        <v>3179695</v>
      </c>
      <c r="H43" s="168">
        <v>1075750</v>
      </c>
      <c r="N43" s="168" t="s">
        <v>591</v>
      </c>
      <c r="O43" s="455" t="s">
        <v>1551</v>
      </c>
      <c r="P43" s="455" t="s">
        <v>592</v>
      </c>
      <c r="Q43" s="455">
        <v>637397</v>
      </c>
      <c r="R43" s="455">
        <v>637397</v>
      </c>
      <c r="S43" s="168">
        <v>1306298.79</v>
      </c>
      <c r="T43" s="523">
        <v>637397</v>
      </c>
    </row>
    <row r="44" spans="1:20">
      <c r="A44" s="168" t="s">
        <v>593</v>
      </c>
      <c r="B44" s="455" t="s">
        <v>1552</v>
      </c>
      <c r="C44" s="455" t="s">
        <v>2406</v>
      </c>
      <c r="D44" s="168" t="s">
        <v>1558</v>
      </c>
      <c r="E44" s="150">
        <v>53271.63</v>
      </c>
      <c r="F44" s="456">
        <v>53300</v>
      </c>
      <c r="G44" s="168">
        <v>43821.26</v>
      </c>
      <c r="H44" s="168">
        <v>43821</v>
      </c>
      <c r="N44" s="168" t="s">
        <v>593</v>
      </c>
      <c r="O44" s="455" t="s">
        <v>1552</v>
      </c>
      <c r="P44" s="455" t="s">
        <v>2406</v>
      </c>
      <c r="Q44" s="455">
        <v>85000</v>
      </c>
      <c r="R44" s="455">
        <v>85000</v>
      </c>
      <c r="S44" s="168">
        <v>47622.55</v>
      </c>
      <c r="T44" s="523">
        <v>47623</v>
      </c>
    </row>
    <row r="45" spans="1:20">
      <c r="A45" s="168" t="s">
        <v>594</v>
      </c>
      <c r="B45" s="455" t="s">
        <v>1552</v>
      </c>
      <c r="C45" s="455" t="s">
        <v>595</v>
      </c>
      <c r="D45" s="168" t="s">
        <v>1558</v>
      </c>
      <c r="E45" s="150">
        <v>929.21</v>
      </c>
      <c r="F45" s="456">
        <v>2080</v>
      </c>
      <c r="G45" s="168">
        <v>1897.55</v>
      </c>
      <c r="H45" s="168">
        <v>1897</v>
      </c>
      <c r="N45" s="168" t="s">
        <v>594</v>
      </c>
      <c r="O45" s="455" t="s">
        <v>1552</v>
      </c>
      <c r="P45" s="455" t="s">
        <v>595</v>
      </c>
      <c r="Q45" s="455">
        <v>23499</v>
      </c>
      <c r="R45" s="455">
        <v>23499</v>
      </c>
      <c r="S45" s="168">
        <v>4844.84</v>
      </c>
      <c r="T45" s="523">
        <v>4845</v>
      </c>
    </row>
    <row r="46" spans="1:20">
      <c r="A46" s="168" t="s">
        <v>2682</v>
      </c>
      <c r="B46" s="455" t="s">
        <v>1552</v>
      </c>
      <c r="C46" s="455" t="s">
        <v>68</v>
      </c>
      <c r="D46" s="168" t="s">
        <v>1558</v>
      </c>
      <c r="E46" s="150"/>
      <c r="G46" s="168">
        <v>279200.71999999997</v>
      </c>
      <c r="H46" s="168">
        <v>279201</v>
      </c>
      <c r="N46" s="168" t="s">
        <v>2682</v>
      </c>
      <c r="O46" s="455" t="s">
        <v>1552</v>
      </c>
      <c r="P46" s="455" t="s">
        <v>68</v>
      </c>
      <c r="Q46" s="455">
        <v>1000000</v>
      </c>
      <c r="R46" s="455">
        <v>1000000</v>
      </c>
      <c r="S46" s="168">
        <v>406129.45</v>
      </c>
      <c r="T46" s="523">
        <v>406130</v>
      </c>
    </row>
    <row r="47" spans="1:20">
      <c r="A47" s="168" t="s">
        <v>596</v>
      </c>
      <c r="B47" s="455" t="s">
        <v>2469</v>
      </c>
      <c r="C47" s="455" t="s">
        <v>2315</v>
      </c>
      <c r="D47" s="168" t="s">
        <v>1558</v>
      </c>
      <c r="E47" s="150">
        <v>636354.44999999995</v>
      </c>
      <c r="F47" s="456">
        <v>724562</v>
      </c>
      <c r="G47" s="168">
        <v>530348.54</v>
      </c>
      <c r="H47" s="168">
        <v>530349</v>
      </c>
      <c r="N47" s="168" t="s">
        <v>596</v>
      </c>
      <c r="O47" s="455" t="s">
        <v>2469</v>
      </c>
      <c r="P47" s="455" t="s">
        <v>2315</v>
      </c>
      <c r="Q47" s="455">
        <v>1028681</v>
      </c>
      <c r="R47" s="455">
        <v>1028681</v>
      </c>
      <c r="S47" s="168">
        <v>115970.11</v>
      </c>
      <c r="T47" s="523">
        <v>115971</v>
      </c>
    </row>
    <row r="48" spans="1:20">
      <c r="A48" s="168" t="s">
        <v>598</v>
      </c>
      <c r="B48" s="455" t="s">
        <v>2469</v>
      </c>
      <c r="C48" s="455" t="s">
        <v>2333</v>
      </c>
      <c r="D48" s="168" t="s">
        <v>1558</v>
      </c>
      <c r="E48" s="150">
        <v>0</v>
      </c>
      <c r="F48" s="456">
        <v>859966</v>
      </c>
      <c r="G48" s="168">
        <v>0</v>
      </c>
      <c r="H48" s="168">
        <v>0</v>
      </c>
      <c r="N48" s="168" t="s">
        <v>598</v>
      </c>
      <c r="O48" s="455" t="s">
        <v>2469</v>
      </c>
      <c r="P48" s="455" t="s">
        <v>2333</v>
      </c>
      <c r="Q48" s="455"/>
      <c r="R48" s="455"/>
      <c r="S48" s="168">
        <v>0</v>
      </c>
      <c r="T48" s="523">
        <v>0</v>
      </c>
    </row>
    <row r="49" spans="1:20">
      <c r="A49" s="168" t="s">
        <v>599</v>
      </c>
      <c r="B49" s="455" t="s">
        <v>19</v>
      </c>
      <c r="C49" s="455" t="s">
        <v>600</v>
      </c>
      <c r="D49" s="168" t="s">
        <v>1558</v>
      </c>
      <c r="E49" s="150">
        <v>2573241.02</v>
      </c>
      <c r="F49" s="456">
        <v>2561655</v>
      </c>
      <c r="G49" s="168">
        <v>3154161.04</v>
      </c>
      <c r="H49" s="168">
        <v>3154162</v>
      </c>
      <c r="N49" s="168" t="s">
        <v>599</v>
      </c>
      <c r="O49" s="455" t="s">
        <v>19</v>
      </c>
      <c r="P49" s="455" t="s">
        <v>600</v>
      </c>
      <c r="Q49" s="455">
        <v>2500000</v>
      </c>
      <c r="R49" s="455">
        <v>2500000</v>
      </c>
      <c r="S49" s="168">
        <v>2711937.93</v>
      </c>
      <c r="T49" s="523">
        <v>2711937</v>
      </c>
    </row>
    <row r="50" spans="1:20">
      <c r="A50" s="168" t="s">
        <v>601</v>
      </c>
      <c r="B50" s="455" t="s">
        <v>1553</v>
      </c>
      <c r="C50" s="455" t="s">
        <v>602</v>
      </c>
      <c r="D50" s="168" t="s">
        <v>1558</v>
      </c>
      <c r="E50" s="150">
        <v>48268.95</v>
      </c>
      <c r="F50" s="456">
        <v>48500</v>
      </c>
      <c r="G50" s="168">
        <v>106925</v>
      </c>
      <c r="H50" s="168">
        <v>106925</v>
      </c>
      <c r="N50" s="168" t="s">
        <v>601</v>
      </c>
      <c r="O50" s="455" t="s">
        <v>1553</v>
      </c>
      <c r="P50" s="455" t="s">
        <v>602</v>
      </c>
      <c r="Q50" s="455">
        <v>60000</v>
      </c>
      <c r="R50" s="455">
        <v>45000</v>
      </c>
      <c r="S50" s="168">
        <v>38090.57</v>
      </c>
      <c r="T50" s="523">
        <v>38091</v>
      </c>
    </row>
    <row r="51" spans="1:20">
      <c r="A51" s="168" t="s">
        <v>604</v>
      </c>
      <c r="B51" s="455" t="s">
        <v>1553</v>
      </c>
      <c r="C51" s="455" t="s">
        <v>605</v>
      </c>
      <c r="D51" s="168" t="s">
        <v>1558</v>
      </c>
      <c r="E51" s="150">
        <v>253478.28</v>
      </c>
      <c r="F51" s="456">
        <v>295000</v>
      </c>
      <c r="G51" s="168">
        <v>881241.94</v>
      </c>
      <c r="H51" s="168">
        <v>881241</v>
      </c>
      <c r="N51" s="168" t="s">
        <v>604</v>
      </c>
      <c r="O51" s="455" t="s">
        <v>1553</v>
      </c>
      <c r="P51" s="455" t="s">
        <v>605</v>
      </c>
      <c r="Q51" s="455">
        <v>266152</v>
      </c>
      <c r="R51" s="455">
        <v>199614</v>
      </c>
      <c r="S51" s="168">
        <v>410264.81</v>
      </c>
      <c r="T51" s="523">
        <v>410264</v>
      </c>
    </row>
    <row r="52" spans="1:20">
      <c r="A52" s="168" t="s">
        <v>606</v>
      </c>
      <c r="B52" s="455" t="s">
        <v>1553</v>
      </c>
      <c r="C52" s="455" t="s">
        <v>605</v>
      </c>
      <c r="D52" s="168" t="s">
        <v>1558</v>
      </c>
      <c r="E52" s="150">
        <v>91120</v>
      </c>
      <c r="F52" s="456">
        <v>91500</v>
      </c>
      <c r="G52" s="168">
        <v>0</v>
      </c>
      <c r="H52" s="168">
        <v>0</v>
      </c>
      <c r="N52" s="168" t="s">
        <v>606</v>
      </c>
      <c r="O52" s="455" t="s">
        <v>1553</v>
      </c>
      <c r="P52" s="455" t="s">
        <v>605</v>
      </c>
      <c r="Q52" s="455"/>
      <c r="R52" s="455"/>
      <c r="S52" s="168">
        <v>0</v>
      </c>
      <c r="T52" s="523">
        <v>0</v>
      </c>
    </row>
    <row r="53" spans="1:20">
      <c r="A53" s="168" t="s">
        <v>607</v>
      </c>
      <c r="B53" s="455" t="s">
        <v>1553</v>
      </c>
      <c r="C53" s="455" t="s">
        <v>608</v>
      </c>
      <c r="D53" s="168" t="s">
        <v>1558</v>
      </c>
      <c r="E53" s="150">
        <v>0</v>
      </c>
      <c r="F53" s="456">
        <v>49000</v>
      </c>
      <c r="G53" s="168">
        <v>0</v>
      </c>
      <c r="H53" s="168">
        <v>0</v>
      </c>
      <c r="N53" s="168" t="s">
        <v>607</v>
      </c>
      <c r="O53" s="455" t="s">
        <v>1553</v>
      </c>
      <c r="P53" s="455" t="s">
        <v>608</v>
      </c>
      <c r="Q53" s="455"/>
      <c r="R53" s="455"/>
      <c r="S53" s="168">
        <v>0</v>
      </c>
      <c r="T53" s="523">
        <v>0</v>
      </c>
    </row>
    <row r="54" spans="1:20">
      <c r="A54" s="168" t="s">
        <v>609</v>
      </c>
      <c r="B54" s="455" t="s">
        <v>1553</v>
      </c>
      <c r="C54" s="455" t="s">
        <v>610</v>
      </c>
      <c r="D54" s="168" t="s">
        <v>1558</v>
      </c>
      <c r="E54" s="150">
        <v>102711.28</v>
      </c>
      <c r="F54" s="456">
        <v>103000</v>
      </c>
      <c r="G54" s="168">
        <v>136907.60999999999</v>
      </c>
      <c r="H54" s="168">
        <v>136907</v>
      </c>
      <c r="N54" s="168" t="s">
        <v>609</v>
      </c>
      <c r="O54" s="455" t="s">
        <v>1553</v>
      </c>
      <c r="P54" s="455" t="s">
        <v>610</v>
      </c>
      <c r="Q54" s="455">
        <v>40226</v>
      </c>
      <c r="R54" s="455">
        <v>30170</v>
      </c>
      <c r="S54" s="168">
        <v>94206.39</v>
      </c>
      <c r="T54" s="523">
        <v>94206</v>
      </c>
    </row>
    <row r="55" spans="1:20">
      <c r="A55" s="168" t="s">
        <v>611</v>
      </c>
      <c r="B55" s="455" t="s">
        <v>1553</v>
      </c>
      <c r="C55" s="455" t="s">
        <v>612</v>
      </c>
      <c r="D55" s="168" t="s">
        <v>1558</v>
      </c>
      <c r="E55" s="150">
        <v>98868.89</v>
      </c>
      <c r="F55" s="456">
        <v>95000</v>
      </c>
      <c r="G55" s="168">
        <v>242112.52</v>
      </c>
      <c r="H55" s="168">
        <v>242112</v>
      </c>
      <c r="N55" s="168" t="s">
        <v>611</v>
      </c>
      <c r="O55" s="455" t="s">
        <v>1553</v>
      </c>
      <c r="P55" s="455" t="s">
        <v>612</v>
      </c>
      <c r="Q55" s="455">
        <v>108135</v>
      </c>
      <c r="R55" s="455">
        <v>81101</v>
      </c>
      <c r="S55" s="168">
        <v>61115.45</v>
      </c>
      <c r="T55" s="523">
        <v>61116</v>
      </c>
    </row>
    <row r="56" spans="1:20">
      <c r="A56" s="168" t="s">
        <v>2683</v>
      </c>
      <c r="B56" s="455" t="s">
        <v>1553</v>
      </c>
      <c r="C56" s="455" t="s">
        <v>2691</v>
      </c>
      <c r="D56" s="168" t="s">
        <v>1558</v>
      </c>
      <c r="E56" s="150"/>
      <c r="G56" s="168">
        <v>275508.96000000002</v>
      </c>
      <c r="H56" s="168">
        <v>275508</v>
      </c>
      <c r="N56" s="168" t="s">
        <v>2683</v>
      </c>
      <c r="O56" s="455" t="s">
        <v>1553</v>
      </c>
      <c r="P56" s="455" t="s">
        <v>2691</v>
      </c>
      <c r="Q56" s="455"/>
      <c r="R56" s="455">
        <v>697150</v>
      </c>
      <c r="S56" s="168">
        <v>304405.32</v>
      </c>
      <c r="T56" s="523">
        <v>304406</v>
      </c>
    </row>
    <row r="57" spans="1:20">
      <c r="A57" s="168" t="s">
        <v>613</v>
      </c>
      <c r="B57" s="455" t="s">
        <v>1553</v>
      </c>
      <c r="C57" s="455" t="s">
        <v>614</v>
      </c>
      <c r="D57" s="168" t="s">
        <v>1558</v>
      </c>
      <c r="E57" s="150">
        <v>602742.75</v>
      </c>
      <c r="F57" s="456">
        <v>603000</v>
      </c>
      <c r="G57" s="168">
        <v>0</v>
      </c>
      <c r="H57" s="168">
        <v>0</v>
      </c>
      <c r="N57" s="168" t="s">
        <v>613</v>
      </c>
      <c r="O57" s="455" t="s">
        <v>1553</v>
      </c>
      <c r="P57" s="455" t="s">
        <v>614</v>
      </c>
      <c r="Q57" s="455">
        <v>929533</v>
      </c>
      <c r="R57" s="455"/>
      <c r="S57" s="168">
        <v>0</v>
      </c>
      <c r="T57" s="523">
        <v>0</v>
      </c>
    </row>
    <row r="58" spans="1:20">
      <c r="A58" s="168" t="s">
        <v>615</v>
      </c>
      <c r="B58" s="455" t="s">
        <v>1553</v>
      </c>
      <c r="C58" s="455" t="s">
        <v>616</v>
      </c>
      <c r="D58" s="168" t="s">
        <v>1558</v>
      </c>
      <c r="E58" s="150">
        <v>13700.25</v>
      </c>
      <c r="F58" s="456">
        <v>13800</v>
      </c>
      <c r="G58" s="168">
        <v>8078.32</v>
      </c>
      <c r="H58" s="168">
        <v>8078</v>
      </c>
      <c r="N58" s="168" t="s">
        <v>615</v>
      </c>
      <c r="O58" s="455" t="s">
        <v>1553</v>
      </c>
      <c r="P58" s="455" t="s">
        <v>616</v>
      </c>
      <c r="Q58" s="455">
        <v>7209</v>
      </c>
      <c r="R58" s="455">
        <v>7350</v>
      </c>
      <c r="S58" s="168">
        <v>34133.5</v>
      </c>
      <c r="T58" s="523">
        <v>34133</v>
      </c>
    </row>
    <row r="59" spans="1:20">
      <c r="A59" s="168" t="s">
        <v>617</v>
      </c>
      <c r="B59" s="455" t="s">
        <v>1553</v>
      </c>
      <c r="C59" s="455" t="s">
        <v>618</v>
      </c>
      <c r="D59" s="168" t="s">
        <v>1558</v>
      </c>
      <c r="E59" s="150">
        <v>98189.23</v>
      </c>
      <c r="F59" s="456">
        <v>123000</v>
      </c>
      <c r="G59" s="168">
        <v>147233.20000000001</v>
      </c>
      <c r="H59" s="168">
        <v>147233</v>
      </c>
      <c r="N59" s="168" t="s">
        <v>617</v>
      </c>
      <c r="O59" s="455" t="s">
        <v>1553</v>
      </c>
      <c r="P59" s="455" t="s">
        <v>618</v>
      </c>
      <c r="Q59" s="455">
        <v>72090</v>
      </c>
      <c r="R59" s="455">
        <v>73500</v>
      </c>
      <c r="S59" s="168">
        <v>214416.86</v>
      </c>
      <c r="T59" s="523">
        <v>214416</v>
      </c>
    </row>
    <row r="60" spans="1:20">
      <c r="A60" s="168" t="s">
        <v>619</v>
      </c>
      <c r="B60" s="455" t="s">
        <v>1553</v>
      </c>
      <c r="C60" s="455" t="s">
        <v>620</v>
      </c>
      <c r="D60" s="168" t="s">
        <v>1558</v>
      </c>
      <c r="E60" s="150">
        <v>363842.08</v>
      </c>
      <c r="F60" s="456">
        <v>364300</v>
      </c>
      <c r="G60" s="168">
        <v>543020.53</v>
      </c>
      <c r="H60" s="168">
        <v>543020</v>
      </c>
      <c r="N60" s="168" t="s">
        <v>619</v>
      </c>
      <c r="O60" s="455" t="s">
        <v>1553</v>
      </c>
      <c r="P60" s="455" t="s">
        <v>620</v>
      </c>
      <c r="Q60" s="455">
        <v>20113</v>
      </c>
      <c r="R60" s="455">
        <v>60113</v>
      </c>
      <c r="S60" s="168">
        <v>242179.95</v>
      </c>
      <c r="T60" s="523">
        <v>242179</v>
      </c>
    </row>
    <row r="61" spans="1:20">
      <c r="A61" s="168" t="s">
        <v>621</v>
      </c>
      <c r="B61" s="455" t="s">
        <v>1553</v>
      </c>
      <c r="C61" s="455" t="s">
        <v>622</v>
      </c>
      <c r="D61" s="168" t="s">
        <v>1558</v>
      </c>
      <c r="E61" s="150">
        <v>68853.73</v>
      </c>
      <c r="F61" s="456">
        <v>135000</v>
      </c>
      <c r="G61" s="168">
        <v>139392.34</v>
      </c>
      <c r="H61" s="168">
        <v>139392</v>
      </c>
      <c r="N61" s="168" t="s">
        <v>621</v>
      </c>
      <c r="O61" s="455" t="s">
        <v>1553</v>
      </c>
      <c r="P61" s="455" t="s">
        <v>622</v>
      </c>
      <c r="Q61" s="455">
        <v>167610</v>
      </c>
      <c r="R61" s="455">
        <v>85362</v>
      </c>
      <c r="S61" s="168">
        <v>69385.95</v>
      </c>
      <c r="T61" s="523">
        <v>69386</v>
      </c>
    </row>
    <row r="62" spans="1:20">
      <c r="A62" s="168" t="s">
        <v>623</v>
      </c>
      <c r="B62" s="455" t="s">
        <v>1553</v>
      </c>
      <c r="C62" s="455" t="s">
        <v>624</v>
      </c>
      <c r="D62" s="168" t="s">
        <v>1558</v>
      </c>
      <c r="E62" s="150">
        <v>15034</v>
      </c>
      <c r="F62" s="456">
        <v>15100</v>
      </c>
      <c r="G62" s="168">
        <v>540</v>
      </c>
      <c r="H62" s="168">
        <v>540</v>
      </c>
      <c r="N62" s="168" t="s">
        <v>623</v>
      </c>
      <c r="O62" s="455" t="s">
        <v>1553</v>
      </c>
      <c r="P62" s="455" t="s">
        <v>624</v>
      </c>
      <c r="Q62" s="455">
        <v>844</v>
      </c>
      <c r="R62" s="455">
        <v>1200</v>
      </c>
      <c r="S62" s="168">
        <v>1144.5999999999999</v>
      </c>
      <c r="T62" s="523">
        <v>1145</v>
      </c>
    </row>
    <row r="63" spans="1:20">
      <c r="A63" s="168" t="s">
        <v>625</v>
      </c>
      <c r="B63" s="455" t="s">
        <v>1553</v>
      </c>
      <c r="C63" s="455" t="s">
        <v>626</v>
      </c>
      <c r="D63" s="168" t="s">
        <v>1558</v>
      </c>
      <c r="E63" s="150">
        <v>4543.62</v>
      </c>
      <c r="F63" s="456">
        <v>4600</v>
      </c>
      <c r="G63" s="168">
        <v>4059.5</v>
      </c>
      <c r="H63" s="168">
        <v>4059</v>
      </c>
      <c r="N63" s="168" t="s">
        <v>625</v>
      </c>
      <c r="O63" s="455" t="s">
        <v>1553</v>
      </c>
      <c r="P63" s="455" t="s">
        <v>626</v>
      </c>
      <c r="Q63" s="455">
        <v>18900</v>
      </c>
      <c r="R63" s="455">
        <v>3940</v>
      </c>
      <c r="S63" s="168">
        <v>16706.169999999998</v>
      </c>
      <c r="T63" s="523">
        <v>16706</v>
      </c>
    </row>
    <row r="64" spans="1:20">
      <c r="A64" s="168" t="s">
        <v>627</v>
      </c>
      <c r="B64" s="455" t="s">
        <v>1553</v>
      </c>
      <c r="C64" s="455" t="s">
        <v>628</v>
      </c>
      <c r="D64" s="168" t="s">
        <v>1558</v>
      </c>
      <c r="E64" s="150">
        <v>77300.97</v>
      </c>
      <c r="F64" s="456">
        <v>77400</v>
      </c>
      <c r="G64" s="168">
        <v>130345.51</v>
      </c>
      <c r="H64" s="168">
        <v>130345</v>
      </c>
      <c r="N64" s="168" t="s">
        <v>627</v>
      </c>
      <c r="O64" s="455" t="s">
        <v>1553</v>
      </c>
      <c r="P64" s="455" t="s">
        <v>628</v>
      </c>
      <c r="Q64" s="455">
        <v>89765</v>
      </c>
      <c r="R64" s="455">
        <v>89765</v>
      </c>
      <c r="S64" s="168">
        <v>262197.42</v>
      </c>
      <c r="T64" s="523">
        <v>262197</v>
      </c>
    </row>
    <row r="65" spans="1:20">
      <c r="A65" s="168" t="s">
        <v>629</v>
      </c>
      <c r="B65" s="455" t="s">
        <v>1553</v>
      </c>
      <c r="C65" s="455" t="s">
        <v>2326</v>
      </c>
      <c r="D65" s="168" t="s">
        <v>1558</v>
      </c>
      <c r="E65" s="150">
        <v>14594.92</v>
      </c>
      <c r="F65" s="456">
        <v>15000</v>
      </c>
      <c r="G65" s="168">
        <v>0</v>
      </c>
      <c r="H65" s="168">
        <v>0</v>
      </c>
      <c r="N65" s="168" t="s">
        <v>629</v>
      </c>
      <c r="O65" s="455" t="s">
        <v>1553</v>
      </c>
      <c r="P65" s="455" t="s">
        <v>2326</v>
      </c>
      <c r="Q65" s="455">
        <v>20000</v>
      </c>
      <c r="R65" s="455"/>
      <c r="S65" s="168">
        <v>0</v>
      </c>
      <c r="T65" s="523">
        <v>0</v>
      </c>
    </row>
    <row r="66" spans="1:20">
      <c r="A66" s="168" t="s">
        <v>630</v>
      </c>
      <c r="B66" s="455" t="s">
        <v>1553</v>
      </c>
      <c r="C66" s="455" t="s">
        <v>631</v>
      </c>
      <c r="D66" s="168" t="s">
        <v>1558</v>
      </c>
      <c r="E66" s="150">
        <v>1484.17</v>
      </c>
      <c r="F66" s="456">
        <v>1650</v>
      </c>
      <c r="G66" s="168">
        <v>3495.57</v>
      </c>
      <c r="H66" s="168">
        <v>3495</v>
      </c>
      <c r="N66" s="168" t="s">
        <v>630</v>
      </c>
      <c r="O66" s="455" t="s">
        <v>1553</v>
      </c>
      <c r="P66" s="455" t="s">
        <v>631</v>
      </c>
      <c r="Q66" s="455">
        <v>1499</v>
      </c>
      <c r="R66" s="455">
        <v>1125</v>
      </c>
      <c r="S66" s="168">
        <v>3658.46</v>
      </c>
      <c r="T66" s="523">
        <v>3658</v>
      </c>
    </row>
    <row r="67" spans="1:20">
      <c r="A67" s="168" t="s">
        <v>632</v>
      </c>
      <c r="B67" s="455" t="s">
        <v>1553</v>
      </c>
      <c r="C67" s="455" t="s">
        <v>633</v>
      </c>
      <c r="D67" s="168" t="s">
        <v>1558</v>
      </c>
      <c r="E67" s="150">
        <v>85157.9</v>
      </c>
      <c r="F67" s="456">
        <v>86000</v>
      </c>
      <c r="G67" s="168">
        <v>106541.93</v>
      </c>
      <c r="H67" s="168">
        <v>106541</v>
      </c>
      <c r="N67" s="168" t="s">
        <v>632</v>
      </c>
      <c r="O67" s="455" t="s">
        <v>1553</v>
      </c>
      <c r="P67" s="455" t="s">
        <v>633</v>
      </c>
      <c r="Q67" s="455">
        <v>82950</v>
      </c>
      <c r="R67" s="455">
        <v>57766</v>
      </c>
      <c r="S67" s="168">
        <v>169441.96</v>
      </c>
      <c r="T67" s="523">
        <v>169441</v>
      </c>
    </row>
    <row r="68" spans="1:20">
      <c r="A68" s="168" t="s">
        <v>2684</v>
      </c>
      <c r="B68" s="455" t="s">
        <v>1553</v>
      </c>
      <c r="D68" s="168" t="s">
        <v>1558</v>
      </c>
      <c r="E68" s="150"/>
      <c r="G68" s="168">
        <v>16000</v>
      </c>
      <c r="H68" s="168">
        <v>16000</v>
      </c>
      <c r="N68" s="168" t="s">
        <v>2684</v>
      </c>
      <c r="O68" s="455" t="s">
        <v>1553</v>
      </c>
      <c r="P68" s="455"/>
      <c r="Q68" s="455">
        <v>13860</v>
      </c>
      <c r="R68" s="455">
        <v>36000</v>
      </c>
      <c r="S68" s="168">
        <v>39000</v>
      </c>
      <c r="T68" s="523">
        <v>39000</v>
      </c>
    </row>
    <row r="69" spans="1:20">
      <c r="A69" s="168" t="s">
        <v>634</v>
      </c>
      <c r="B69" s="455" t="s">
        <v>1553</v>
      </c>
      <c r="C69" s="455" t="s">
        <v>50</v>
      </c>
      <c r="D69" s="168" t="s">
        <v>1558</v>
      </c>
      <c r="E69" s="150">
        <v>1280113.3400000001</v>
      </c>
      <c r="F69" s="456">
        <v>1218000</v>
      </c>
      <c r="G69" s="168">
        <v>1342304.12</v>
      </c>
      <c r="H69" s="168">
        <v>1342305</v>
      </c>
      <c r="N69" s="168" t="s">
        <v>634</v>
      </c>
      <c r="O69" s="455" t="s">
        <v>1553</v>
      </c>
      <c r="P69" s="455" t="s">
        <v>50</v>
      </c>
      <c r="Q69" s="455">
        <v>744000</v>
      </c>
      <c r="R69" s="455">
        <v>774000</v>
      </c>
      <c r="S69" s="168">
        <v>1320556.69</v>
      </c>
      <c r="T69" s="523">
        <v>1320556</v>
      </c>
    </row>
    <row r="70" spans="1:20">
      <c r="A70" s="168" t="s">
        <v>51</v>
      </c>
      <c r="B70" s="455" t="s">
        <v>1553</v>
      </c>
      <c r="C70" s="455" t="s">
        <v>52</v>
      </c>
      <c r="D70" s="168" t="s">
        <v>1558</v>
      </c>
      <c r="E70" s="150">
        <v>274691.62</v>
      </c>
      <c r="F70" s="456">
        <v>519000</v>
      </c>
      <c r="G70" s="168">
        <v>791716.22</v>
      </c>
      <c r="H70" s="168">
        <v>791716</v>
      </c>
      <c r="N70" s="168" t="s">
        <v>51</v>
      </c>
      <c r="O70" s="455" t="s">
        <v>1553</v>
      </c>
      <c r="P70" s="455" t="s">
        <v>52</v>
      </c>
      <c r="Q70" s="455">
        <v>274692</v>
      </c>
      <c r="R70" s="455">
        <v>274692</v>
      </c>
      <c r="S70" s="168">
        <v>617355.99</v>
      </c>
      <c r="T70" s="523">
        <v>617355</v>
      </c>
    </row>
    <row r="71" spans="1:20">
      <c r="A71" s="168" t="s">
        <v>53</v>
      </c>
      <c r="B71" s="455" t="s">
        <v>1553</v>
      </c>
      <c r="C71" s="455" t="s">
        <v>52</v>
      </c>
      <c r="D71" s="168" t="s">
        <v>1558</v>
      </c>
      <c r="E71" s="150">
        <v>788612.97</v>
      </c>
      <c r="F71" s="456">
        <v>789000</v>
      </c>
      <c r="G71" s="168">
        <v>1056770.29</v>
      </c>
      <c r="H71" s="168">
        <v>1056770</v>
      </c>
      <c r="N71" s="168" t="s">
        <v>53</v>
      </c>
      <c r="O71" s="455" t="s">
        <v>1553</v>
      </c>
      <c r="P71" s="455" t="s">
        <v>52</v>
      </c>
      <c r="Q71" s="455">
        <v>99603</v>
      </c>
      <c r="R71" s="455">
        <v>99603</v>
      </c>
      <c r="S71" s="168">
        <v>615256.63</v>
      </c>
      <c r="T71" s="523">
        <v>615257</v>
      </c>
    </row>
    <row r="72" spans="1:20">
      <c r="A72" s="168" t="s">
        <v>54</v>
      </c>
      <c r="B72" s="455" t="s">
        <v>1553</v>
      </c>
      <c r="C72" s="455" t="s">
        <v>55</v>
      </c>
      <c r="D72" s="168" t="s">
        <v>1558</v>
      </c>
      <c r="E72" s="150">
        <v>79762.12</v>
      </c>
      <c r="F72" s="456">
        <v>80000</v>
      </c>
      <c r="G72" s="168">
        <v>400712.76</v>
      </c>
      <c r="H72" s="168">
        <v>400712</v>
      </c>
      <c r="N72" s="168" t="s">
        <v>54</v>
      </c>
      <c r="O72" s="455" t="s">
        <v>1553</v>
      </c>
      <c r="P72" s="455" t="s">
        <v>55</v>
      </c>
      <c r="Q72" s="455">
        <v>97650</v>
      </c>
      <c r="R72" s="455">
        <v>51815</v>
      </c>
      <c r="S72" s="168">
        <v>37668.94</v>
      </c>
      <c r="T72" s="523">
        <v>37669</v>
      </c>
    </row>
    <row r="73" spans="1:20">
      <c r="A73" s="168" t="s">
        <v>56</v>
      </c>
      <c r="B73" s="455" t="s">
        <v>1553</v>
      </c>
      <c r="C73" s="455" t="s">
        <v>57</v>
      </c>
      <c r="D73" s="168" t="s">
        <v>1558</v>
      </c>
      <c r="E73" s="150">
        <v>107944.37</v>
      </c>
      <c r="F73" s="456">
        <v>108000</v>
      </c>
      <c r="G73" s="168">
        <v>117039.44</v>
      </c>
      <c r="H73" s="168">
        <v>101996</v>
      </c>
      <c r="N73" s="168" t="s">
        <v>56</v>
      </c>
      <c r="O73" s="455" t="s">
        <v>1553</v>
      </c>
      <c r="P73" s="455" t="s">
        <v>57</v>
      </c>
      <c r="Q73" s="455">
        <v>84000</v>
      </c>
      <c r="R73" s="455">
        <v>100000</v>
      </c>
      <c r="S73" s="168">
        <v>97880.15</v>
      </c>
      <c r="T73" s="523">
        <v>97881</v>
      </c>
    </row>
    <row r="74" spans="1:20">
      <c r="A74" s="168" t="s">
        <v>3715</v>
      </c>
      <c r="B74" s="455"/>
      <c r="E74" s="150"/>
      <c r="N74" s="561" t="s">
        <v>3715</v>
      </c>
      <c r="O74" s="455"/>
      <c r="P74" s="455"/>
      <c r="Q74" s="455">
        <v>230689</v>
      </c>
      <c r="R74" s="455">
        <v>173017</v>
      </c>
      <c r="T74" s="523"/>
    </row>
    <row r="75" spans="1:20">
      <c r="A75" s="168" t="s">
        <v>58</v>
      </c>
      <c r="B75" s="455" t="s">
        <v>1553</v>
      </c>
      <c r="C75" s="455" t="s">
        <v>59</v>
      </c>
      <c r="D75" s="168" t="s">
        <v>1558</v>
      </c>
      <c r="E75" s="150">
        <v>0</v>
      </c>
      <c r="F75" s="456">
        <v>0</v>
      </c>
      <c r="G75" s="168">
        <v>225453.42</v>
      </c>
      <c r="H75" s="168">
        <v>225453</v>
      </c>
      <c r="N75" s="168" t="s">
        <v>58</v>
      </c>
      <c r="O75" s="455" t="s">
        <v>1553</v>
      </c>
      <c r="P75" s="455" t="s">
        <v>59</v>
      </c>
      <c r="Q75" s="455">
        <v>150000</v>
      </c>
      <c r="R75" s="455">
        <v>150000</v>
      </c>
      <c r="S75" s="168">
        <v>575410.6</v>
      </c>
      <c r="T75" s="523">
        <v>575410</v>
      </c>
    </row>
    <row r="76" spans="1:20">
      <c r="A76" s="168" t="s">
        <v>2685</v>
      </c>
      <c r="B76" s="455" t="s">
        <v>1553</v>
      </c>
      <c r="D76" s="168" t="s">
        <v>1558</v>
      </c>
      <c r="E76" s="150"/>
      <c r="G76" s="168">
        <v>85930.37</v>
      </c>
      <c r="H76" s="168">
        <v>85930</v>
      </c>
      <c r="N76" s="168" t="s">
        <v>2685</v>
      </c>
      <c r="O76" s="455" t="s">
        <v>1553</v>
      </c>
      <c r="P76" s="455"/>
      <c r="Q76" s="455"/>
      <c r="R76" s="455"/>
      <c r="S76" s="168">
        <v>28317.360000000001</v>
      </c>
      <c r="T76" s="523">
        <v>28317</v>
      </c>
    </row>
    <row r="77" spans="1:20">
      <c r="A77" s="168" t="s">
        <v>61</v>
      </c>
      <c r="B77" s="455" t="s">
        <v>1553</v>
      </c>
      <c r="C77" s="455" t="s">
        <v>62</v>
      </c>
      <c r="D77" s="168" t="s">
        <v>1558</v>
      </c>
      <c r="E77" s="150">
        <v>63064.67</v>
      </c>
      <c r="F77" s="456">
        <v>69000</v>
      </c>
      <c r="G77" s="168">
        <v>0</v>
      </c>
      <c r="H77" s="168">
        <v>0</v>
      </c>
      <c r="N77" s="168" t="s">
        <v>61</v>
      </c>
      <c r="O77" s="455" t="s">
        <v>1553</v>
      </c>
      <c r="P77" s="455" t="s">
        <v>62</v>
      </c>
      <c r="Q77" s="455">
        <v>31500</v>
      </c>
      <c r="R77" s="455"/>
      <c r="S77" s="168">
        <v>0</v>
      </c>
      <c r="T77" s="523">
        <v>0</v>
      </c>
    </row>
    <row r="78" spans="1:20">
      <c r="A78" s="168" t="s">
        <v>63</v>
      </c>
      <c r="B78" s="455" t="s">
        <v>1553</v>
      </c>
      <c r="C78" s="455" t="s">
        <v>64</v>
      </c>
      <c r="D78" s="168" t="s">
        <v>1558</v>
      </c>
      <c r="E78" s="150">
        <v>0</v>
      </c>
      <c r="F78" s="456">
        <v>0</v>
      </c>
      <c r="G78" s="168">
        <v>0</v>
      </c>
      <c r="H78" s="168">
        <v>0</v>
      </c>
      <c r="N78" s="168" t="s">
        <v>63</v>
      </c>
      <c r="O78" s="455" t="s">
        <v>1553</v>
      </c>
      <c r="P78" s="455" t="s">
        <v>64</v>
      </c>
      <c r="Q78" s="455">
        <v>31500</v>
      </c>
      <c r="R78" s="455"/>
      <c r="S78" s="168">
        <v>0</v>
      </c>
      <c r="T78" s="523">
        <v>0</v>
      </c>
    </row>
    <row r="79" spans="1:20">
      <c r="A79" s="168" t="s">
        <v>65</v>
      </c>
      <c r="B79" s="455" t="s">
        <v>1553</v>
      </c>
      <c r="C79" s="455" t="s">
        <v>2317</v>
      </c>
      <c r="D79" s="168" t="s">
        <v>1558</v>
      </c>
      <c r="E79" s="150">
        <v>199376.15</v>
      </c>
      <c r="F79" s="456">
        <v>220000</v>
      </c>
      <c r="G79" s="168">
        <v>315539.13</v>
      </c>
      <c r="H79" s="168">
        <v>315540</v>
      </c>
      <c r="N79" s="168" t="s">
        <v>65</v>
      </c>
      <c r="O79" s="455" t="s">
        <v>1553</v>
      </c>
      <c r="P79" s="455" t="s">
        <v>2317</v>
      </c>
      <c r="Q79" s="455"/>
      <c r="R79" s="455"/>
      <c r="S79" s="168">
        <v>261424.98</v>
      </c>
      <c r="T79" s="523">
        <v>261424</v>
      </c>
    </row>
    <row r="80" spans="1:20">
      <c r="A80" s="168" t="s">
        <v>66</v>
      </c>
      <c r="B80" s="455" t="s">
        <v>1553</v>
      </c>
      <c r="C80" s="455" t="s">
        <v>578</v>
      </c>
      <c r="D80" s="168" t="s">
        <v>1558</v>
      </c>
      <c r="E80" s="150">
        <v>55664.89</v>
      </c>
      <c r="F80" s="456">
        <v>60000</v>
      </c>
      <c r="G80" s="168">
        <v>19174.439999999999</v>
      </c>
      <c r="H80" s="168">
        <v>19174</v>
      </c>
      <c r="N80" s="168" t="s">
        <v>66</v>
      </c>
      <c r="O80" s="455" t="s">
        <v>1553</v>
      </c>
      <c r="P80" s="455" t="s">
        <v>578</v>
      </c>
      <c r="Q80" s="455">
        <v>41433</v>
      </c>
      <c r="R80" s="455">
        <v>5000</v>
      </c>
      <c r="S80" s="168">
        <v>43762.52</v>
      </c>
      <c r="T80" s="523">
        <v>43762</v>
      </c>
    </row>
    <row r="81" spans="1:23">
      <c r="A81" s="168" t="s">
        <v>67</v>
      </c>
      <c r="B81" s="455" t="s">
        <v>1553</v>
      </c>
      <c r="C81" s="455" t="s">
        <v>68</v>
      </c>
      <c r="D81" s="168" t="s">
        <v>1558</v>
      </c>
      <c r="E81" s="150">
        <v>871461.23</v>
      </c>
      <c r="F81" s="456">
        <v>885000</v>
      </c>
      <c r="G81" s="168">
        <v>0</v>
      </c>
      <c r="H81" s="168">
        <v>0</v>
      </c>
      <c r="N81" s="168" t="s">
        <v>67</v>
      </c>
      <c r="O81" s="455" t="s">
        <v>1553</v>
      </c>
      <c r="P81" s="455" t="s">
        <v>68</v>
      </c>
      <c r="Q81" s="455"/>
      <c r="R81" s="455"/>
      <c r="S81" s="168">
        <v>0</v>
      </c>
      <c r="T81" s="523">
        <v>0</v>
      </c>
    </row>
    <row r="82" spans="1:23">
      <c r="A82" s="168" t="s">
        <v>2686</v>
      </c>
      <c r="B82" s="455" t="s">
        <v>1553</v>
      </c>
      <c r="C82" s="455" t="s">
        <v>2689</v>
      </c>
      <c r="D82" s="168" t="s">
        <v>1558</v>
      </c>
      <c r="E82" s="150"/>
      <c r="G82" s="168">
        <v>308212.7</v>
      </c>
      <c r="H82" s="168">
        <v>308212</v>
      </c>
      <c r="N82" s="168" t="s">
        <v>2686</v>
      </c>
      <c r="O82" s="455" t="s">
        <v>1553</v>
      </c>
      <c r="P82" s="455" t="s">
        <v>2689</v>
      </c>
      <c r="Q82" s="455">
        <v>300000</v>
      </c>
      <c r="R82" s="455">
        <v>225000</v>
      </c>
      <c r="S82" s="168">
        <v>0</v>
      </c>
      <c r="T82" s="523">
        <v>0</v>
      </c>
    </row>
    <row r="83" spans="1:23">
      <c r="A83" s="168" t="s">
        <v>2687</v>
      </c>
      <c r="B83" s="455" t="s">
        <v>1553</v>
      </c>
      <c r="C83" s="455" t="s">
        <v>2690</v>
      </c>
      <c r="D83" s="168" t="s">
        <v>1558</v>
      </c>
      <c r="E83" s="150"/>
      <c r="G83" s="168">
        <v>426838.91</v>
      </c>
      <c r="H83" s="168">
        <v>426838</v>
      </c>
      <c r="N83" s="168" t="s">
        <v>2687</v>
      </c>
      <c r="O83" s="455" t="s">
        <v>1553</v>
      </c>
      <c r="P83" s="455" t="s">
        <v>2690</v>
      </c>
      <c r="Q83" s="455"/>
      <c r="R83" s="455"/>
      <c r="S83" s="168">
        <v>0</v>
      </c>
      <c r="T83" s="523">
        <v>0</v>
      </c>
    </row>
    <row r="84" spans="1:23">
      <c r="A84" s="168" t="s">
        <v>2688</v>
      </c>
      <c r="B84" s="455" t="s">
        <v>1553</v>
      </c>
      <c r="C84" s="455" t="s">
        <v>2318</v>
      </c>
      <c r="D84" s="168" t="s">
        <v>1558</v>
      </c>
      <c r="E84" s="150"/>
      <c r="G84" s="168">
        <v>2662830.52</v>
      </c>
      <c r="H84" s="168">
        <v>2662830</v>
      </c>
      <c r="N84" s="168" t="s">
        <v>2688</v>
      </c>
      <c r="O84" s="455" t="s">
        <v>1553</v>
      </c>
      <c r="P84" s="455" t="s">
        <v>2318</v>
      </c>
      <c r="Q84" s="455"/>
      <c r="R84" s="455">
        <v>2580000</v>
      </c>
      <c r="S84" s="168">
        <v>0</v>
      </c>
      <c r="T84" s="523">
        <v>0</v>
      </c>
    </row>
    <row r="85" spans="1:23">
      <c r="A85" s="168" t="s">
        <v>69</v>
      </c>
      <c r="B85" s="455" t="s">
        <v>1553</v>
      </c>
      <c r="C85" s="455" t="s">
        <v>70</v>
      </c>
      <c r="D85" s="168" t="s">
        <v>1558</v>
      </c>
      <c r="E85" s="150">
        <v>0</v>
      </c>
      <c r="F85" s="456">
        <v>0</v>
      </c>
      <c r="G85" s="168">
        <v>0</v>
      </c>
      <c r="H85" s="168">
        <v>0</v>
      </c>
      <c r="N85" s="168" t="s">
        <v>69</v>
      </c>
      <c r="O85" s="455" t="s">
        <v>1553</v>
      </c>
      <c r="P85" s="455" t="s">
        <v>70</v>
      </c>
      <c r="Q85" s="455"/>
      <c r="R85" s="455"/>
      <c r="S85" s="168">
        <v>0</v>
      </c>
      <c r="T85" s="523">
        <v>0</v>
      </c>
    </row>
    <row r="86" spans="1:23">
      <c r="A86" s="168" t="s">
        <v>72</v>
      </c>
      <c r="B86" s="455" t="s">
        <v>1553</v>
      </c>
      <c r="C86" s="455" t="s">
        <v>2326</v>
      </c>
      <c r="D86" s="168" t="s">
        <v>1558</v>
      </c>
      <c r="E86" s="150">
        <v>0</v>
      </c>
      <c r="F86" s="456">
        <v>0</v>
      </c>
      <c r="G86" s="168">
        <v>0</v>
      </c>
      <c r="H86" s="168">
        <v>0</v>
      </c>
      <c r="N86" s="168" t="s">
        <v>72</v>
      </c>
      <c r="O86" s="455" t="s">
        <v>1553</v>
      </c>
      <c r="P86" s="455" t="s">
        <v>2326</v>
      </c>
      <c r="Q86" s="455"/>
      <c r="R86" s="455"/>
      <c r="S86" s="168">
        <v>0</v>
      </c>
      <c r="T86" s="523">
        <v>0</v>
      </c>
    </row>
    <row r="87" spans="1:23">
      <c r="A87" s="168" t="s">
        <v>73</v>
      </c>
      <c r="B87" s="455" t="s">
        <v>1553</v>
      </c>
      <c r="C87" s="455" t="s">
        <v>70</v>
      </c>
      <c r="D87" s="168" t="s">
        <v>1558</v>
      </c>
      <c r="E87" s="150">
        <v>0</v>
      </c>
      <c r="F87" s="456">
        <v>0</v>
      </c>
      <c r="G87" s="168">
        <v>0</v>
      </c>
      <c r="H87" s="168">
        <v>0</v>
      </c>
      <c r="N87" s="168" t="s">
        <v>73</v>
      </c>
      <c r="O87" s="455" t="s">
        <v>1553</v>
      </c>
      <c r="P87" s="455" t="s">
        <v>70</v>
      </c>
      <c r="Q87" s="455"/>
      <c r="R87" s="455"/>
      <c r="S87" s="168">
        <v>0</v>
      </c>
      <c r="T87" s="523">
        <v>0</v>
      </c>
    </row>
    <row r="88" spans="1:23" ht="15.75" thickBot="1">
      <c r="A88" s="168" t="s">
        <v>3347</v>
      </c>
      <c r="B88" s="455" t="s">
        <v>1553</v>
      </c>
      <c r="C88" s="455" t="s">
        <v>2318</v>
      </c>
      <c r="D88" s="168" t="s">
        <v>1558</v>
      </c>
      <c r="E88" s="150"/>
      <c r="G88" s="168">
        <v>0</v>
      </c>
      <c r="N88" s="168" t="s">
        <v>3347</v>
      </c>
      <c r="O88" s="455" t="s">
        <v>1553</v>
      </c>
      <c r="P88" s="455" t="s">
        <v>2318</v>
      </c>
      <c r="Q88" s="455"/>
      <c r="R88" s="455"/>
      <c r="S88" s="168">
        <v>0</v>
      </c>
      <c r="T88" s="523"/>
    </row>
    <row r="89" spans="1:23" ht="16.5" thickTop="1" thickBot="1">
      <c r="A89" s="554" t="s">
        <v>2668</v>
      </c>
      <c r="B89" s="555"/>
      <c r="C89" s="555"/>
      <c r="D89" s="556"/>
      <c r="E89" s="560">
        <f>SUM(E27:E87)</f>
        <v>11235102</v>
      </c>
      <c r="F89" s="560">
        <f>SUM(F27:F87)</f>
        <v>12608571</v>
      </c>
      <c r="G89" s="560">
        <f>SUM(G27:G88)</f>
        <v>20472433.999999996</v>
      </c>
      <c r="H89" s="560">
        <f>SUM(H27:H87)</f>
        <v>18176263</v>
      </c>
      <c r="N89" s="554" t="s">
        <v>2668</v>
      </c>
      <c r="O89" s="555"/>
      <c r="P89" s="555"/>
      <c r="Q89" s="555">
        <f>SUM(Q25:Q88)</f>
        <v>11997554</v>
      </c>
      <c r="R89" s="555">
        <f>SUM(R26:R88)</f>
        <v>13891619</v>
      </c>
      <c r="S89" s="560">
        <f>SUM(S25:S88)</f>
        <v>13174287.209999999</v>
      </c>
      <c r="T89" s="558">
        <f>SUM(T25:T88)</f>
        <v>12505381</v>
      </c>
      <c r="U89" s="603">
        <f>S89+S23</f>
        <v>3332972.8599999994</v>
      </c>
      <c r="V89" s="168">
        <f>SUM(T89)</f>
        <v>12505381</v>
      </c>
    </row>
    <row r="90" spans="1:23" ht="15.75" thickTop="1">
      <c r="B90" s="455"/>
      <c r="E90" s="150"/>
      <c r="O90" s="455"/>
      <c r="P90" s="455"/>
      <c r="Q90" s="455"/>
      <c r="R90" s="455"/>
      <c r="T90" s="523"/>
      <c r="V90" s="603">
        <f>SUM(V18:V89)</f>
        <v>-1185270</v>
      </c>
    </row>
    <row r="91" spans="1:23">
      <c r="A91" s="168" t="s">
        <v>74</v>
      </c>
      <c r="B91" s="455" t="s">
        <v>1549</v>
      </c>
      <c r="C91" s="455" t="s">
        <v>75</v>
      </c>
      <c r="D91" s="168" t="s">
        <v>1559</v>
      </c>
      <c r="E91" s="150">
        <v>1204157.06</v>
      </c>
      <c r="F91" s="456">
        <v>1398564</v>
      </c>
      <c r="G91" s="168">
        <v>1260311.5900000001</v>
      </c>
      <c r="H91" s="168">
        <v>1260312</v>
      </c>
      <c r="N91" s="168" t="s">
        <v>74</v>
      </c>
      <c r="O91" s="455" t="s">
        <v>1549</v>
      </c>
      <c r="P91" s="455" t="s">
        <v>75</v>
      </c>
      <c r="Q91" s="455">
        <v>2194325</v>
      </c>
      <c r="R91" s="455">
        <v>2194325</v>
      </c>
      <c r="S91" s="168">
        <v>1518807.62</v>
      </c>
      <c r="T91" s="523">
        <v>1518808</v>
      </c>
      <c r="W91" s="168">
        <v>11867988.42</v>
      </c>
    </row>
    <row r="92" spans="1:23">
      <c r="A92" s="168" t="s">
        <v>76</v>
      </c>
      <c r="B92" s="455" t="s">
        <v>1549</v>
      </c>
      <c r="C92" s="455" t="s">
        <v>77</v>
      </c>
      <c r="D92" s="168" t="s">
        <v>1559</v>
      </c>
      <c r="E92" s="150">
        <v>184489.53</v>
      </c>
      <c r="F92" s="456">
        <v>185000</v>
      </c>
      <c r="G92" s="168">
        <v>273364.32</v>
      </c>
      <c r="H92" s="168">
        <v>273364</v>
      </c>
      <c r="N92" s="168" t="s">
        <v>76</v>
      </c>
      <c r="O92" s="455" t="s">
        <v>1549</v>
      </c>
      <c r="P92" s="455" t="s">
        <v>77</v>
      </c>
      <c r="Q92" s="455">
        <v>170000</v>
      </c>
      <c r="R92" s="455">
        <v>170000</v>
      </c>
      <c r="S92" s="168">
        <v>138417.68</v>
      </c>
      <c r="T92" s="523">
        <v>138418</v>
      </c>
      <c r="W92" s="168">
        <v>5563929.5099999998</v>
      </c>
    </row>
    <row r="93" spans="1:23">
      <c r="A93" s="168" t="s">
        <v>78</v>
      </c>
      <c r="B93" s="455" t="s">
        <v>1549</v>
      </c>
      <c r="C93" s="455" t="s">
        <v>60</v>
      </c>
      <c r="D93" s="168" t="s">
        <v>1559</v>
      </c>
      <c r="E93" s="150">
        <v>111352.29</v>
      </c>
      <c r="F93" s="456">
        <v>147000</v>
      </c>
      <c r="G93" s="168">
        <v>87438.53</v>
      </c>
      <c r="H93" s="168">
        <v>87439</v>
      </c>
      <c r="N93" s="168" t="s">
        <v>78</v>
      </c>
      <c r="O93" s="455" t="s">
        <v>1549</v>
      </c>
      <c r="P93" s="455" t="s">
        <v>60</v>
      </c>
      <c r="Q93" s="455">
        <v>114226</v>
      </c>
      <c r="R93" s="455">
        <v>114226</v>
      </c>
      <c r="S93" s="168">
        <v>141424.28</v>
      </c>
      <c r="T93" s="523">
        <v>141424</v>
      </c>
      <c r="W93" s="168">
        <f>SUM(W91:W92)</f>
        <v>17431917.93</v>
      </c>
    </row>
    <row r="94" spans="1:23">
      <c r="B94" s="455"/>
      <c r="E94" s="150"/>
      <c r="N94" s="168" t="s">
        <v>3716</v>
      </c>
      <c r="O94" s="455"/>
      <c r="P94" s="455"/>
      <c r="Q94" s="455">
        <v>70000</v>
      </c>
      <c r="R94" s="455">
        <v>70000</v>
      </c>
      <c r="T94" s="523"/>
    </row>
    <row r="95" spans="1:23">
      <c r="A95" s="168" t="s">
        <v>79</v>
      </c>
      <c r="B95" s="455" t="s">
        <v>1549</v>
      </c>
      <c r="C95" s="455" t="s">
        <v>515</v>
      </c>
      <c r="D95" s="168" t="s">
        <v>1559</v>
      </c>
      <c r="E95" s="150">
        <v>136926.10999999999</v>
      </c>
      <c r="F95" s="456">
        <v>137000</v>
      </c>
      <c r="G95" s="168">
        <v>86039.2</v>
      </c>
      <c r="H95" s="168">
        <v>86040</v>
      </c>
      <c r="N95" s="168" t="s">
        <v>79</v>
      </c>
      <c r="O95" s="455" t="s">
        <v>1549</v>
      </c>
      <c r="P95" s="455" t="s">
        <v>515</v>
      </c>
      <c r="Q95" s="455"/>
      <c r="R95" s="455"/>
      <c r="S95" s="168">
        <v>79066.19</v>
      </c>
      <c r="T95" s="523">
        <v>79066</v>
      </c>
    </row>
    <row r="96" spans="1:23">
      <c r="A96" s="168" t="s">
        <v>80</v>
      </c>
      <c r="B96" s="455" t="s">
        <v>1549</v>
      </c>
      <c r="C96" s="455" t="s">
        <v>660</v>
      </c>
      <c r="D96" s="168" t="s">
        <v>1559</v>
      </c>
      <c r="E96" s="150">
        <v>0</v>
      </c>
      <c r="F96" s="456">
        <v>0</v>
      </c>
      <c r="G96" s="168">
        <v>0</v>
      </c>
      <c r="H96" s="168">
        <v>0</v>
      </c>
      <c r="N96" s="168" t="s">
        <v>80</v>
      </c>
      <c r="O96" s="455" t="s">
        <v>1549</v>
      </c>
      <c r="P96" s="455" t="s">
        <v>660</v>
      </c>
      <c r="Q96" s="455"/>
      <c r="R96" s="455"/>
      <c r="S96" s="168">
        <v>0</v>
      </c>
      <c r="T96" s="523">
        <v>0</v>
      </c>
    </row>
    <row r="97" spans="1:20">
      <c r="A97" s="168" t="s">
        <v>82</v>
      </c>
      <c r="B97" s="455" t="s">
        <v>1549</v>
      </c>
      <c r="C97" s="455" t="s">
        <v>767</v>
      </c>
      <c r="D97" s="168" t="s">
        <v>1559</v>
      </c>
      <c r="E97" s="150">
        <v>7051.32</v>
      </c>
      <c r="F97" s="456">
        <v>7087</v>
      </c>
      <c r="G97" s="168">
        <v>4712</v>
      </c>
      <c r="H97" s="168">
        <v>4712</v>
      </c>
      <c r="N97" s="168" t="s">
        <v>82</v>
      </c>
      <c r="O97" s="455" t="s">
        <v>1549</v>
      </c>
      <c r="P97" s="455" t="s">
        <v>767</v>
      </c>
      <c r="Q97" s="455">
        <v>30384</v>
      </c>
      <c r="R97" s="455">
        <v>30384</v>
      </c>
      <c r="S97" s="168">
        <v>4250</v>
      </c>
      <c r="T97" s="523">
        <v>4251</v>
      </c>
    </row>
    <row r="98" spans="1:20">
      <c r="A98" s="168" t="s">
        <v>83</v>
      </c>
      <c r="B98" s="455" t="s">
        <v>1549</v>
      </c>
      <c r="C98" s="455" t="s">
        <v>84</v>
      </c>
      <c r="D98" s="168" t="s">
        <v>1559</v>
      </c>
      <c r="E98" s="150">
        <v>202494.53</v>
      </c>
      <c r="F98" s="456">
        <v>202500</v>
      </c>
      <c r="G98" s="168">
        <v>220467.89</v>
      </c>
      <c r="H98" s="168">
        <v>220467</v>
      </c>
      <c r="N98" s="168" t="s">
        <v>83</v>
      </c>
      <c r="O98" s="455" t="s">
        <v>1549</v>
      </c>
      <c r="P98" s="455" t="s">
        <v>84</v>
      </c>
      <c r="Q98" s="455">
        <v>125235</v>
      </c>
      <c r="R98" s="455">
        <v>125235</v>
      </c>
      <c r="S98" s="168">
        <v>235366.13</v>
      </c>
      <c r="T98" s="523">
        <v>235366</v>
      </c>
    </row>
    <row r="99" spans="1:20">
      <c r="A99" s="168" t="s">
        <v>85</v>
      </c>
      <c r="B99" s="455" t="s">
        <v>1549</v>
      </c>
      <c r="C99" s="455" t="s">
        <v>86</v>
      </c>
      <c r="D99" s="168" t="s">
        <v>1559</v>
      </c>
      <c r="E99" s="150">
        <v>0</v>
      </c>
      <c r="F99" s="456">
        <v>0</v>
      </c>
      <c r="G99" s="168">
        <v>594447.66</v>
      </c>
      <c r="H99" s="168">
        <v>594447</v>
      </c>
      <c r="N99" s="168" t="s">
        <v>85</v>
      </c>
      <c r="O99" s="455" t="s">
        <v>1549</v>
      </c>
      <c r="P99" s="455" t="s">
        <v>86</v>
      </c>
      <c r="Q99" s="455">
        <v>109783</v>
      </c>
      <c r="R99" s="455">
        <v>109783</v>
      </c>
      <c r="S99" s="168">
        <v>22440.38</v>
      </c>
      <c r="T99" s="523">
        <v>22441</v>
      </c>
    </row>
    <row r="100" spans="1:20">
      <c r="A100" s="168" t="s">
        <v>87</v>
      </c>
      <c r="B100" s="455" t="s">
        <v>1549</v>
      </c>
      <c r="C100" s="455" t="s">
        <v>590</v>
      </c>
      <c r="D100" s="168" t="s">
        <v>1559</v>
      </c>
      <c r="E100" s="150">
        <v>33708</v>
      </c>
      <c r="F100" s="456">
        <v>33800</v>
      </c>
      <c r="G100" s="168">
        <v>33139.199999999997</v>
      </c>
      <c r="H100" s="168">
        <v>33139</v>
      </c>
      <c r="N100" s="168" t="s">
        <v>87</v>
      </c>
      <c r="O100" s="455" t="s">
        <v>1549</v>
      </c>
      <c r="P100" s="455" t="s">
        <v>590</v>
      </c>
      <c r="Q100" s="455">
        <v>223579</v>
      </c>
      <c r="R100" s="455">
        <v>223579</v>
      </c>
      <c r="S100" s="168">
        <v>47588.4</v>
      </c>
      <c r="T100" s="523">
        <v>47589</v>
      </c>
    </row>
    <row r="101" spans="1:20">
      <c r="A101" s="168" t="s">
        <v>88</v>
      </c>
      <c r="B101" s="455" t="s">
        <v>1549</v>
      </c>
      <c r="C101" s="455" t="s">
        <v>590</v>
      </c>
      <c r="D101" s="168" t="s">
        <v>1559</v>
      </c>
      <c r="E101" s="150">
        <v>198197.61</v>
      </c>
      <c r="F101" s="456">
        <v>198200</v>
      </c>
      <c r="G101" s="168">
        <v>208135.36</v>
      </c>
      <c r="H101" s="168">
        <v>208136</v>
      </c>
      <c r="N101" s="168" t="s">
        <v>88</v>
      </c>
      <c r="O101" s="455" t="s">
        <v>1549</v>
      </c>
      <c r="P101" s="455" t="s">
        <v>590</v>
      </c>
      <c r="Q101" s="455">
        <v>301558</v>
      </c>
      <c r="R101" s="455">
        <v>301558</v>
      </c>
      <c r="S101" s="168">
        <v>235663.75</v>
      </c>
      <c r="T101" s="523">
        <v>235664</v>
      </c>
    </row>
    <row r="102" spans="1:20">
      <c r="A102" s="168" t="s">
        <v>89</v>
      </c>
      <c r="B102" s="455" t="s">
        <v>1549</v>
      </c>
      <c r="C102" s="455" t="s">
        <v>590</v>
      </c>
      <c r="D102" s="168" t="s">
        <v>1559</v>
      </c>
      <c r="E102" s="150">
        <v>13270.72</v>
      </c>
      <c r="F102" s="456">
        <v>13300</v>
      </c>
      <c r="G102" s="168">
        <v>10509.92</v>
      </c>
      <c r="H102" s="168">
        <v>10510</v>
      </c>
      <c r="N102" s="168" t="s">
        <v>89</v>
      </c>
      <c r="O102" s="455" t="s">
        <v>1549</v>
      </c>
      <c r="P102" s="455" t="s">
        <v>590</v>
      </c>
      <c r="Q102" s="455">
        <v>13707</v>
      </c>
      <c r="R102" s="455">
        <v>13707</v>
      </c>
      <c r="S102" s="168">
        <v>10594.79</v>
      </c>
      <c r="T102" s="523">
        <v>10595</v>
      </c>
    </row>
    <row r="103" spans="1:20">
      <c r="A103" s="168" t="s">
        <v>90</v>
      </c>
      <c r="B103" s="455" t="s">
        <v>1549</v>
      </c>
      <c r="C103" s="455" t="s">
        <v>590</v>
      </c>
      <c r="D103" s="168" t="s">
        <v>1559</v>
      </c>
      <c r="E103" s="150">
        <v>10468.07</v>
      </c>
      <c r="F103" s="456">
        <v>10500</v>
      </c>
      <c r="G103" s="168">
        <v>12173.43</v>
      </c>
      <c r="H103" s="168">
        <v>12174</v>
      </c>
      <c r="N103" s="168" t="s">
        <v>90</v>
      </c>
      <c r="O103" s="455" t="s">
        <v>1549</v>
      </c>
      <c r="P103" s="455" t="s">
        <v>590</v>
      </c>
      <c r="Q103" s="455">
        <v>20972</v>
      </c>
      <c r="R103" s="455">
        <v>20972</v>
      </c>
      <c r="S103" s="168">
        <v>13395.85</v>
      </c>
      <c r="T103" s="523">
        <v>13396</v>
      </c>
    </row>
    <row r="104" spans="1:20">
      <c r="A104" s="168" t="s">
        <v>91</v>
      </c>
      <c r="B104" s="455" t="s">
        <v>1549</v>
      </c>
      <c r="C104" s="455" t="s">
        <v>1807</v>
      </c>
      <c r="D104" s="168" t="s">
        <v>1559</v>
      </c>
      <c r="E104" s="150">
        <v>547.20000000000005</v>
      </c>
      <c r="F104" s="456">
        <v>640</v>
      </c>
      <c r="G104" s="168">
        <v>525.78</v>
      </c>
      <c r="H104" s="168">
        <v>526</v>
      </c>
      <c r="N104" s="168" t="s">
        <v>91</v>
      </c>
      <c r="O104" s="455" t="s">
        <v>1549</v>
      </c>
      <c r="P104" s="455" t="s">
        <v>1807</v>
      </c>
      <c r="Q104" s="455">
        <v>621</v>
      </c>
      <c r="R104" s="455">
        <v>621</v>
      </c>
      <c r="S104" s="168">
        <v>572.58000000000004</v>
      </c>
      <c r="T104" s="523">
        <v>573</v>
      </c>
    </row>
    <row r="105" spans="1:20">
      <c r="A105" s="168" t="s">
        <v>92</v>
      </c>
      <c r="B105" s="455" t="s">
        <v>1551</v>
      </c>
      <c r="C105" s="455" t="s">
        <v>592</v>
      </c>
      <c r="D105" s="168" t="s">
        <v>1559</v>
      </c>
      <c r="E105" s="150">
        <v>0</v>
      </c>
      <c r="F105" s="456">
        <v>4988</v>
      </c>
      <c r="G105" s="168">
        <v>0</v>
      </c>
      <c r="H105" s="168">
        <v>0</v>
      </c>
      <c r="N105" s="168" t="s">
        <v>92</v>
      </c>
      <c r="O105" s="455" t="s">
        <v>1551</v>
      </c>
      <c r="P105" s="455" t="s">
        <v>592</v>
      </c>
      <c r="Q105" s="455">
        <v>3703</v>
      </c>
      <c r="R105" s="455">
        <v>3703</v>
      </c>
      <c r="S105" s="168">
        <v>17194.37</v>
      </c>
      <c r="T105" s="523">
        <v>3703</v>
      </c>
    </row>
    <row r="106" spans="1:20">
      <c r="A106" s="168" t="s">
        <v>93</v>
      </c>
      <c r="B106" s="455" t="s">
        <v>1552</v>
      </c>
      <c r="C106" s="455" t="s">
        <v>595</v>
      </c>
      <c r="D106" s="168" t="s">
        <v>1559</v>
      </c>
      <c r="E106" s="150">
        <v>26.55</v>
      </c>
      <c r="F106" s="456">
        <v>40</v>
      </c>
      <c r="G106" s="168">
        <v>0</v>
      </c>
      <c r="H106" s="168">
        <v>0</v>
      </c>
      <c r="N106" s="168" t="s">
        <v>93</v>
      </c>
      <c r="O106" s="455" t="s">
        <v>1552</v>
      </c>
      <c r="P106" s="455" t="s">
        <v>595</v>
      </c>
      <c r="Q106" s="455">
        <v>235</v>
      </c>
      <c r="R106" s="455">
        <v>235</v>
      </c>
      <c r="S106" s="168">
        <v>0</v>
      </c>
      <c r="T106" s="523">
        <v>0</v>
      </c>
    </row>
    <row r="107" spans="1:20">
      <c r="A107" s="168" t="s">
        <v>94</v>
      </c>
      <c r="B107" s="455" t="s">
        <v>1552</v>
      </c>
      <c r="C107" s="455" t="s">
        <v>95</v>
      </c>
      <c r="D107" s="168" t="s">
        <v>1559</v>
      </c>
      <c r="E107" s="150">
        <v>0</v>
      </c>
      <c r="F107" s="456">
        <v>0</v>
      </c>
      <c r="G107" s="168">
        <v>0</v>
      </c>
      <c r="H107" s="168">
        <v>0</v>
      </c>
      <c r="N107" s="168" t="s">
        <v>94</v>
      </c>
      <c r="O107" s="455" t="s">
        <v>1552</v>
      </c>
      <c r="P107" s="455" t="s">
        <v>95</v>
      </c>
      <c r="Q107" s="455"/>
      <c r="R107" s="455"/>
      <c r="S107" s="168">
        <v>0</v>
      </c>
      <c r="T107" s="523">
        <v>0</v>
      </c>
    </row>
    <row r="108" spans="1:20">
      <c r="A108" s="168" t="s">
        <v>96</v>
      </c>
      <c r="B108" s="455" t="s">
        <v>19</v>
      </c>
      <c r="C108" s="455" t="s">
        <v>600</v>
      </c>
      <c r="D108" s="168" t="s">
        <v>1559</v>
      </c>
      <c r="E108" s="150">
        <v>0</v>
      </c>
      <c r="F108" s="456">
        <v>0</v>
      </c>
      <c r="G108" s="168">
        <v>0</v>
      </c>
      <c r="H108" s="168">
        <v>0</v>
      </c>
      <c r="N108" s="168" t="s">
        <v>96</v>
      </c>
      <c r="O108" s="455" t="s">
        <v>19</v>
      </c>
      <c r="P108" s="455" t="s">
        <v>600</v>
      </c>
      <c r="Q108" s="455"/>
      <c r="R108" s="455"/>
      <c r="S108" s="168">
        <v>0</v>
      </c>
      <c r="T108" s="523">
        <v>0</v>
      </c>
    </row>
    <row r="109" spans="1:20">
      <c r="B109" s="455"/>
      <c r="E109" s="150"/>
      <c r="N109" s="168" t="s">
        <v>3460</v>
      </c>
      <c r="O109" s="455"/>
      <c r="P109" s="455"/>
      <c r="Q109" s="455">
        <v>19480</v>
      </c>
      <c r="R109" s="455">
        <v>72000</v>
      </c>
      <c r="S109" s="168">
        <v>96800</v>
      </c>
      <c r="T109" s="523">
        <v>96800</v>
      </c>
    </row>
    <row r="110" spans="1:20">
      <c r="A110" s="168" t="s">
        <v>97</v>
      </c>
      <c r="B110" s="455" t="s">
        <v>1553</v>
      </c>
      <c r="C110" s="455" t="s">
        <v>612</v>
      </c>
      <c r="D110" s="168" t="s">
        <v>1559</v>
      </c>
      <c r="E110" s="150">
        <v>33094.33</v>
      </c>
      <c r="F110" s="456">
        <v>34000</v>
      </c>
      <c r="G110" s="168">
        <v>79130.95</v>
      </c>
      <c r="H110" s="168">
        <v>79131</v>
      </c>
      <c r="N110" s="168" t="s">
        <v>97</v>
      </c>
      <c r="O110" s="455" t="s">
        <v>1553</v>
      </c>
      <c r="P110" s="455" t="s">
        <v>612</v>
      </c>
      <c r="Q110" s="455">
        <v>437472</v>
      </c>
      <c r="R110" s="455">
        <v>328104</v>
      </c>
      <c r="S110" s="168">
        <v>51616</v>
      </c>
      <c r="T110" s="523">
        <v>51617</v>
      </c>
    </row>
    <row r="111" spans="1:20">
      <c r="A111" s="168" t="s">
        <v>98</v>
      </c>
      <c r="B111" s="455" t="s">
        <v>1553</v>
      </c>
      <c r="C111" s="455" t="s">
        <v>99</v>
      </c>
      <c r="D111" s="168" t="s">
        <v>1559</v>
      </c>
      <c r="E111" s="150">
        <v>743219.42</v>
      </c>
      <c r="F111" s="456">
        <v>744000</v>
      </c>
      <c r="G111" s="168">
        <v>1446129.17</v>
      </c>
      <c r="H111" s="168">
        <v>1446130</v>
      </c>
      <c r="N111" s="168" t="s">
        <v>98</v>
      </c>
      <c r="O111" s="455" t="s">
        <v>1553</v>
      </c>
      <c r="P111" s="455" t="s">
        <v>99</v>
      </c>
      <c r="Q111" s="455">
        <v>3082016</v>
      </c>
      <c r="R111" s="455">
        <v>3082016</v>
      </c>
      <c r="S111" s="168">
        <v>2224962.79</v>
      </c>
      <c r="T111" s="523">
        <v>2224963</v>
      </c>
    </row>
    <row r="112" spans="1:20">
      <c r="A112" s="168" t="s">
        <v>100</v>
      </c>
      <c r="B112" s="455" t="s">
        <v>1553</v>
      </c>
      <c r="C112" s="455" t="s">
        <v>616</v>
      </c>
      <c r="D112" s="168" t="s">
        <v>1559</v>
      </c>
      <c r="E112" s="150">
        <v>20</v>
      </c>
      <c r="F112" s="456">
        <v>52</v>
      </c>
      <c r="G112" s="168">
        <v>27</v>
      </c>
      <c r="H112" s="168">
        <v>0</v>
      </c>
      <c r="N112" s="168" t="s">
        <v>100</v>
      </c>
      <c r="O112" s="455" t="s">
        <v>1553</v>
      </c>
      <c r="P112" s="455" t="s">
        <v>616</v>
      </c>
      <c r="Q112" s="455">
        <v>2500</v>
      </c>
      <c r="R112" s="455">
        <v>596</v>
      </c>
      <c r="S112" s="168">
        <v>593.46</v>
      </c>
      <c r="T112" s="523">
        <v>594</v>
      </c>
    </row>
    <row r="113" spans="1:22">
      <c r="A113" s="168" t="s">
        <v>101</v>
      </c>
      <c r="B113" s="455" t="s">
        <v>1553</v>
      </c>
      <c r="C113" s="455" t="s">
        <v>620</v>
      </c>
      <c r="D113" s="168" t="s">
        <v>1559</v>
      </c>
      <c r="E113" s="150">
        <v>34022.15</v>
      </c>
      <c r="F113" s="456">
        <v>35000</v>
      </c>
      <c r="G113" s="168">
        <v>44191.66</v>
      </c>
      <c r="H113" s="168">
        <v>44191</v>
      </c>
      <c r="N113" s="168" t="s">
        <v>101</v>
      </c>
      <c r="O113" s="455" t="s">
        <v>1553</v>
      </c>
      <c r="P113" s="455" t="s">
        <v>620</v>
      </c>
      <c r="Q113" s="455">
        <v>20026</v>
      </c>
      <c r="R113" s="455">
        <v>37883</v>
      </c>
      <c r="S113" s="168">
        <v>27739</v>
      </c>
      <c r="T113" s="523">
        <v>27740</v>
      </c>
    </row>
    <row r="114" spans="1:22">
      <c r="A114" s="168" t="s">
        <v>102</v>
      </c>
      <c r="B114" s="455" t="s">
        <v>1553</v>
      </c>
      <c r="C114" s="455" t="s">
        <v>2322</v>
      </c>
      <c r="D114" s="168" t="s">
        <v>1559</v>
      </c>
      <c r="E114" s="150">
        <v>34993.96</v>
      </c>
      <c r="F114" s="456">
        <v>35000</v>
      </c>
      <c r="G114" s="168">
        <v>0</v>
      </c>
      <c r="H114" s="168">
        <v>0</v>
      </c>
      <c r="N114" s="168" t="s">
        <v>102</v>
      </c>
      <c r="O114" s="455" t="s">
        <v>1553</v>
      </c>
      <c r="P114" s="455" t="s">
        <v>2322</v>
      </c>
      <c r="Q114" s="455">
        <v>28573</v>
      </c>
      <c r="R114" s="455">
        <v>21430</v>
      </c>
      <c r="S114" s="168">
        <v>353.91</v>
      </c>
      <c r="T114" s="523">
        <v>354</v>
      </c>
    </row>
    <row r="115" spans="1:22">
      <c r="A115" s="168" t="s">
        <v>103</v>
      </c>
      <c r="B115" s="455" t="s">
        <v>1553</v>
      </c>
      <c r="C115" s="455" t="s">
        <v>631</v>
      </c>
      <c r="D115" s="168" t="s">
        <v>1559</v>
      </c>
      <c r="E115" s="150">
        <v>121.04</v>
      </c>
      <c r="F115" s="456">
        <v>220</v>
      </c>
      <c r="G115" s="168">
        <v>307.48</v>
      </c>
      <c r="H115" s="168">
        <v>307</v>
      </c>
      <c r="N115" s="168" t="s">
        <v>103</v>
      </c>
      <c r="O115" s="455" t="s">
        <v>1553</v>
      </c>
      <c r="P115" s="455" t="s">
        <v>631</v>
      </c>
      <c r="Q115" s="455">
        <v>1006</v>
      </c>
      <c r="R115" s="455">
        <v>350</v>
      </c>
      <c r="S115" s="168">
        <v>4624.3999999999996</v>
      </c>
      <c r="T115" s="523">
        <v>4624</v>
      </c>
    </row>
    <row r="116" spans="1:22">
      <c r="A116" s="168" t="s">
        <v>104</v>
      </c>
      <c r="B116" s="455" t="s">
        <v>1553</v>
      </c>
      <c r="C116" s="455" t="s">
        <v>633</v>
      </c>
      <c r="D116" s="168" t="s">
        <v>1559</v>
      </c>
      <c r="E116" s="150">
        <v>13967.03</v>
      </c>
      <c r="F116" s="456">
        <v>14000</v>
      </c>
      <c r="G116" s="168">
        <v>37008.720000000001</v>
      </c>
      <c r="H116" s="168">
        <v>37008</v>
      </c>
      <c r="N116" s="168" t="s">
        <v>104</v>
      </c>
      <c r="O116" s="455" t="s">
        <v>1553</v>
      </c>
      <c r="P116" s="455" t="s">
        <v>633</v>
      </c>
      <c r="Q116" s="455">
        <v>8221</v>
      </c>
      <c r="R116" s="455">
        <v>23204</v>
      </c>
      <c r="S116" s="168">
        <v>16260.74</v>
      </c>
      <c r="T116" s="523">
        <v>16261</v>
      </c>
    </row>
    <row r="117" spans="1:22">
      <c r="A117" s="168" t="s">
        <v>105</v>
      </c>
      <c r="B117" s="455" t="s">
        <v>1553</v>
      </c>
      <c r="C117" s="455" t="s">
        <v>50</v>
      </c>
      <c r="D117" s="168" t="s">
        <v>1559</v>
      </c>
      <c r="E117" s="150">
        <v>376978.46</v>
      </c>
      <c r="F117" s="456">
        <v>377000</v>
      </c>
      <c r="G117" s="168">
        <v>365561.87</v>
      </c>
      <c r="H117" s="168">
        <v>365561</v>
      </c>
      <c r="N117" s="168" t="s">
        <v>105</v>
      </c>
      <c r="O117" s="455" t="s">
        <v>1553</v>
      </c>
      <c r="P117" s="455" t="s">
        <v>50</v>
      </c>
      <c r="Q117" s="455">
        <v>307803</v>
      </c>
      <c r="R117" s="455">
        <v>425034</v>
      </c>
      <c r="S117" s="168">
        <v>577873.99</v>
      </c>
      <c r="T117" s="523">
        <v>577873</v>
      </c>
    </row>
    <row r="118" spans="1:22">
      <c r="A118" s="168" t="s">
        <v>106</v>
      </c>
      <c r="B118" s="455" t="s">
        <v>1553</v>
      </c>
      <c r="C118" s="455" t="s">
        <v>52</v>
      </c>
      <c r="D118" s="168" t="s">
        <v>1559</v>
      </c>
      <c r="E118" s="150">
        <v>5998.05</v>
      </c>
      <c r="F118" s="456">
        <v>6000</v>
      </c>
      <c r="G118" s="168">
        <v>12662.84</v>
      </c>
      <c r="H118" s="168">
        <v>12662</v>
      </c>
      <c r="N118" s="168" t="s">
        <v>106</v>
      </c>
      <c r="O118" s="455" t="s">
        <v>1553</v>
      </c>
      <c r="P118" s="455" t="s">
        <v>52</v>
      </c>
      <c r="Q118" s="455">
        <v>4897</v>
      </c>
      <c r="R118" s="455">
        <v>19895</v>
      </c>
      <c r="S118" s="168">
        <v>3587.85</v>
      </c>
      <c r="T118" s="523">
        <v>3588</v>
      </c>
    </row>
    <row r="119" spans="1:22" ht="15.75" thickBot="1">
      <c r="A119" s="168" t="s">
        <v>107</v>
      </c>
      <c r="B119" s="455" t="s">
        <v>1553</v>
      </c>
      <c r="C119" s="455" t="s">
        <v>52</v>
      </c>
      <c r="D119" s="168" t="s">
        <v>1559</v>
      </c>
      <c r="E119" s="150">
        <v>44078.93</v>
      </c>
      <c r="F119" s="456">
        <v>44100</v>
      </c>
      <c r="G119" s="168">
        <v>61424.75</v>
      </c>
      <c r="H119" s="168">
        <v>61424.75</v>
      </c>
      <c r="N119" s="168" t="s">
        <v>107</v>
      </c>
      <c r="O119" s="455" t="s">
        <v>1553</v>
      </c>
      <c r="P119" s="455" t="s">
        <v>52</v>
      </c>
      <c r="Q119" s="455">
        <v>35990</v>
      </c>
      <c r="R119" s="455">
        <v>26993</v>
      </c>
      <c r="S119" s="168">
        <v>111929.72</v>
      </c>
      <c r="T119" s="523">
        <v>111929</v>
      </c>
    </row>
    <row r="120" spans="1:22" ht="16.5" thickTop="1" thickBot="1">
      <c r="A120" s="554" t="s">
        <v>2668</v>
      </c>
      <c r="B120" s="555"/>
      <c r="C120" s="555"/>
      <c r="D120" s="556"/>
      <c r="E120" s="560">
        <f>SUM(E91:E119)</f>
        <v>3389182.36</v>
      </c>
      <c r="F120" s="560">
        <f>SUM(F91:F119)</f>
        <v>3627991</v>
      </c>
      <c r="G120" s="560">
        <f>SUM(G91:G119)</f>
        <v>4837709.32</v>
      </c>
      <c r="H120" s="560">
        <f>SUM(H91:H119)</f>
        <v>4837680.75</v>
      </c>
      <c r="N120" s="554" t="s">
        <v>2668</v>
      </c>
      <c r="O120" s="555"/>
      <c r="P120" s="555"/>
      <c r="Q120" s="555">
        <f>SUM(Q91:Q119)</f>
        <v>7326312</v>
      </c>
      <c r="R120" s="555">
        <f>SUM(R91:R119)</f>
        <v>7415833</v>
      </c>
      <c r="S120" s="560">
        <f>SUM(S91:S119)</f>
        <v>5581123.8800000008</v>
      </c>
      <c r="T120" s="558">
        <f>SUM(T91:T119)</f>
        <v>5567637</v>
      </c>
      <c r="U120" s="603">
        <f>S120</f>
        <v>5581123.8800000008</v>
      </c>
      <c r="V120" s="603">
        <f>T120</f>
        <v>5567637</v>
      </c>
    </row>
    <row r="121" spans="1:22" ht="15.75" thickTop="1">
      <c r="B121" s="455"/>
      <c r="E121" s="150"/>
    </row>
    <row r="122" spans="1:22">
      <c r="A122" s="168" t="s">
        <v>108</v>
      </c>
      <c r="B122" s="455" t="s">
        <v>1553</v>
      </c>
      <c r="C122" s="455" t="s">
        <v>2326</v>
      </c>
      <c r="D122" s="168" t="s">
        <v>1559</v>
      </c>
      <c r="E122" s="150">
        <v>0</v>
      </c>
      <c r="F122" s="456">
        <v>0</v>
      </c>
      <c r="G122" s="168">
        <v>0</v>
      </c>
      <c r="H122" s="168">
        <v>0</v>
      </c>
      <c r="N122" s="168" t="s">
        <v>108</v>
      </c>
      <c r="O122" s="455" t="s">
        <v>1553</v>
      </c>
      <c r="P122" s="455" t="s">
        <v>2326</v>
      </c>
      <c r="Q122" s="455"/>
      <c r="R122" s="455"/>
      <c r="S122" s="168">
        <v>0</v>
      </c>
      <c r="T122" s="523">
        <v>0</v>
      </c>
    </row>
    <row r="123" spans="1:22">
      <c r="A123" s="168" t="s">
        <v>109</v>
      </c>
      <c r="B123" s="455" t="s">
        <v>1553</v>
      </c>
      <c r="C123" s="455" t="s">
        <v>110</v>
      </c>
      <c r="D123" s="168" t="s">
        <v>1559</v>
      </c>
      <c r="E123" s="150">
        <v>0</v>
      </c>
      <c r="F123" s="456">
        <v>0</v>
      </c>
      <c r="G123" s="168">
        <v>0</v>
      </c>
      <c r="H123" s="168">
        <v>0</v>
      </c>
      <c r="N123" s="168" t="s">
        <v>109</v>
      </c>
      <c r="O123" s="455" t="s">
        <v>1553</v>
      </c>
      <c r="P123" s="455" t="s">
        <v>110</v>
      </c>
      <c r="Q123" s="455"/>
      <c r="R123" s="455"/>
      <c r="S123" s="168">
        <v>0</v>
      </c>
      <c r="T123" s="523">
        <v>0</v>
      </c>
    </row>
    <row r="124" spans="1:22">
      <c r="A124" s="168" t="s">
        <v>112</v>
      </c>
      <c r="B124" s="455" t="s">
        <v>1549</v>
      </c>
      <c r="C124" s="455" t="s">
        <v>75</v>
      </c>
      <c r="D124" s="168" t="s">
        <v>1560</v>
      </c>
      <c r="E124" s="150">
        <v>0</v>
      </c>
      <c r="F124" s="456">
        <v>0</v>
      </c>
      <c r="G124" s="168">
        <v>0</v>
      </c>
      <c r="H124" s="168">
        <v>0</v>
      </c>
      <c r="N124" s="168" t="s">
        <v>112</v>
      </c>
      <c r="O124" s="455" t="s">
        <v>1549</v>
      </c>
      <c r="P124" s="455" t="s">
        <v>75</v>
      </c>
      <c r="Q124" s="455"/>
      <c r="R124" s="455"/>
      <c r="S124" s="168">
        <v>0</v>
      </c>
      <c r="T124" s="523">
        <v>0</v>
      </c>
    </row>
    <row r="125" spans="1:22">
      <c r="A125" s="168" t="s">
        <v>113</v>
      </c>
      <c r="B125" s="455" t="s">
        <v>1549</v>
      </c>
      <c r="C125" s="455" t="s">
        <v>60</v>
      </c>
      <c r="D125" s="168" t="s">
        <v>1560</v>
      </c>
      <c r="E125" s="150">
        <v>0</v>
      </c>
      <c r="F125" s="456">
        <v>0</v>
      </c>
      <c r="G125" s="168">
        <v>0</v>
      </c>
      <c r="H125" s="168">
        <v>0</v>
      </c>
      <c r="N125" s="168" t="s">
        <v>113</v>
      </c>
      <c r="O125" s="455" t="s">
        <v>1549</v>
      </c>
      <c r="P125" s="455" t="s">
        <v>60</v>
      </c>
      <c r="Q125" s="455"/>
      <c r="R125" s="455"/>
      <c r="S125" s="168">
        <v>0</v>
      </c>
      <c r="T125" s="523">
        <v>0</v>
      </c>
    </row>
    <row r="126" spans="1:22">
      <c r="A126" s="168" t="s">
        <v>114</v>
      </c>
      <c r="B126" s="455" t="s">
        <v>1549</v>
      </c>
      <c r="C126" s="455" t="s">
        <v>767</v>
      </c>
      <c r="D126" s="168" t="s">
        <v>1560</v>
      </c>
      <c r="E126" s="150">
        <v>0</v>
      </c>
      <c r="F126" s="456">
        <v>0</v>
      </c>
      <c r="G126" s="168">
        <v>0</v>
      </c>
      <c r="H126" s="168">
        <v>0</v>
      </c>
      <c r="N126" s="168" t="s">
        <v>114</v>
      </c>
      <c r="O126" s="455" t="s">
        <v>1549</v>
      </c>
      <c r="P126" s="455" t="s">
        <v>767</v>
      </c>
      <c r="Q126" s="455"/>
      <c r="R126" s="455"/>
      <c r="S126" s="168">
        <v>0</v>
      </c>
      <c r="T126" s="523">
        <v>0</v>
      </c>
    </row>
    <row r="127" spans="1:22">
      <c r="A127" s="168" t="s">
        <v>115</v>
      </c>
      <c r="B127" s="455" t="s">
        <v>1549</v>
      </c>
      <c r="C127" s="455" t="s">
        <v>84</v>
      </c>
      <c r="D127" s="168" t="s">
        <v>1560</v>
      </c>
      <c r="E127" s="150">
        <v>0</v>
      </c>
      <c r="F127" s="456">
        <v>0</v>
      </c>
      <c r="G127" s="168">
        <v>0</v>
      </c>
      <c r="H127" s="168">
        <v>0</v>
      </c>
      <c r="N127" s="168" t="s">
        <v>115</v>
      </c>
      <c r="O127" s="455" t="s">
        <v>1549</v>
      </c>
      <c r="P127" s="455" t="s">
        <v>84</v>
      </c>
      <c r="Q127" s="455"/>
      <c r="R127" s="455"/>
      <c r="S127" s="168">
        <v>0</v>
      </c>
      <c r="T127" s="523">
        <v>0</v>
      </c>
    </row>
    <row r="128" spans="1:22">
      <c r="A128" s="168" t="s">
        <v>116</v>
      </c>
      <c r="B128" s="455" t="s">
        <v>1549</v>
      </c>
      <c r="C128" s="455" t="s">
        <v>575</v>
      </c>
      <c r="D128" s="168" t="s">
        <v>1560</v>
      </c>
      <c r="E128" s="150">
        <v>0</v>
      </c>
      <c r="F128" s="456">
        <v>0</v>
      </c>
      <c r="G128" s="168">
        <v>0</v>
      </c>
      <c r="H128" s="168">
        <v>0</v>
      </c>
      <c r="N128" s="168" t="s">
        <v>116</v>
      </c>
      <c r="O128" s="455" t="s">
        <v>1549</v>
      </c>
      <c r="P128" s="455" t="s">
        <v>575</v>
      </c>
      <c r="Q128" s="455"/>
      <c r="R128" s="455"/>
      <c r="S128" s="168">
        <v>0</v>
      </c>
      <c r="T128" s="523">
        <v>0</v>
      </c>
    </row>
    <row r="129" spans="1:20">
      <c r="A129" s="168" t="s">
        <v>117</v>
      </c>
      <c r="B129" s="455" t="s">
        <v>1549</v>
      </c>
      <c r="C129" s="455" t="s">
        <v>575</v>
      </c>
      <c r="D129" s="168" t="s">
        <v>1560</v>
      </c>
      <c r="E129" s="150">
        <v>0</v>
      </c>
      <c r="F129" s="456">
        <v>0</v>
      </c>
      <c r="G129" s="168">
        <v>0</v>
      </c>
      <c r="H129" s="168">
        <v>0</v>
      </c>
      <c r="N129" s="168" t="s">
        <v>117</v>
      </c>
      <c r="O129" s="455" t="s">
        <v>1549</v>
      </c>
      <c r="P129" s="455" t="s">
        <v>575</v>
      </c>
      <c r="Q129" s="455"/>
      <c r="R129" s="455"/>
      <c r="S129" s="168">
        <v>0</v>
      </c>
      <c r="T129" s="523">
        <v>0</v>
      </c>
    </row>
    <row r="130" spans="1:20">
      <c r="A130" s="168" t="s">
        <v>118</v>
      </c>
      <c r="B130" s="455" t="s">
        <v>1549</v>
      </c>
      <c r="C130" s="455" t="s">
        <v>1807</v>
      </c>
      <c r="D130" s="168" t="s">
        <v>1560</v>
      </c>
      <c r="E130" s="150">
        <v>0</v>
      </c>
      <c r="F130" s="456">
        <v>0</v>
      </c>
      <c r="G130" s="168">
        <v>0</v>
      </c>
      <c r="H130" s="168">
        <v>0</v>
      </c>
      <c r="N130" s="168" t="s">
        <v>118</v>
      </c>
      <c r="O130" s="455" t="s">
        <v>1549</v>
      </c>
      <c r="P130" s="455" t="s">
        <v>1807</v>
      </c>
      <c r="Q130" s="455"/>
      <c r="R130" s="455"/>
      <c r="S130" s="168">
        <v>0</v>
      </c>
      <c r="T130" s="523">
        <v>0</v>
      </c>
    </row>
    <row r="131" spans="1:20">
      <c r="A131" s="168" t="s">
        <v>119</v>
      </c>
      <c r="B131" s="455" t="s">
        <v>1553</v>
      </c>
      <c r="C131" s="455" t="s">
        <v>612</v>
      </c>
      <c r="D131" s="168" t="s">
        <v>1560</v>
      </c>
      <c r="E131" s="150">
        <v>0</v>
      </c>
      <c r="F131" s="456">
        <v>0</v>
      </c>
      <c r="G131" s="168">
        <v>0</v>
      </c>
      <c r="H131" s="168">
        <v>0</v>
      </c>
      <c r="N131" s="168" t="s">
        <v>119</v>
      </c>
      <c r="O131" s="455" t="s">
        <v>1553</v>
      </c>
      <c r="P131" s="455" t="s">
        <v>612</v>
      </c>
      <c r="Q131" s="455"/>
      <c r="R131" s="455"/>
      <c r="S131" s="168">
        <v>0</v>
      </c>
      <c r="T131" s="523">
        <v>0</v>
      </c>
    </row>
    <row r="132" spans="1:20">
      <c r="A132" s="168" t="s">
        <v>120</v>
      </c>
      <c r="B132" s="455" t="s">
        <v>1553</v>
      </c>
      <c r="C132" s="455" t="s">
        <v>99</v>
      </c>
      <c r="D132" s="168" t="s">
        <v>1560</v>
      </c>
      <c r="E132" s="150">
        <v>0</v>
      </c>
      <c r="F132" s="456">
        <v>0</v>
      </c>
      <c r="G132" s="168">
        <v>0</v>
      </c>
      <c r="H132" s="168">
        <v>0</v>
      </c>
      <c r="N132" s="168" t="s">
        <v>120</v>
      </c>
      <c r="O132" s="455" t="s">
        <v>1553</v>
      </c>
      <c r="P132" s="455" t="s">
        <v>99</v>
      </c>
      <c r="Q132" s="455"/>
      <c r="R132" s="455"/>
      <c r="S132" s="168">
        <v>0</v>
      </c>
      <c r="T132" s="523">
        <v>0</v>
      </c>
    </row>
    <row r="133" spans="1:20">
      <c r="A133" s="168" t="s">
        <v>121</v>
      </c>
      <c r="B133" s="455" t="s">
        <v>1553</v>
      </c>
      <c r="C133" s="455" t="s">
        <v>628</v>
      </c>
      <c r="D133" s="168" t="s">
        <v>1560</v>
      </c>
      <c r="E133" s="150">
        <v>1479</v>
      </c>
      <c r="F133" s="456">
        <v>1500</v>
      </c>
      <c r="G133" s="168">
        <v>0</v>
      </c>
      <c r="H133" s="168">
        <v>0</v>
      </c>
      <c r="N133" s="168" t="s">
        <v>121</v>
      </c>
      <c r="O133" s="455" t="s">
        <v>1553</v>
      </c>
      <c r="P133" s="455" t="s">
        <v>628</v>
      </c>
      <c r="Q133" s="455"/>
      <c r="R133" s="455"/>
      <c r="S133" s="168">
        <v>0</v>
      </c>
      <c r="T133" s="523">
        <v>0</v>
      </c>
    </row>
    <row r="134" spans="1:20">
      <c r="A134" s="168" t="s">
        <v>122</v>
      </c>
      <c r="B134" s="455" t="s">
        <v>1553</v>
      </c>
      <c r="C134" s="455" t="s">
        <v>631</v>
      </c>
      <c r="D134" s="168" t="s">
        <v>1560</v>
      </c>
      <c r="E134" s="150">
        <v>0</v>
      </c>
      <c r="F134" s="456">
        <v>0</v>
      </c>
      <c r="G134" s="168">
        <v>0</v>
      </c>
      <c r="H134" s="168">
        <v>0</v>
      </c>
      <c r="N134" s="168" t="s">
        <v>122</v>
      </c>
      <c r="O134" s="455" t="s">
        <v>1553</v>
      </c>
      <c r="P134" s="455" t="s">
        <v>631</v>
      </c>
      <c r="Q134" s="455"/>
      <c r="R134" s="455"/>
      <c r="S134" s="168">
        <v>0</v>
      </c>
      <c r="T134" s="523">
        <v>0</v>
      </c>
    </row>
    <row r="135" spans="1:20">
      <c r="A135" s="168" t="s">
        <v>123</v>
      </c>
      <c r="B135" s="455" t="s">
        <v>1553</v>
      </c>
      <c r="C135" s="455" t="s">
        <v>633</v>
      </c>
      <c r="D135" s="168" t="s">
        <v>1560</v>
      </c>
      <c r="E135" s="150">
        <v>0</v>
      </c>
      <c r="F135" s="456">
        <v>0</v>
      </c>
      <c r="G135" s="168">
        <v>0</v>
      </c>
      <c r="H135" s="168">
        <v>0</v>
      </c>
      <c r="N135" s="168" t="s">
        <v>123</v>
      </c>
      <c r="O135" s="455" t="s">
        <v>1553</v>
      </c>
      <c r="P135" s="455" t="s">
        <v>633</v>
      </c>
      <c r="Q135" s="455"/>
      <c r="R135" s="455"/>
      <c r="S135" s="168">
        <v>0</v>
      </c>
      <c r="T135" s="523">
        <v>0</v>
      </c>
    </row>
    <row r="136" spans="1:20">
      <c r="A136" s="168" t="s">
        <v>124</v>
      </c>
      <c r="B136" s="455" t="s">
        <v>1553</v>
      </c>
      <c r="C136" s="455" t="s">
        <v>50</v>
      </c>
      <c r="D136" s="168" t="s">
        <v>1560</v>
      </c>
      <c r="E136" s="150">
        <v>2324.46</v>
      </c>
      <c r="F136" s="456">
        <v>2500</v>
      </c>
      <c r="G136" s="168">
        <v>0</v>
      </c>
      <c r="H136" s="168">
        <v>0</v>
      </c>
      <c r="N136" s="168" t="s">
        <v>124</v>
      </c>
      <c r="O136" s="455" t="s">
        <v>1553</v>
      </c>
      <c r="P136" s="455" t="s">
        <v>50</v>
      </c>
      <c r="Q136" s="455"/>
      <c r="R136" s="455"/>
      <c r="S136" s="168">
        <v>0</v>
      </c>
      <c r="T136" s="523">
        <v>0</v>
      </c>
    </row>
    <row r="137" spans="1:20">
      <c r="A137" s="168" t="s">
        <v>125</v>
      </c>
      <c r="B137" s="455" t="s">
        <v>1553</v>
      </c>
      <c r="C137" s="455" t="s">
        <v>52</v>
      </c>
      <c r="D137" s="168" t="s">
        <v>1560</v>
      </c>
      <c r="E137" s="150">
        <v>0</v>
      </c>
      <c r="F137" s="456">
        <v>0</v>
      </c>
      <c r="G137" s="168">
        <v>0</v>
      </c>
      <c r="H137" s="168">
        <v>0</v>
      </c>
      <c r="N137" s="168" t="s">
        <v>125</v>
      </c>
      <c r="O137" s="455" t="s">
        <v>1553</v>
      </c>
      <c r="P137" s="455" t="s">
        <v>52</v>
      </c>
      <c r="Q137" s="455"/>
      <c r="R137" s="455"/>
      <c r="S137" s="168">
        <v>0</v>
      </c>
      <c r="T137" s="523">
        <v>0</v>
      </c>
    </row>
    <row r="138" spans="1:20" ht="15.75" thickBot="1">
      <c r="A138" s="168" t="s">
        <v>126</v>
      </c>
      <c r="B138" s="455" t="s">
        <v>1553</v>
      </c>
      <c r="C138" s="455" t="s">
        <v>52</v>
      </c>
      <c r="D138" s="168" t="s">
        <v>1560</v>
      </c>
      <c r="E138" s="150">
        <v>0</v>
      </c>
      <c r="F138" s="456">
        <v>0</v>
      </c>
      <c r="G138" s="168">
        <v>0</v>
      </c>
      <c r="H138" s="168">
        <v>0</v>
      </c>
      <c r="N138" s="168" t="s">
        <v>126</v>
      </c>
      <c r="O138" s="455" t="s">
        <v>1553</v>
      </c>
      <c r="P138" s="455" t="s">
        <v>52</v>
      </c>
      <c r="Q138" s="455"/>
      <c r="R138" s="455"/>
      <c r="S138" s="168">
        <v>0</v>
      </c>
      <c r="T138" s="523">
        <v>0</v>
      </c>
    </row>
    <row r="139" spans="1:20" ht="16.5" thickTop="1" thickBot="1">
      <c r="A139" s="554" t="s">
        <v>2668</v>
      </c>
      <c r="B139" s="555"/>
      <c r="C139" s="555"/>
      <c r="D139" s="556"/>
      <c r="E139" s="560">
        <f>SUM(E122:E138)</f>
        <v>3803.46</v>
      </c>
      <c r="F139" s="560">
        <f>SUM(F122:F138)</f>
        <v>4000</v>
      </c>
      <c r="G139" s="560">
        <f>SUM(G122:G138)</f>
        <v>0</v>
      </c>
      <c r="H139" s="560">
        <f>SUM(H122:H138)</f>
        <v>0</v>
      </c>
      <c r="N139" s="554" t="s">
        <v>2668</v>
      </c>
      <c r="O139" s="555"/>
      <c r="P139" s="555"/>
      <c r="Q139" s="555"/>
      <c r="R139" s="555"/>
      <c r="S139" s="560">
        <f>SUM(S122:S138)</f>
        <v>0</v>
      </c>
      <c r="T139" s="558">
        <f>SUM(T122:T138)</f>
        <v>0</v>
      </c>
    </row>
    <row r="140" spans="1:20" ht="15.75" thickTop="1">
      <c r="B140" s="455"/>
      <c r="E140" s="150"/>
    </row>
    <row r="141" spans="1:20">
      <c r="A141" s="168" t="s">
        <v>128</v>
      </c>
      <c r="B141" s="455" t="s">
        <v>1549</v>
      </c>
      <c r="C141" s="455" t="s">
        <v>75</v>
      </c>
      <c r="D141" s="168" t="s">
        <v>1561</v>
      </c>
      <c r="E141" s="150">
        <v>0</v>
      </c>
      <c r="F141" s="456">
        <v>49000</v>
      </c>
      <c r="G141" s="168">
        <v>0</v>
      </c>
      <c r="H141" s="168">
        <v>0</v>
      </c>
      <c r="N141" s="168" t="s">
        <v>128</v>
      </c>
      <c r="O141" s="455" t="s">
        <v>1549</v>
      </c>
      <c r="P141" s="455" t="s">
        <v>75</v>
      </c>
      <c r="Q141" s="455">
        <v>378901</v>
      </c>
      <c r="R141" s="455">
        <v>63150</v>
      </c>
      <c r="S141" s="168">
        <v>0</v>
      </c>
      <c r="T141" s="523">
        <v>0</v>
      </c>
    </row>
    <row r="142" spans="1:20">
      <c r="A142" s="168" t="s">
        <v>129</v>
      </c>
      <c r="B142" s="455" t="s">
        <v>1549</v>
      </c>
      <c r="C142" s="455" t="s">
        <v>60</v>
      </c>
      <c r="D142" s="168" t="s">
        <v>1561</v>
      </c>
      <c r="E142" s="150">
        <v>0</v>
      </c>
      <c r="F142" s="456">
        <v>0</v>
      </c>
      <c r="G142" s="168">
        <v>0</v>
      </c>
      <c r="H142" s="168">
        <v>0</v>
      </c>
      <c r="N142" s="168" t="s">
        <v>129</v>
      </c>
      <c r="O142" s="455" t="s">
        <v>1549</v>
      </c>
      <c r="P142" s="455" t="s">
        <v>60</v>
      </c>
      <c r="Q142" s="455"/>
      <c r="R142" s="455"/>
      <c r="S142" s="168">
        <v>0</v>
      </c>
      <c r="T142" s="523">
        <v>0</v>
      </c>
    </row>
    <row r="143" spans="1:20">
      <c r="A143" s="168" t="s">
        <v>130</v>
      </c>
      <c r="B143" s="455" t="s">
        <v>1549</v>
      </c>
      <c r="C143" s="455" t="s">
        <v>84</v>
      </c>
      <c r="D143" s="168" t="s">
        <v>1561</v>
      </c>
      <c r="E143" s="150">
        <v>0</v>
      </c>
      <c r="F143" s="456">
        <v>18000</v>
      </c>
      <c r="G143" s="168">
        <v>0</v>
      </c>
      <c r="H143" s="168">
        <v>0</v>
      </c>
      <c r="N143" s="168" t="s">
        <v>130</v>
      </c>
      <c r="O143" s="455" t="s">
        <v>1549</v>
      </c>
      <c r="P143" s="455" t="s">
        <v>84</v>
      </c>
      <c r="Q143" s="455">
        <v>108000</v>
      </c>
      <c r="R143" s="455">
        <v>18000</v>
      </c>
      <c r="S143" s="168">
        <v>0</v>
      </c>
      <c r="T143" s="523">
        <v>0</v>
      </c>
    </row>
    <row r="144" spans="1:20">
      <c r="B144" s="455"/>
      <c r="E144" s="150"/>
      <c r="N144" s="561" t="s">
        <v>3717</v>
      </c>
      <c r="O144" s="455"/>
      <c r="P144" s="455"/>
      <c r="Q144" s="455">
        <v>1802</v>
      </c>
      <c r="R144" s="455">
        <v>300</v>
      </c>
      <c r="T144" s="523"/>
    </row>
    <row r="145" spans="1:20">
      <c r="A145" s="168" t="s">
        <v>131</v>
      </c>
      <c r="B145" s="455" t="s">
        <v>1553</v>
      </c>
      <c r="C145" s="455" t="s">
        <v>612</v>
      </c>
      <c r="D145" s="168" t="s">
        <v>1561</v>
      </c>
      <c r="E145" s="150">
        <v>0</v>
      </c>
      <c r="F145" s="456">
        <v>7000</v>
      </c>
      <c r="G145" s="168">
        <v>0</v>
      </c>
      <c r="H145" s="168">
        <v>0</v>
      </c>
      <c r="N145" s="168" t="s">
        <v>131</v>
      </c>
      <c r="O145" s="455" t="s">
        <v>1553</v>
      </c>
      <c r="P145" s="455" t="s">
        <v>612</v>
      </c>
      <c r="Q145" s="455">
        <v>27622</v>
      </c>
      <c r="R145" s="455">
        <v>4604</v>
      </c>
      <c r="S145" s="168">
        <v>0</v>
      </c>
      <c r="T145" s="523">
        <v>0</v>
      </c>
    </row>
    <row r="146" spans="1:20">
      <c r="A146" s="168" t="s">
        <v>1653</v>
      </c>
      <c r="B146" s="455" t="s">
        <v>1553</v>
      </c>
      <c r="C146" s="455" t="s">
        <v>99</v>
      </c>
      <c r="D146" s="168" t="s">
        <v>1561</v>
      </c>
      <c r="E146" s="150">
        <v>0</v>
      </c>
      <c r="F146" s="456">
        <v>0</v>
      </c>
      <c r="G146" s="168">
        <v>0</v>
      </c>
      <c r="H146" s="168">
        <v>0</v>
      </c>
      <c r="N146" s="168" t="s">
        <v>1653</v>
      </c>
      <c r="O146" s="455" t="s">
        <v>1553</v>
      </c>
      <c r="P146" s="455" t="s">
        <v>99</v>
      </c>
      <c r="Q146" s="455">
        <v>520436</v>
      </c>
      <c r="R146" s="455">
        <v>86739</v>
      </c>
      <c r="S146" s="168">
        <v>0</v>
      </c>
      <c r="T146" s="523">
        <v>0</v>
      </c>
    </row>
    <row r="147" spans="1:20">
      <c r="A147" s="168" t="s">
        <v>1654</v>
      </c>
      <c r="B147" s="455" t="s">
        <v>1553</v>
      </c>
      <c r="C147" s="455" t="s">
        <v>616</v>
      </c>
      <c r="D147" s="168" t="s">
        <v>1561</v>
      </c>
      <c r="E147" s="150">
        <v>1578.45</v>
      </c>
      <c r="F147" s="456">
        <v>1600</v>
      </c>
      <c r="G147" s="168">
        <v>0</v>
      </c>
      <c r="H147" s="168">
        <v>0</v>
      </c>
      <c r="N147" s="168" t="s">
        <v>1654</v>
      </c>
      <c r="O147" s="455" t="s">
        <v>1553</v>
      </c>
      <c r="P147" s="455" t="s">
        <v>616</v>
      </c>
      <c r="Q147" s="455">
        <v>5030</v>
      </c>
      <c r="R147" s="455">
        <v>838</v>
      </c>
      <c r="S147" s="168">
        <v>0</v>
      </c>
      <c r="T147" s="523">
        <v>0</v>
      </c>
    </row>
    <row r="148" spans="1:20">
      <c r="A148" s="168" t="s">
        <v>1655</v>
      </c>
      <c r="B148" s="455" t="s">
        <v>1553</v>
      </c>
      <c r="C148" s="455" t="s">
        <v>631</v>
      </c>
      <c r="D148" s="168" t="s">
        <v>1561</v>
      </c>
      <c r="E148" s="150">
        <v>0</v>
      </c>
      <c r="F148" s="456">
        <v>0</v>
      </c>
      <c r="G148" s="168">
        <v>0</v>
      </c>
      <c r="H148" s="168">
        <v>0</v>
      </c>
      <c r="N148" s="168" t="s">
        <v>1655</v>
      </c>
      <c r="O148" s="455" t="s">
        <v>1553</v>
      </c>
      <c r="P148" s="455" t="s">
        <v>631</v>
      </c>
      <c r="Q148" s="455">
        <v>8046</v>
      </c>
      <c r="R148" s="455">
        <v>1341</v>
      </c>
      <c r="S148" s="168">
        <v>0</v>
      </c>
      <c r="T148" s="523">
        <v>0</v>
      </c>
    </row>
    <row r="149" spans="1:20">
      <c r="A149" s="168" t="s">
        <v>1656</v>
      </c>
      <c r="B149" s="455" t="s">
        <v>1553</v>
      </c>
      <c r="C149" s="455" t="s">
        <v>633</v>
      </c>
      <c r="D149" s="168" t="s">
        <v>1561</v>
      </c>
      <c r="E149" s="150">
        <v>0</v>
      </c>
      <c r="F149" s="456">
        <v>3400</v>
      </c>
      <c r="G149" s="168">
        <v>0</v>
      </c>
      <c r="H149" s="168">
        <v>0</v>
      </c>
      <c r="N149" s="168" t="s">
        <v>1656</v>
      </c>
      <c r="O149" s="455" t="s">
        <v>1553</v>
      </c>
      <c r="P149" s="455" t="s">
        <v>633</v>
      </c>
      <c r="Q149" s="455">
        <v>30174</v>
      </c>
      <c r="R149" s="455">
        <v>5029</v>
      </c>
      <c r="S149" s="168">
        <v>0</v>
      </c>
      <c r="T149" s="523">
        <v>0</v>
      </c>
    </row>
    <row r="150" spans="1:20">
      <c r="A150" s="168" t="s">
        <v>1657</v>
      </c>
      <c r="B150" s="455" t="s">
        <v>1553</v>
      </c>
      <c r="C150" s="455" t="s">
        <v>50</v>
      </c>
      <c r="D150" s="168" t="s">
        <v>1561</v>
      </c>
      <c r="E150" s="150">
        <v>0</v>
      </c>
      <c r="F150" s="456">
        <v>5000</v>
      </c>
      <c r="G150" s="168">
        <v>0</v>
      </c>
      <c r="H150" s="168">
        <v>0</v>
      </c>
      <c r="N150" s="168" t="s">
        <v>1657</v>
      </c>
      <c r="O150" s="455" t="s">
        <v>1553</v>
      </c>
      <c r="P150" s="455" t="s">
        <v>50</v>
      </c>
      <c r="Q150" s="455">
        <v>55319</v>
      </c>
      <c r="R150" s="455">
        <v>9220</v>
      </c>
      <c r="S150" s="168">
        <v>0</v>
      </c>
      <c r="T150" s="523">
        <v>0</v>
      </c>
    </row>
    <row r="151" spans="1:20">
      <c r="A151" s="168" t="s">
        <v>1658</v>
      </c>
      <c r="B151" s="455" t="s">
        <v>1553</v>
      </c>
      <c r="C151" s="455" t="s">
        <v>52</v>
      </c>
      <c r="D151" s="168" t="s">
        <v>1561</v>
      </c>
      <c r="E151" s="150">
        <v>0</v>
      </c>
      <c r="F151" s="456">
        <v>1500</v>
      </c>
      <c r="G151" s="168">
        <v>0</v>
      </c>
      <c r="H151" s="168">
        <v>0</v>
      </c>
      <c r="N151" s="168" t="s">
        <v>1658</v>
      </c>
      <c r="O151" s="455" t="s">
        <v>1553</v>
      </c>
      <c r="P151" s="455" t="s">
        <v>52</v>
      </c>
      <c r="Q151" s="455">
        <v>10058</v>
      </c>
      <c r="R151" s="455">
        <v>1676</v>
      </c>
      <c r="S151" s="168">
        <v>0</v>
      </c>
      <c r="T151" s="523">
        <v>0</v>
      </c>
    </row>
    <row r="152" spans="1:20" ht="15.75" thickBot="1">
      <c r="A152" s="168" t="s">
        <v>1659</v>
      </c>
      <c r="B152" s="455" t="s">
        <v>1553</v>
      </c>
      <c r="C152" s="455" t="s">
        <v>52</v>
      </c>
      <c r="D152" s="168" t="s">
        <v>1561</v>
      </c>
      <c r="E152" s="150">
        <v>0</v>
      </c>
      <c r="F152" s="456">
        <v>3000</v>
      </c>
      <c r="G152" s="168">
        <v>0</v>
      </c>
      <c r="H152" s="168">
        <v>0</v>
      </c>
      <c r="N152" s="168" t="s">
        <v>1659</v>
      </c>
      <c r="O152" s="455" t="s">
        <v>1553</v>
      </c>
      <c r="P152" s="455" t="s">
        <v>52</v>
      </c>
      <c r="Q152" s="455">
        <v>35154</v>
      </c>
      <c r="R152" s="455">
        <v>5859</v>
      </c>
      <c r="S152" s="168">
        <v>0</v>
      </c>
      <c r="T152" s="523">
        <v>0</v>
      </c>
    </row>
    <row r="153" spans="1:20" ht="16.5" thickTop="1" thickBot="1">
      <c r="A153" s="554" t="s">
        <v>2668</v>
      </c>
      <c r="B153" s="555"/>
      <c r="C153" s="555"/>
      <c r="D153" s="556"/>
      <c r="E153" s="560">
        <f>SUM(E141:E152)</f>
        <v>1578.45</v>
      </c>
      <c r="F153" s="560">
        <f>SUM(F141:F152)</f>
        <v>88500</v>
      </c>
      <c r="G153" s="560">
        <f>SUM(G141:G152)</f>
        <v>0</v>
      </c>
      <c r="H153" s="560">
        <f>SUM(H141:H152)</f>
        <v>0</v>
      </c>
      <c r="N153" s="554" t="s">
        <v>2668</v>
      </c>
      <c r="O153" s="555"/>
      <c r="P153" s="555"/>
      <c r="Q153" s="555">
        <f>SUM(Q141:Q152)</f>
        <v>1180542</v>
      </c>
      <c r="R153" s="555">
        <f>SUM(R141:R152)</f>
        <v>196756</v>
      </c>
      <c r="S153" s="560">
        <f>SUM(S141:S152)</f>
        <v>0</v>
      </c>
      <c r="T153" s="558">
        <f>SUM(T141:T152)</f>
        <v>0</v>
      </c>
    </row>
    <row r="154" spans="1:20" ht="15.75" thickTop="1">
      <c r="B154" s="455"/>
      <c r="E154" s="150"/>
    </row>
    <row r="155" spans="1:20" ht="15.75" thickBot="1">
      <c r="A155" s="168" t="s">
        <v>1661</v>
      </c>
      <c r="B155" s="455" t="s">
        <v>32</v>
      </c>
      <c r="C155" s="455" t="s">
        <v>568</v>
      </c>
      <c r="D155" s="168" t="s">
        <v>1562</v>
      </c>
      <c r="E155" s="150">
        <v>-567000</v>
      </c>
      <c r="F155" s="456">
        <v>0</v>
      </c>
      <c r="G155" s="168">
        <v>-333000</v>
      </c>
      <c r="H155" s="168">
        <v>0</v>
      </c>
      <c r="I155" s="168" t="s">
        <v>45</v>
      </c>
      <c r="N155" s="168" t="s">
        <v>1661</v>
      </c>
      <c r="O155" s="455" t="s">
        <v>32</v>
      </c>
      <c r="P155" s="455" t="s">
        <v>568</v>
      </c>
      <c r="Q155" s="455"/>
      <c r="R155" s="455"/>
      <c r="S155" s="168">
        <v>0</v>
      </c>
      <c r="T155" s="523">
        <v>0</v>
      </c>
    </row>
    <row r="156" spans="1:20" ht="16.5" thickTop="1" thickBot="1">
      <c r="A156" s="554" t="s">
        <v>2668</v>
      </c>
      <c r="B156" s="555"/>
      <c r="C156" s="555"/>
      <c r="D156" s="556"/>
      <c r="E156" s="560">
        <f>SUM(E155)</f>
        <v>-567000</v>
      </c>
      <c r="F156" s="560">
        <f>SUM(F155)</f>
        <v>0</v>
      </c>
      <c r="G156" s="560">
        <f>SUM(G155)</f>
        <v>-333000</v>
      </c>
      <c r="H156" s="560">
        <f>SUM(H155)</f>
        <v>0</v>
      </c>
      <c r="N156" s="554" t="s">
        <v>2668</v>
      </c>
      <c r="O156" s="555"/>
      <c r="P156" s="555"/>
      <c r="Q156" s="555"/>
      <c r="R156" s="555"/>
      <c r="S156" s="560">
        <f>SUM(S155)</f>
        <v>0</v>
      </c>
      <c r="T156" s="558">
        <f>SUM(T155)</f>
        <v>0</v>
      </c>
    </row>
    <row r="157" spans="1:20" ht="15.75" thickTop="1">
      <c r="B157" s="455"/>
      <c r="E157" s="150"/>
      <c r="O157" s="455"/>
      <c r="P157" s="455"/>
      <c r="Q157" s="455"/>
      <c r="R157" s="455"/>
      <c r="T157" s="523"/>
    </row>
    <row r="158" spans="1:20">
      <c r="A158" s="168" t="s">
        <v>1662</v>
      </c>
      <c r="B158" s="455" t="s">
        <v>1553</v>
      </c>
      <c r="C158" s="455" t="s">
        <v>592</v>
      </c>
      <c r="D158" s="168" t="s">
        <v>1562</v>
      </c>
      <c r="E158" s="150">
        <v>0</v>
      </c>
      <c r="F158" s="456">
        <v>0</v>
      </c>
      <c r="G158" s="168">
        <v>0</v>
      </c>
      <c r="H158" s="168">
        <v>0</v>
      </c>
      <c r="N158" s="168" t="s">
        <v>1662</v>
      </c>
      <c r="O158" s="455" t="s">
        <v>1553</v>
      </c>
      <c r="P158" s="455" t="s">
        <v>592</v>
      </c>
      <c r="Q158" s="455"/>
      <c r="R158" s="455"/>
      <c r="S158" s="168">
        <v>0</v>
      </c>
      <c r="T158" s="523">
        <v>0</v>
      </c>
    </row>
    <row r="159" spans="1:20">
      <c r="A159" s="168" t="s">
        <v>1663</v>
      </c>
      <c r="B159" s="455" t="s">
        <v>1553</v>
      </c>
      <c r="C159" s="455" t="s">
        <v>610</v>
      </c>
      <c r="D159" s="168" t="s">
        <v>1562</v>
      </c>
      <c r="E159" s="150">
        <v>20641.55</v>
      </c>
      <c r="F159" s="456">
        <v>21000</v>
      </c>
      <c r="G159" s="168">
        <v>2576.9699999999998</v>
      </c>
      <c r="H159" s="168">
        <v>2577</v>
      </c>
      <c r="N159" s="168" t="s">
        <v>1663</v>
      </c>
      <c r="O159" s="455" t="s">
        <v>1553</v>
      </c>
      <c r="P159" s="455" t="s">
        <v>610</v>
      </c>
      <c r="Q159" s="455">
        <v>12150</v>
      </c>
      <c r="R159" s="455">
        <v>4840</v>
      </c>
      <c r="S159" s="168">
        <v>7519</v>
      </c>
      <c r="T159" s="523">
        <v>7519</v>
      </c>
    </row>
    <row r="160" spans="1:20">
      <c r="A160" s="168" t="s">
        <v>1664</v>
      </c>
      <c r="B160" s="455" t="s">
        <v>1553</v>
      </c>
      <c r="C160" s="455" t="s">
        <v>612</v>
      </c>
      <c r="D160" s="168" t="s">
        <v>1562</v>
      </c>
      <c r="E160" s="150">
        <v>13114.75</v>
      </c>
      <c r="F160" s="456">
        <v>13450</v>
      </c>
      <c r="G160" s="168">
        <v>7196.26</v>
      </c>
      <c r="H160" s="168">
        <v>7196</v>
      </c>
      <c r="N160" s="168" t="s">
        <v>1664</v>
      </c>
      <c r="O160" s="455" t="s">
        <v>1553</v>
      </c>
      <c r="P160" s="455" t="s">
        <v>612</v>
      </c>
      <c r="Q160" s="455">
        <v>7720</v>
      </c>
      <c r="R160" s="455">
        <v>4256</v>
      </c>
      <c r="S160" s="168">
        <v>0</v>
      </c>
      <c r="T160" s="523">
        <v>0</v>
      </c>
    </row>
    <row r="161" spans="1:23">
      <c r="A161" s="168" t="s">
        <v>1665</v>
      </c>
      <c r="B161" s="455" t="s">
        <v>1553</v>
      </c>
      <c r="C161" s="455" t="s">
        <v>99</v>
      </c>
      <c r="D161" s="168" t="s">
        <v>1562</v>
      </c>
      <c r="E161" s="150">
        <v>564550.34</v>
      </c>
      <c r="F161" s="456">
        <v>565000</v>
      </c>
      <c r="G161" s="168">
        <v>705088.72</v>
      </c>
      <c r="H161" s="168">
        <v>705088</v>
      </c>
      <c r="N161" s="168" t="s">
        <v>1665</v>
      </c>
      <c r="O161" s="455" t="s">
        <v>1553</v>
      </c>
      <c r="P161" s="455" t="s">
        <v>99</v>
      </c>
      <c r="Q161" s="455">
        <v>332304</v>
      </c>
      <c r="R161" s="455">
        <v>113789</v>
      </c>
      <c r="S161" s="168">
        <v>280704.07</v>
      </c>
      <c r="T161" s="523">
        <v>280704</v>
      </c>
    </row>
    <row r="162" spans="1:23">
      <c r="A162" s="168" t="s">
        <v>1666</v>
      </c>
      <c r="B162" s="455" t="s">
        <v>1553</v>
      </c>
      <c r="C162" s="455" t="s">
        <v>1660</v>
      </c>
      <c r="D162" s="168" t="s">
        <v>1562</v>
      </c>
      <c r="E162" s="150">
        <v>321736.34999999998</v>
      </c>
      <c r="F162" s="456">
        <v>322000</v>
      </c>
      <c r="G162" s="168">
        <v>1133570.24</v>
      </c>
      <c r="H162" s="168">
        <v>1133570</v>
      </c>
      <c r="N162" s="168" t="s">
        <v>1666</v>
      </c>
      <c r="O162" s="455" t="s">
        <v>1553</v>
      </c>
      <c r="P162" s="455" t="s">
        <v>1660</v>
      </c>
      <c r="Q162" s="455">
        <v>189380</v>
      </c>
      <c r="R162" s="455">
        <v>93505</v>
      </c>
      <c r="S162" s="168">
        <v>140540.84</v>
      </c>
      <c r="T162" s="523">
        <v>140541</v>
      </c>
    </row>
    <row r="163" spans="1:23">
      <c r="A163" s="168" t="s">
        <v>1667</v>
      </c>
      <c r="B163" s="455" t="s">
        <v>20</v>
      </c>
      <c r="C163" s="455" t="s">
        <v>1668</v>
      </c>
      <c r="D163" s="168" t="s">
        <v>1562</v>
      </c>
      <c r="E163" s="150">
        <v>0</v>
      </c>
      <c r="F163" s="456">
        <v>0</v>
      </c>
      <c r="G163" s="168">
        <v>0</v>
      </c>
      <c r="H163" s="168">
        <v>0</v>
      </c>
      <c r="N163" s="168" t="s">
        <v>1667</v>
      </c>
      <c r="O163" s="455" t="s">
        <v>20</v>
      </c>
      <c r="P163" s="455" t="s">
        <v>1668</v>
      </c>
      <c r="Q163" s="455"/>
      <c r="R163" s="455"/>
      <c r="S163" s="168">
        <v>0</v>
      </c>
      <c r="T163" s="523">
        <v>0</v>
      </c>
    </row>
    <row r="164" spans="1:23">
      <c r="A164" s="168" t="s">
        <v>1669</v>
      </c>
      <c r="B164" s="455" t="s">
        <v>1553</v>
      </c>
      <c r="C164" s="455" t="s">
        <v>631</v>
      </c>
      <c r="D164" s="168" t="s">
        <v>1562</v>
      </c>
      <c r="E164" s="150">
        <v>246.51</v>
      </c>
      <c r="F164" s="456">
        <v>286</v>
      </c>
      <c r="G164" s="168">
        <v>0</v>
      </c>
      <c r="H164" s="168">
        <v>0</v>
      </c>
      <c r="N164" s="168" t="s">
        <v>1669</v>
      </c>
      <c r="O164" s="455" t="s">
        <v>1553</v>
      </c>
      <c r="P164" s="455" t="s">
        <v>631</v>
      </c>
      <c r="Q164" s="455">
        <v>288</v>
      </c>
      <c r="R164" s="455">
        <v>288</v>
      </c>
      <c r="S164" s="168">
        <v>0</v>
      </c>
      <c r="T164" s="523">
        <v>0</v>
      </c>
    </row>
    <row r="165" spans="1:23">
      <c r="A165" s="168" t="s">
        <v>1670</v>
      </c>
      <c r="B165" s="455" t="s">
        <v>1553</v>
      </c>
      <c r="C165" s="455" t="s">
        <v>633</v>
      </c>
      <c r="D165" s="168" t="s">
        <v>1562</v>
      </c>
      <c r="E165" s="150">
        <v>23759.62</v>
      </c>
      <c r="F165" s="456">
        <v>24000</v>
      </c>
      <c r="G165" s="168">
        <v>6761.46</v>
      </c>
      <c r="H165" s="168">
        <v>6761</v>
      </c>
      <c r="N165" s="168" t="s">
        <v>1670</v>
      </c>
      <c r="O165" s="455" t="s">
        <v>1553</v>
      </c>
      <c r="P165" s="455" t="s">
        <v>633</v>
      </c>
      <c r="Q165" s="455">
        <v>13985</v>
      </c>
      <c r="R165" s="455">
        <v>7709</v>
      </c>
      <c r="S165" s="168">
        <v>6823.59</v>
      </c>
      <c r="T165" s="523">
        <v>6824</v>
      </c>
    </row>
    <row r="166" spans="1:23">
      <c r="A166" s="168" t="s">
        <v>1671</v>
      </c>
      <c r="B166" s="455" t="s">
        <v>1553</v>
      </c>
      <c r="C166" s="455" t="s">
        <v>50</v>
      </c>
      <c r="D166" s="168" t="s">
        <v>1562</v>
      </c>
      <c r="E166" s="150">
        <v>55362.3</v>
      </c>
      <c r="F166" s="456">
        <v>56000</v>
      </c>
      <c r="G166" s="168">
        <v>11011.88</v>
      </c>
      <c r="H166" s="168">
        <v>11013</v>
      </c>
      <c r="N166" s="168" t="s">
        <v>1671</v>
      </c>
      <c r="O166" s="455" t="s">
        <v>1553</v>
      </c>
      <c r="P166" s="455" t="s">
        <v>50</v>
      </c>
      <c r="Q166" s="455">
        <v>45203</v>
      </c>
      <c r="R166" s="455">
        <v>33902</v>
      </c>
      <c r="S166" s="168">
        <v>39573.919999999998</v>
      </c>
      <c r="T166" s="523">
        <v>39573</v>
      </c>
    </row>
    <row r="167" spans="1:23">
      <c r="A167" s="168" t="s">
        <v>1672</v>
      </c>
      <c r="B167" s="455" t="s">
        <v>1553</v>
      </c>
      <c r="C167" s="455" t="s">
        <v>52</v>
      </c>
      <c r="D167" s="168" t="s">
        <v>1562</v>
      </c>
      <c r="E167" s="150">
        <v>0</v>
      </c>
      <c r="F167" s="456">
        <v>2000</v>
      </c>
      <c r="G167" s="168">
        <v>0</v>
      </c>
      <c r="H167" s="168">
        <v>0</v>
      </c>
      <c r="N167" s="168" t="s">
        <v>1672</v>
      </c>
      <c r="O167" s="455" t="s">
        <v>1553</v>
      </c>
      <c r="P167" s="455" t="s">
        <v>52</v>
      </c>
      <c r="Q167" s="455">
        <v>18773</v>
      </c>
      <c r="R167" s="455">
        <v>14080</v>
      </c>
      <c r="S167" s="168">
        <v>0</v>
      </c>
      <c r="T167" s="523">
        <v>0</v>
      </c>
    </row>
    <row r="168" spans="1:23">
      <c r="A168" s="168" t="s">
        <v>1673</v>
      </c>
      <c r="B168" s="455" t="s">
        <v>1553</v>
      </c>
      <c r="C168" s="455" t="s">
        <v>52</v>
      </c>
      <c r="D168" s="168" t="s">
        <v>1562</v>
      </c>
      <c r="E168" s="150">
        <v>6945.36</v>
      </c>
      <c r="F168" s="456">
        <v>7000</v>
      </c>
      <c r="G168" s="168">
        <v>1122.1400000000001</v>
      </c>
      <c r="H168" s="168">
        <v>1123</v>
      </c>
      <c r="N168" s="168" t="s">
        <v>1673</v>
      </c>
      <c r="O168" s="455" t="s">
        <v>1553</v>
      </c>
      <c r="P168" s="455" t="s">
        <v>52</v>
      </c>
      <c r="Q168" s="455">
        <v>5671</v>
      </c>
      <c r="R168" s="455">
        <v>4253</v>
      </c>
      <c r="S168" s="168">
        <v>0</v>
      </c>
      <c r="T168" s="523">
        <v>0</v>
      </c>
    </row>
    <row r="169" spans="1:23" ht="15.75" thickBot="1">
      <c r="B169" s="455"/>
      <c r="E169" s="150"/>
      <c r="N169" s="168" t="s">
        <v>3718</v>
      </c>
      <c r="O169" s="455"/>
      <c r="P169" s="455" t="s">
        <v>3719</v>
      </c>
      <c r="Q169" s="455">
        <v>2500000</v>
      </c>
      <c r="R169" s="455">
        <v>500000</v>
      </c>
      <c r="T169" s="523"/>
    </row>
    <row r="170" spans="1:23" ht="16.5" thickTop="1" thickBot="1">
      <c r="A170" s="554" t="s">
        <v>2668</v>
      </c>
      <c r="B170" s="555"/>
      <c r="C170" s="555"/>
      <c r="D170" s="556"/>
      <c r="E170" s="560">
        <f>SUM(E158:E168)</f>
        <v>1006356.78</v>
      </c>
      <c r="F170" s="560">
        <f>SUM(F158:F168)</f>
        <v>1010736</v>
      </c>
      <c r="G170" s="560">
        <f>SUM(G158:G168)</f>
        <v>1867327.6699999997</v>
      </c>
      <c r="H170" s="560">
        <f>SUM(H158:H168)</f>
        <v>1867328</v>
      </c>
      <c r="N170" s="554" t="s">
        <v>2668</v>
      </c>
      <c r="O170" s="555"/>
      <c r="P170" s="555"/>
      <c r="Q170" s="555">
        <f>SUM(Q158:Q169)</f>
        <v>3125474</v>
      </c>
      <c r="R170" s="555">
        <f>SUM(R159:R169)</f>
        <v>776622</v>
      </c>
      <c r="S170" s="560">
        <f>SUM(S158:S168)</f>
        <v>475161.42000000004</v>
      </c>
      <c r="T170" s="558">
        <f>SUM(T158:T168)</f>
        <v>475161</v>
      </c>
      <c r="U170" s="603">
        <f>S170</f>
        <v>475161.42000000004</v>
      </c>
      <c r="V170" s="603">
        <f>SUM(T170)</f>
        <v>475161</v>
      </c>
    </row>
    <row r="171" spans="1:23" ht="15.75" thickTop="1">
      <c r="B171" s="455"/>
      <c r="E171" s="150"/>
      <c r="O171" s="455"/>
      <c r="P171" s="455"/>
      <c r="Q171" s="455"/>
      <c r="R171" s="455"/>
      <c r="T171" s="523"/>
    </row>
    <row r="172" spans="1:23">
      <c r="A172" s="168" t="s">
        <v>133</v>
      </c>
      <c r="B172" s="455" t="s">
        <v>1549</v>
      </c>
      <c r="C172" s="455" t="s">
        <v>75</v>
      </c>
      <c r="D172" s="168" t="s">
        <v>1563</v>
      </c>
      <c r="E172" s="150">
        <v>1256673.55</v>
      </c>
      <c r="F172" s="456">
        <v>1330000</v>
      </c>
      <c r="G172" s="168">
        <v>1034904.45</v>
      </c>
      <c r="H172" s="168">
        <v>1034905</v>
      </c>
      <c r="N172" s="168" t="s">
        <v>133</v>
      </c>
      <c r="O172" s="455" t="s">
        <v>1549</v>
      </c>
      <c r="P172" s="455" t="s">
        <v>75</v>
      </c>
      <c r="Q172" s="455">
        <v>2872864</v>
      </c>
      <c r="R172" s="455">
        <v>2872864</v>
      </c>
      <c r="S172" s="168">
        <v>1135523.81</v>
      </c>
      <c r="T172" s="523">
        <v>1135524</v>
      </c>
    </row>
    <row r="173" spans="1:23">
      <c r="A173" s="168" t="s">
        <v>134</v>
      </c>
      <c r="B173" s="455" t="s">
        <v>1549</v>
      </c>
      <c r="C173" s="455" t="s">
        <v>77</v>
      </c>
      <c r="D173" s="168" t="s">
        <v>1563</v>
      </c>
      <c r="E173" s="150">
        <v>22145.040000000001</v>
      </c>
      <c r="F173" s="456">
        <v>23000</v>
      </c>
      <c r="G173" s="168">
        <v>22442.99</v>
      </c>
      <c r="H173" s="168">
        <v>22443</v>
      </c>
      <c r="N173" s="168" t="s">
        <v>134</v>
      </c>
      <c r="O173" s="455" t="s">
        <v>1549</v>
      </c>
      <c r="P173" s="455" t="s">
        <v>77</v>
      </c>
      <c r="Q173" s="455"/>
      <c r="R173" s="455"/>
      <c r="S173" s="168">
        <v>26060.17</v>
      </c>
      <c r="T173" s="523">
        <v>26060</v>
      </c>
    </row>
    <row r="174" spans="1:23">
      <c r="A174" s="168" t="s">
        <v>135</v>
      </c>
      <c r="B174" s="455" t="s">
        <v>1549</v>
      </c>
      <c r="C174" s="455" t="s">
        <v>60</v>
      </c>
      <c r="D174" s="168" t="s">
        <v>1563</v>
      </c>
      <c r="E174" s="150">
        <v>120566.7</v>
      </c>
      <c r="F174" s="456">
        <v>124854</v>
      </c>
      <c r="G174" s="168">
        <v>108270.45</v>
      </c>
      <c r="H174" s="168">
        <v>108271</v>
      </c>
      <c r="N174" s="168" t="s">
        <v>135</v>
      </c>
      <c r="O174" s="455" t="s">
        <v>1549</v>
      </c>
      <c r="P174" s="455" t="s">
        <v>60</v>
      </c>
      <c r="Q174" s="455">
        <v>241899</v>
      </c>
      <c r="R174" s="455">
        <v>241899</v>
      </c>
      <c r="S174" s="168">
        <v>90749.86</v>
      </c>
      <c r="T174" s="523">
        <v>90750</v>
      </c>
    </row>
    <row r="175" spans="1:23">
      <c r="A175" s="168" t="s">
        <v>136</v>
      </c>
      <c r="B175" s="455" t="s">
        <v>1549</v>
      </c>
      <c r="C175" s="455" t="s">
        <v>515</v>
      </c>
      <c r="D175" s="168" t="s">
        <v>1563</v>
      </c>
      <c r="E175" s="150">
        <v>86442.47</v>
      </c>
      <c r="F175" s="456">
        <v>90000</v>
      </c>
      <c r="G175" s="168">
        <v>276380.2</v>
      </c>
      <c r="H175" s="168">
        <v>276381</v>
      </c>
      <c r="N175" s="168" t="s">
        <v>136</v>
      </c>
      <c r="O175" s="455" t="s">
        <v>1549</v>
      </c>
      <c r="P175" s="455" t="s">
        <v>515</v>
      </c>
      <c r="Q175" s="455"/>
      <c r="R175" s="455"/>
      <c r="S175" s="168">
        <v>213083.57</v>
      </c>
      <c r="T175" s="523">
        <v>213083</v>
      </c>
    </row>
    <row r="176" spans="1:23">
      <c r="A176" s="168" t="s">
        <v>137</v>
      </c>
      <c r="B176" s="455" t="s">
        <v>1549</v>
      </c>
      <c r="C176" s="455" t="s">
        <v>660</v>
      </c>
      <c r="D176" s="168" t="s">
        <v>1563</v>
      </c>
      <c r="E176" s="150">
        <v>0</v>
      </c>
      <c r="F176" s="456">
        <v>0</v>
      </c>
      <c r="G176" s="168">
        <v>0</v>
      </c>
      <c r="H176" s="168">
        <v>0</v>
      </c>
      <c r="N176" s="168" t="s">
        <v>137</v>
      </c>
      <c r="O176" s="455" t="s">
        <v>1549</v>
      </c>
      <c r="P176" s="455" t="s">
        <v>660</v>
      </c>
      <c r="Q176" s="455"/>
      <c r="R176" s="455"/>
      <c r="S176" s="168">
        <v>0</v>
      </c>
      <c r="T176" s="523">
        <v>0</v>
      </c>
      <c r="W176" s="168">
        <v>475161.42</v>
      </c>
    </row>
    <row r="177" spans="1:23">
      <c r="A177" s="168" t="s">
        <v>138</v>
      </c>
      <c r="B177" s="455" t="s">
        <v>1549</v>
      </c>
      <c r="C177" s="455" t="s">
        <v>767</v>
      </c>
      <c r="D177" s="168" t="s">
        <v>1563</v>
      </c>
      <c r="E177" s="150">
        <v>20670.2</v>
      </c>
      <c r="F177" s="456">
        <v>20700</v>
      </c>
      <c r="G177" s="168">
        <v>25063.279999999999</v>
      </c>
      <c r="H177" s="168">
        <v>25064</v>
      </c>
      <c r="N177" s="168" t="s">
        <v>138</v>
      </c>
      <c r="O177" s="455" t="s">
        <v>1549</v>
      </c>
      <c r="P177" s="455" t="s">
        <v>767</v>
      </c>
      <c r="Q177" s="455">
        <v>109158</v>
      </c>
      <c r="R177" s="455">
        <v>109158</v>
      </c>
      <c r="S177" s="168">
        <v>20543.79</v>
      </c>
      <c r="T177" s="523">
        <v>20544</v>
      </c>
      <c r="W177" s="168">
        <v>2370952.42</v>
      </c>
    </row>
    <row r="178" spans="1:23">
      <c r="A178" s="168" t="s">
        <v>139</v>
      </c>
      <c r="B178" s="455" t="s">
        <v>1549</v>
      </c>
      <c r="C178" s="455" t="s">
        <v>84</v>
      </c>
      <c r="D178" s="168" t="s">
        <v>1563</v>
      </c>
      <c r="E178" s="150">
        <v>224416.53</v>
      </c>
      <c r="F178" s="456">
        <v>226000</v>
      </c>
      <c r="G178" s="168">
        <v>212791.04000000001</v>
      </c>
      <c r="H178" s="168">
        <v>212791</v>
      </c>
      <c r="N178" s="168" t="s">
        <v>139</v>
      </c>
      <c r="O178" s="455" t="s">
        <v>1549</v>
      </c>
      <c r="P178" s="455" t="s">
        <v>84</v>
      </c>
      <c r="Q178" s="455">
        <v>298850</v>
      </c>
      <c r="R178" s="455">
        <v>298850</v>
      </c>
      <c r="S178" s="168">
        <v>190192.73</v>
      </c>
      <c r="T178" s="523">
        <v>190193</v>
      </c>
      <c r="W178" s="168">
        <f>SUM(W176:W177)</f>
        <v>2846113.84</v>
      </c>
    </row>
    <row r="179" spans="1:23">
      <c r="A179" s="168" t="s">
        <v>140</v>
      </c>
      <c r="B179" s="455" t="s">
        <v>1549</v>
      </c>
      <c r="C179" s="455" t="s">
        <v>141</v>
      </c>
      <c r="D179" s="168" t="s">
        <v>1563</v>
      </c>
      <c r="E179" s="150">
        <v>21511.81</v>
      </c>
      <c r="F179" s="456">
        <v>22000</v>
      </c>
      <c r="G179" s="168">
        <v>51439.49</v>
      </c>
      <c r="H179" s="168">
        <v>51439</v>
      </c>
      <c r="N179" s="168" t="s">
        <v>140</v>
      </c>
      <c r="O179" s="455" t="s">
        <v>1549</v>
      </c>
      <c r="P179" s="455" t="s">
        <v>141</v>
      </c>
      <c r="Q179" s="455">
        <v>27446</v>
      </c>
      <c r="R179" s="455">
        <v>27446</v>
      </c>
      <c r="S179" s="168">
        <v>113812.4</v>
      </c>
      <c r="T179" s="523">
        <v>113812</v>
      </c>
    </row>
    <row r="180" spans="1:23">
      <c r="A180" s="168" t="s">
        <v>142</v>
      </c>
      <c r="B180" s="455" t="s">
        <v>1549</v>
      </c>
      <c r="C180" s="455" t="s">
        <v>590</v>
      </c>
      <c r="D180" s="168" t="s">
        <v>1563</v>
      </c>
      <c r="E180" s="150">
        <v>65199.12</v>
      </c>
      <c r="F180" s="456">
        <v>65500</v>
      </c>
      <c r="G180" s="168">
        <v>78810.320000000007</v>
      </c>
      <c r="H180" s="168">
        <v>78811</v>
      </c>
      <c r="N180" s="168" t="s">
        <v>142</v>
      </c>
      <c r="O180" s="455" t="s">
        <v>1549</v>
      </c>
      <c r="P180" s="455" t="s">
        <v>590</v>
      </c>
      <c r="Q180" s="455">
        <v>372630</v>
      </c>
      <c r="R180" s="455">
        <v>372630</v>
      </c>
      <c r="S180" s="168">
        <v>83369.72</v>
      </c>
      <c r="T180" s="523">
        <v>83370</v>
      </c>
    </row>
    <row r="181" spans="1:23">
      <c r="A181" s="168" t="s">
        <v>143</v>
      </c>
      <c r="B181" s="455" t="s">
        <v>1549</v>
      </c>
      <c r="C181" s="455" t="s">
        <v>590</v>
      </c>
      <c r="D181" s="168" t="s">
        <v>1563</v>
      </c>
      <c r="E181" s="150">
        <v>220194</v>
      </c>
      <c r="F181" s="456">
        <v>221000</v>
      </c>
      <c r="G181" s="168">
        <v>226097.71</v>
      </c>
      <c r="H181" s="168">
        <v>226098</v>
      </c>
      <c r="N181" s="168" t="s">
        <v>143</v>
      </c>
      <c r="O181" s="455" t="s">
        <v>1549</v>
      </c>
      <c r="P181" s="455" t="s">
        <v>590</v>
      </c>
      <c r="Q181" s="455">
        <v>600279</v>
      </c>
      <c r="R181" s="455">
        <v>600279</v>
      </c>
      <c r="S181" s="168">
        <v>241726.01</v>
      </c>
      <c r="T181" s="523">
        <v>241727</v>
      </c>
    </row>
    <row r="182" spans="1:23">
      <c r="A182" s="168" t="s">
        <v>144</v>
      </c>
      <c r="B182" s="455" t="s">
        <v>1549</v>
      </c>
      <c r="C182" s="455" t="s">
        <v>590</v>
      </c>
      <c r="D182" s="168" t="s">
        <v>1563</v>
      </c>
      <c r="E182" s="150">
        <v>13048.17</v>
      </c>
      <c r="F182" s="456">
        <v>13100</v>
      </c>
      <c r="G182" s="168">
        <v>11795.03</v>
      </c>
      <c r="H182" s="168">
        <v>11796</v>
      </c>
      <c r="N182" s="168" t="s">
        <v>144</v>
      </c>
      <c r="O182" s="455" t="s">
        <v>1549</v>
      </c>
      <c r="P182" s="455" t="s">
        <v>590</v>
      </c>
      <c r="Q182" s="455">
        <v>29607</v>
      </c>
      <c r="R182" s="455">
        <v>29607</v>
      </c>
      <c r="S182" s="168">
        <v>10929.21</v>
      </c>
      <c r="T182" s="523">
        <v>10930</v>
      </c>
    </row>
    <row r="183" spans="1:23">
      <c r="A183" s="168" t="s">
        <v>145</v>
      </c>
      <c r="B183" s="455" t="s">
        <v>1549</v>
      </c>
      <c r="C183" s="455" t="s">
        <v>590</v>
      </c>
      <c r="D183" s="168" t="s">
        <v>1563</v>
      </c>
      <c r="E183" s="150">
        <v>13092.81</v>
      </c>
      <c r="F183" s="456">
        <v>13100</v>
      </c>
      <c r="G183" s="168">
        <v>14140.09</v>
      </c>
      <c r="H183" s="168">
        <v>14141</v>
      </c>
      <c r="N183" s="168" t="s">
        <v>145</v>
      </c>
      <c r="O183" s="455" t="s">
        <v>1549</v>
      </c>
      <c r="P183" s="455" t="s">
        <v>590</v>
      </c>
      <c r="Q183" s="455">
        <v>41991</v>
      </c>
      <c r="R183" s="455">
        <v>41991</v>
      </c>
      <c r="S183" s="168">
        <v>16865.060000000001</v>
      </c>
      <c r="T183" s="523">
        <v>16866</v>
      </c>
    </row>
    <row r="184" spans="1:23">
      <c r="A184" s="168" t="s">
        <v>146</v>
      </c>
      <c r="B184" s="455" t="s">
        <v>1549</v>
      </c>
      <c r="C184" s="455" t="s">
        <v>1807</v>
      </c>
      <c r="D184" s="168" t="s">
        <v>1563</v>
      </c>
      <c r="E184" s="150">
        <v>630.4</v>
      </c>
      <c r="F184" s="456">
        <v>700</v>
      </c>
      <c r="G184" s="168">
        <v>656.88</v>
      </c>
      <c r="H184" s="168">
        <v>657</v>
      </c>
      <c r="N184" s="168" t="s">
        <v>146</v>
      </c>
      <c r="O184" s="455" t="s">
        <v>1549</v>
      </c>
      <c r="P184" s="455" t="s">
        <v>1807</v>
      </c>
      <c r="Q184" s="455">
        <v>6250</v>
      </c>
      <c r="R184" s="455">
        <v>6250</v>
      </c>
      <c r="S184" s="168">
        <v>591.33000000000004</v>
      </c>
      <c r="T184" s="523">
        <v>592</v>
      </c>
    </row>
    <row r="185" spans="1:23">
      <c r="A185" s="168" t="s">
        <v>147</v>
      </c>
      <c r="B185" s="455" t="s">
        <v>1551</v>
      </c>
      <c r="C185" s="455" t="s">
        <v>592</v>
      </c>
      <c r="D185" s="168" t="s">
        <v>1563</v>
      </c>
      <c r="E185" s="150">
        <v>0</v>
      </c>
      <c r="F185" s="456">
        <v>6748</v>
      </c>
      <c r="G185" s="168">
        <v>0</v>
      </c>
      <c r="H185" s="168">
        <v>0</v>
      </c>
      <c r="N185" s="168" t="s">
        <v>147</v>
      </c>
      <c r="O185" s="455" t="s">
        <v>1551</v>
      </c>
      <c r="P185" s="455" t="s">
        <v>592</v>
      </c>
      <c r="Q185" s="455">
        <v>9983</v>
      </c>
      <c r="R185" s="455">
        <v>9983</v>
      </c>
      <c r="S185" s="168">
        <v>6156.74</v>
      </c>
      <c r="T185" s="523">
        <v>0</v>
      </c>
    </row>
    <row r="186" spans="1:23">
      <c r="A186" s="168" t="s">
        <v>148</v>
      </c>
      <c r="B186" s="455" t="s">
        <v>1552</v>
      </c>
      <c r="C186" s="455" t="s">
        <v>595</v>
      </c>
      <c r="D186" s="168" t="s">
        <v>1563</v>
      </c>
      <c r="E186" s="150">
        <v>107.95</v>
      </c>
      <c r="F186" s="456">
        <v>200</v>
      </c>
      <c r="G186" s="168">
        <v>0</v>
      </c>
      <c r="H186" s="168">
        <v>0</v>
      </c>
      <c r="N186" s="168" t="s">
        <v>148</v>
      </c>
      <c r="O186" s="455" t="s">
        <v>1552</v>
      </c>
      <c r="P186" s="455" t="s">
        <v>595</v>
      </c>
      <c r="Q186" s="455">
        <v>118</v>
      </c>
      <c r="R186" s="455">
        <v>118</v>
      </c>
      <c r="S186" s="168">
        <v>0</v>
      </c>
      <c r="T186" s="523">
        <v>0</v>
      </c>
    </row>
    <row r="187" spans="1:23">
      <c r="A187" s="168" t="s">
        <v>149</v>
      </c>
      <c r="B187" s="455" t="s">
        <v>1553</v>
      </c>
      <c r="C187" s="455" t="s">
        <v>610</v>
      </c>
      <c r="D187" s="168" t="s">
        <v>1563</v>
      </c>
      <c r="E187" s="150">
        <v>42728.07</v>
      </c>
      <c r="F187" s="456">
        <v>42900</v>
      </c>
      <c r="G187" s="168">
        <v>23141.360000000001</v>
      </c>
      <c r="H187" s="168">
        <v>23141</v>
      </c>
      <c r="N187" s="168" t="s">
        <v>149</v>
      </c>
      <c r="O187" s="455" t="s">
        <v>1553</v>
      </c>
      <c r="P187" s="455" t="s">
        <v>610</v>
      </c>
      <c r="Q187" s="455">
        <v>25150</v>
      </c>
      <c r="R187" s="455">
        <v>4200</v>
      </c>
      <c r="S187" s="168">
        <v>0</v>
      </c>
      <c r="T187" s="523">
        <v>0</v>
      </c>
    </row>
    <row r="188" spans="1:23">
      <c r="A188" s="168" t="s">
        <v>150</v>
      </c>
      <c r="B188" s="455" t="s">
        <v>1553</v>
      </c>
      <c r="C188" s="455" t="s">
        <v>612</v>
      </c>
      <c r="D188" s="168" t="s">
        <v>1563</v>
      </c>
      <c r="E188" s="150">
        <v>19059.740000000002</v>
      </c>
      <c r="F188" s="456">
        <v>19700</v>
      </c>
      <c r="G188" s="168">
        <v>13501.34</v>
      </c>
      <c r="H188" s="168">
        <v>13501</v>
      </c>
      <c r="N188" s="168" t="s">
        <v>150</v>
      </c>
      <c r="O188" s="455" t="s">
        <v>1553</v>
      </c>
      <c r="P188" s="455" t="s">
        <v>612</v>
      </c>
      <c r="Q188" s="455">
        <v>19060</v>
      </c>
      <c r="R188" s="455">
        <v>6970</v>
      </c>
      <c r="S188" s="168">
        <v>3484.63</v>
      </c>
      <c r="T188" s="523">
        <v>3485</v>
      </c>
    </row>
    <row r="189" spans="1:23">
      <c r="A189" s="168" t="s">
        <v>151</v>
      </c>
      <c r="B189" s="455" t="s">
        <v>1553</v>
      </c>
      <c r="C189" s="455" t="s">
        <v>99</v>
      </c>
      <c r="D189" s="168" t="s">
        <v>1563</v>
      </c>
      <c r="E189" s="150">
        <v>3318.99</v>
      </c>
      <c r="F189" s="456">
        <v>3700</v>
      </c>
      <c r="G189" s="168">
        <v>470044.19</v>
      </c>
      <c r="H189" s="168">
        <v>470044</v>
      </c>
      <c r="N189" s="168" t="s">
        <v>151</v>
      </c>
      <c r="O189" s="455" t="s">
        <v>1553</v>
      </c>
      <c r="P189" s="455" t="s">
        <v>99</v>
      </c>
      <c r="Q189" s="455">
        <v>2710</v>
      </c>
      <c r="R189" s="455">
        <v>2033</v>
      </c>
      <c r="S189" s="168">
        <v>0</v>
      </c>
      <c r="T189" s="523">
        <v>0</v>
      </c>
    </row>
    <row r="190" spans="1:23">
      <c r="A190" s="168" t="s">
        <v>152</v>
      </c>
      <c r="B190" s="455" t="s">
        <v>1553</v>
      </c>
      <c r="C190" s="455" t="s">
        <v>616</v>
      </c>
      <c r="D190" s="168" t="s">
        <v>1563</v>
      </c>
      <c r="E190" s="150">
        <v>73121.539999999994</v>
      </c>
      <c r="F190" s="456">
        <v>73400</v>
      </c>
      <c r="G190" s="168">
        <v>99.99</v>
      </c>
      <c r="H190" s="168">
        <v>99</v>
      </c>
      <c r="N190" s="168" t="s">
        <v>152</v>
      </c>
      <c r="O190" s="455" t="s">
        <v>1553</v>
      </c>
      <c r="P190" s="455" t="s">
        <v>616</v>
      </c>
      <c r="Q190" s="455">
        <v>43041</v>
      </c>
      <c r="R190" s="455">
        <v>23726</v>
      </c>
      <c r="S190" s="168">
        <v>1607.36</v>
      </c>
      <c r="T190" s="523">
        <v>1608</v>
      </c>
    </row>
    <row r="191" spans="1:23">
      <c r="A191" s="168" t="s">
        <v>153</v>
      </c>
      <c r="B191" s="455" t="s">
        <v>1553</v>
      </c>
      <c r="C191" s="455" t="s">
        <v>2322</v>
      </c>
      <c r="D191" s="168" t="s">
        <v>1563</v>
      </c>
      <c r="E191" s="150">
        <v>14384.62</v>
      </c>
      <c r="F191" s="456">
        <v>14500</v>
      </c>
      <c r="G191" s="168">
        <v>680.86</v>
      </c>
      <c r="H191" s="168">
        <v>681</v>
      </c>
      <c r="N191" s="168" t="s">
        <v>153</v>
      </c>
      <c r="O191" s="455" t="s">
        <v>1553</v>
      </c>
      <c r="P191" s="455" t="s">
        <v>2322</v>
      </c>
      <c r="Q191" s="455">
        <v>15823</v>
      </c>
      <c r="R191" s="455">
        <v>15823</v>
      </c>
      <c r="S191" s="168">
        <v>4503.2700000000004</v>
      </c>
      <c r="T191" s="523">
        <v>4504</v>
      </c>
    </row>
    <row r="192" spans="1:23">
      <c r="A192" s="168" t="s">
        <v>154</v>
      </c>
      <c r="B192" s="455" t="s">
        <v>1553</v>
      </c>
      <c r="C192" s="455" t="s">
        <v>631</v>
      </c>
      <c r="D192" s="168" t="s">
        <v>1563</v>
      </c>
      <c r="E192" s="150">
        <v>520.13</v>
      </c>
      <c r="F192" s="456">
        <v>650</v>
      </c>
      <c r="G192" s="168">
        <v>314.2</v>
      </c>
      <c r="H192" s="168">
        <v>314</v>
      </c>
      <c r="N192" s="168" t="s">
        <v>154</v>
      </c>
      <c r="O192" s="455" t="s">
        <v>1553</v>
      </c>
      <c r="P192" s="455" t="s">
        <v>631</v>
      </c>
      <c r="Q192" s="455">
        <v>306</v>
      </c>
      <c r="R192" s="455">
        <v>169</v>
      </c>
      <c r="S192" s="168">
        <v>165.87</v>
      </c>
      <c r="T192" s="523">
        <v>166</v>
      </c>
    </row>
    <row r="193" spans="1:22">
      <c r="A193" s="168" t="s">
        <v>155</v>
      </c>
      <c r="B193" s="455" t="s">
        <v>1553</v>
      </c>
      <c r="C193" s="455" t="s">
        <v>633</v>
      </c>
      <c r="D193" s="168" t="s">
        <v>1563</v>
      </c>
      <c r="E193" s="150">
        <v>98124.479999999996</v>
      </c>
      <c r="F193" s="456">
        <v>99000</v>
      </c>
      <c r="G193" s="168">
        <v>96572.19</v>
      </c>
      <c r="H193" s="168">
        <v>96572</v>
      </c>
      <c r="N193" s="168" t="s">
        <v>155</v>
      </c>
      <c r="O193" s="455" t="s">
        <v>1553</v>
      </c>
      <c r="P193" s="455" t="s">
        <v>633</v>
      </c>
      <c r="Q193" s="455">
        <v>57758</v>
      </c>
      <c r="R193" s="455">
        <v>31839</v>
      </c>
      <c r="S193" s="168">
        <v>136355.01999999999</v>
      </c>
      <c r="T193" s="523">
        <v>136355</v>
      </c>
    </row>
    <row r="194" spans="1:22">
      <c r="B194" s="455"/>
      <c r="E194" s="150"/>
      <c r="N194" s="168" t="s">
        <v>3461</v>
      </c>
      <c r="O194" s="455"/>
      <c r="P194" s="455"/>
      <c r="Q194" s="455">
        <v>9800</v>
      </c>
      <c r="R194" s="455">
        <v>900</v>
      </c>
      <c r="S194" s="168">
        <v>2126.31</v>
      </c>
      <c r="T194" s="523">
        <v>2126</v>
      </c>
    </row>
    <row r="195" spans="1:22">
      <c r="A195" s="168" t="s">
        <v>156</v>
      </c>
      <c r="B195" s="455" t="s">
        <v>1553</v>
      </c>
      <c r="C195" s="455" t="s">
        <v>50</v>
      </c>
      <c r="D195" s="168" t="s">
        <v>1563</v>
      </c>
      <c r="E195" s="150">
        <v>204363.55</v>
      </c>
      <c r="F195" s="456">
        <v>205000</v>
      </c>
      <c r="G195" s="168">
        <v>12121.7</v>
      </c>
      <c r="H195" s="168">
        <v>12122</v>
      </c>
      <c r="N195" s="168" t="s">
        <v>156</v>
      </c>
      <c r="O195" s="455" t="s">
        <v>1553</v>
      </c>
      <c r="P195" s="455" t="s">
        <v>50</v>
      </c>
      <c r="Q195" s="455">
        <v>204364</v>
      </c>
      <c r="R195" s="455">
        <v>79725</v>
      </c>
      <c r="S195" s="168">
        <v>69147.899999999994</v>
      </c>
      <c r="T195" s="523">
        <v>69148</v>
      </c>
    </row>
    <row r="196" spans="1:22">
      <c r="A196" s="168" t="s">
        <v>157</v>
      </c>
      <c r="B196" s="455" t="s">
        <v>1553</v>
      </c>
      <c r="C196" s="455" t="s">
        <v>52</v>
      </c>
      <c r="D196" s="168" t="s">
        <v>1563</v>
      </c>
      <c r="E196" s="150">
        <v>9497.41</v>
      </c>
      <c r="F196" s="456">
        <v>9500</v>
      </c>
      <c r="G196" s="168">
        <v>11811.23</v>
      </c>
      <c r="H196" s="168">
        <v>11811</v>
      </c>
      <c r="N196" s="168" t="s">
        <v>157</v>
      </c>
      <c r="O196" s="455" t="s">
        <v>1553</v>
      </c>
      <c r="P196" s="455" t="s">
        <v>52</v>
      </c>
      <c r="Q196" s="455">
        <v>7755</v>
      </c>
      <c r="R196" s="455">
        <v>5816</v>
      </c>
      <c r="S196" s="168">
        <v>9220.0499999999993</v>
      </c>
      <c r="T196" s="523">
        <v>9220</v>
      </c>
    </row>
    <row r="197" spans="1:22">
      <c r="A197" s="168" t="s">
        <v>158</v>
      </c>
      <c r="B197" s="455" t="s">
        <v>1553</v>
      </c>
      <c r="C197" s="455" t="s">
        <v>52</v>
      </c>
      <c r="D197" s="168" t="s">
        <v>1563</v>
      </c>
      <c r="E197" s="150">
        <v>1988.98</v>
      </c>
      <c r="F197" s="456">
        <v>2700</v>
      </c>
      <c r="G197" s="168">
        <v>62.38</v>
      </c>
      <c r="H197" s="168">
        <v>63</v>
      </c>
      <c r="N197" s="168" t="s">
        <v>158</v>
      </c>
      <c r="O197" s="455" t="s">
        <v>1553</v>
      </c>
      <c r="P197" s="455" t="s">
        <v>52</v>
      </c>
      <c r="Q197" s="455">
        <v>1624</v>
      </c>
      <c r="R197" s="455">
        <v>1624</v>
      </c>
      <c r="S197" s="168">
        <v>894.35</v>
      </c>
      <c r="T197" s="523">
        <v>895</v>
      </c>
    </row>
    <row r="198" spans="1:22">
      <c r="A198" s="168" t="s">
        <v>159</v>
      </c>
      <c r="B198" s="455" t="s">
        <v>1553</v>
      </c>
      <c r="C198" s="455" t="s">
        <v>160</v>
      </c>
      <c r="D198" s="168" t="s">
        <v>1563</v>
      </c>
      <c r="E198" s="150">
        <v>298936.33</v>
      </c>
      <c r="F198" s="456">
        <v>300000</v>
      </c>
      <c r="G198" s="168">
        <v>0</v>
      </c>
      <c r="H198" s="168">
        <v>0</v>
      </c>
      <c r="N198" s="168" t="s">
        <v>159</v>
      </c>
      <c r="O198" s="455" t="s">
        <v>1553</v>
      </c>
      <c r="P198" s="455" t="s">
        <v>160</v>
      </c>
      <c r="Q198" s="455"/>
      <c r="R198" s="455"/>
      <c r="S198" s="168">
        <v>0</v>
      </c>
      <c r="T198" s="523">
        <v>0</v>
      </c>
    </row>
    <row r="199" spans="1:22" ht="15.75" thickBot="1">
      <c r="A199" s="168" t="s">
        <v>161</v>
      </c>
      <c r="B199" s="455" t="s">
        <v>1553</v>
      </c>
      <c r="C199" s="455" t="s">
        <v>162</v>
      </c>
      <c r="D199" s="168" t="s">
        <v>1563</v>
      </c>
      <c r="E199" s="150">
        <v>0</v>
      </c>
      <c r="F199" s="456">
        <v>0</v>
      </c>
      <c r="G199" s="168">
        <v>0</v>
      </c>
      <c r="H199" s="168">
        <v>0</v>
      </c>
      <c r="N199" s="168" t="s">
        <v>161</v>
      </c>
      <c r="O199" s="455" t="s">
        <v>1553</v>
      </c>
      <c r="P199" s="455" t="s">
        <v>162</v>
      </c>
      <c r="Q199" s="455"/>
      <c r="R199" s="455"/>
      <c r="S199" s="168">
        <v>0</v>
      </c>
      <c r="T199" s="523">
        <v>0</v>
      </c>
    </row>
    <row r="200" spans="1:22" ht="16.5" thickTop="1" thickBot="1">
      <c r="A200" s="554" t="s">
        <v>2668</v>
      </c>
      <c r="B200" s="555"/>
      <c r="C200" s="555"/>
      <c r="D200" s="556"/>
      <c r="E200" s="560">
        <f>SUM(E172:E199)</f>
        <v>2830742.5900000003</v>
      </c>
      <c r="F200" s="560">
        <f>SUM(F172:F199)</f>
        <v>2927952</v>
      </c>
      <c r="G200" s="560">
        <f>SUM(G172:G199)</f>
        <v>2691141.37</v>
      </c>
      <c r="H200" s="560">
        <f>SUM(H172:H199)</f>
        <v>2691145</v>
      </c>
      <c r="N200" s="554" t="s">
        <v>2668</v>
      </c>
      <c r="O200" s="555"/>
      <c r="P200" s="555"/>
      <c r="Q200" s="555">
        <f>SUM(Q172:Q199)</f>
        <v>4998466</v>
      </c>
      <c r="R200" s="555">
        <f>SUM(R172:R199)</f>
        <v>4783900</v>
      </c>
      <c r="S200" s="560">
        <f>SUM(S172:S199)</f>
        <v>2377109.16</v>
      </c>
      <c r="T200" s="558">
        <f>SUM(T172:T199)</f>
        <v>2370958</v>
      </c>
      <c r="U200" s="603">
        <f>SUM(S200)</f>
        <v>2377109.16</v>
      </c>
      <c r="V200" s="603">
        <f>SUM(T200)</f>
        <v>2370958</v>
      </c>
    </row>
    <row r="201" spans="1:22" ht="15.75" thickTop="1">
      <c r="B201" s="455"/>
      <c r="E201" s="150"/>
      <c r="O201" s="455"/>
      <c r="P201" s="455"/>
      <c r="Q201" s="455"/>
      <c r="R201" s="455"/>
      <c r="T201" s="523"/>
      <c r="U201" s="168">
        <v>0</v>
      </c>
    </row>
    <row r="202" spans="1:22">
      <c r="B202" s="455"/>
      <c r="E202" s="150"/>
      <c r="N202" s="168" t="s">
        <v>3462</v>
      </c>
      <c r="O202" s="455"/>
      <c r="P202" s="455"/>
      <c r="Q202" s="455">
        <v>31423</v>
      </c>
      <c r="R202" s="455">
        <v>10000</v>
      </c>
      <c r="S202" s="168">
        <v>3108.7</v>
      </c>
      <c r="T202" s="523">
        <v>3109</v>
      </c>
    </row>
    <row r="203" spans="1:22">
      <c r="A203" s="168" t="s">
        <v>2692</v>
      </c>
      <c r="B203" s="455" t="s">
        <v>1553</v>
      </c>
      <c r="C203" s="455" t="s">
        <v>610</v>
      </c>
      <c r="D203" s="168" t="s">
        <v>1564</v>
      </c>
      <c r="E203" s="150">
        <v>53384.29</v>
      </c>
      <c r="F203" s="456">
        <v>54000</v>
      </c>
      <c r="G203" s="168">
        <v>27457.06</v>
      </c>
      <c r="H203" s="168">
        <v>27457</v>
      </c>
      <c r="N203" s="168" t="s">
        <v>2692</v>
      </c>
      <c r="O203" s="455" t="s">
        <v>1553</v>
      </c>
      <c r="P203" s="455" t="s">
        <v>610</v>
      </c>
      <c r="Q203" s="455"/>
      <c r="R203" s="455"/>
      <c r="S203" s="168">
        <v>0</v>
      </c>
      <c r="T203" s="523">
        <v>0</v>
      </c>
    </row>
    <row r="204" spans="1:22">
      <c r="A204" s="168" t="s">
        <v>163</v>
      </c>
      <c r="B204" s="455" t="s">
        <v>1553</v>
      </c>
      <c r="C204" s="455" t="s">
        <v>612</v>
      </c>
      <c r="D204" s="168" t="s">
        <v>1564</v>
      </c>
      <c r="E204" s="150">
        <v>0</v>
      </c>
      <c r="F204" s="456">
        <v>1500</v>
      </c>
      <c r="G204" s="168">
        <v>15600</v>
      </c>
      <c r="H204" s="168">
        <v>15600</v>
      </c>
      <c r="N204" s="168" t="s">
        <v>163</v>
      </c>
      <c r="O204" s="455" t="s">
        <v>1553</v>
      </c>
      <c r="P204" s="455" t="s">
        <v>612</v>
      </c>
      <c r="Q204" s="455">
        <v>2874</v>
      </c>
      <c r="R204" s="455">
        <v>2874</v>
      </c>
      <c r="S204" s="168">
        <v>228.57</v>
      </c>
      <c r="T204" s="523">
        <v>229</v>
      </c>
    </row>
    <row r="205" spans="1:22">
      <c r="A205" s="168" t="s">
        <v>164</v>
      </c>
      <c r="B205" s="455" t="s">
        <v>1553</v>
      </c>
      <c r="C205" s="455" t="s">
        <v>99</v>
      </c>
      <c r="D205" s="168" t="s">
        <v>1564</v>
      </c>
      <c r="E205" s="150">
        <v>0</v>
      </c>
      <c r="F205" s="456">
        <v>0</v>
      </c>
      <c r="G205" s="168">
        <v>405750</v>
      </c>
      <c r="H205" s="168">
        <v>405750</v>
      </c>
      <c r="N205" s="168" t="s">
        <v>164</v>
      </c>
      <c r="O205" s="455" t="s">
        <v>1553</v>
      </c>
      <c r="P205" s="455" t="s">
        <v>99</v>
      </c>
      <c r="Q205" s="455">
        <v>35000</v>
      </c>
      <c r="R205" s="455">
        <v>35000</v>
      </c>
      <c r="S205" s="168">
        <v>180533.55</v>
      </c>
      <c r="T205" s="523">
        <v>180533</v>
      </c>
    </row>
    <row r="206" spans="1:22">
      <c r="A206" s="168" t="s">
        <v>165</v>
      </c>
      <c r="B206" s="455" t="s">
        <v>1553</v>
      </c>
      <c r="C206" s="455" t="s">
        <v>631</v>
      </c>
      <c r="D206" s="168" t="s">
        <v>1564</v>
      </c>
      <c r="E206" s="150">
        <v>576.78</v>
      </c>
      <c r="F206" s="456">
        <v>800</v>
      </c>
      <c r="G206" s="168">
        <v>511.46</v>
      </c>
      <c r="H206" s="168">
        <v>511</v>
      </c>
      <c r="N206" s="168" t="s">
        <v>165</v>
      </c>
      <c r="O206" s="455" t="s">
        <v>1553</v>
      </c>
      <c r="P206" s="455" t="s">
        <v>631</v>
      </c>
      <c r="Q206" s="455">
        <v>340</v>
      </c>
      <c r="R206" s="455">
        <v>187</v>
      </c>
      <c r="S206" s="168">
        <v>0</v>
      </c>
      <c r="T206" s="523">
        <v>0</v>
      </c>
    </row>
    <row r="207" spans="1:22">
      <c r="A207" s="168" t="s">
        <v>166</v>
      </c>
      <c r="B207" s="455" t="s">
        <v>1553</v>
      </c>
      <c r="C207" s="455" t="s">
        <v>633</v>
      </c>
      <c r="D207" s="168" t="s">
        <v>1564</v>
      </c>
      <c r="E207" s="150">
        <v>13808.23</v>
      </c>
      <c r="F207" s="456">
        <v>14000</v>
      </c>
      <c r="G207" s="168">
        <v>0</v>
      </c>
      <c r="H207" s="168">
        <v>0</v>
      </c>
      <c r="N207" s="168" t="s">
        <v>166</v>
      </c>
      <c r="O207" s="455" t="s">
        <v>1553</v>
      </c>
      <c r="P207" s="455" t="s">
        <v>633</v>
      </c>
      <c r="Q207" s="455">
        <v>14499</v>
      </c>
      <c r="R207" s="455">
        <v>7000</v>
      </c>
      <c r="S207" s="168">
        <v>17029.05</v>
      </c>
      <c r="T207" s="523">
        <v>17029</v>
      </c>
    </row>
    <row r="208" spans="1:22">
      <c r="A208" s="168" t="s">
        <v>167</v>
      </c>
      <c r="B208" s="455" t="s">
        <v>1553</v>
      </c>
      <c r="C208" s="455" t="s">
        <v>50</v>
      </c>
      <c r="D208" s="168" t="s">
        <v>1564</v>
      </c>
      <c r="E208" s="150">
        <v>50798.7</v>
      </c>
      <c r="F208" s="456">
        <v>50800</v>
      </c>
      <c r="G208" s="168">
        <v>68288.28</v>
      </c>
      <c r="H208" s="168">
        <v>68288</v>
      </c>
      <c r="N208" s="168" t="s">
        <v>167</v>
      </c>
      <c r="O208" s="455" t="s">
        <v>1553</v>
      </c>
      <c r="P208" s="455" t="s">
        <v>50</v>
      </c>
      <c r="Q208" s="455">
        <v>50799</v>
      </c>
      <c r="R208" s="455">
        <v>50799</v>
      </c>
      <c r="S208" s="168">
        <v>65829.59</v>
      </c>
      <c r="T208" s="523">
        <v>65829</v>
      </c>
    </row>
    <row r="209" spans="1:22">
      <c r="A209" s="168" t="s">
        <v>168</v>
      </c>
      <c r="B209" s="455" t="s">
        <v>1553</v>
      </c>
      <c r="C209" s="455" t="s">
        <v>52</v>
      </c>
      <c r="D209" s="168" t="s">
        <v>1564</v>
      </c>
      <c r="E209" s="150">
        <v>0</v>
      </c>
      <c r="F209" s="456">
        <v>3000</v>
      </c>
      <c r="G209" s="168">
        <v>3703.5</v>
      </c>
      <c r="H209" s="168">
        <v>3703</v>
      </c>
      <c r="N209" s="168" t="s">
        <v>168</v>
      </c>
      <c r="O209" s="455" t="s">
        <v>1553</v>
      </c>
      <c r="P209" s="455" t="s">
        <v>52</v>
      </c>
      <c r="Q209" s="455">
        <v>16706</v>
      </c>
      <c r="R209" s="455">
        <v>9209</v>
      </c>
      <c r="S209" s="168">
        <v>0</v>
      </c>
      <c r="T209" s="523">
        <v>0</v>
      </c>
    </row>
    <row r="210" spans="1:22">
      <c r="A210" s="168" t="s">
        <v>2693</v>
      </c>
      <c r="B210" s="455"/>
      <c r="E210" s="150"/>
      <c r="G210" s="168">
        <v>846.08</v>
      </c>
      <c r="H210" s="168">
        <v>847</v>
      </c>
      <c r="N210" s="168" t="s">
        <v>2693</v>
      </c>
      <c r="O210" s="455"/>
      <c r="P210" s="455"/>
      <c r="Q210" s="455">
        <v>5879</v>
      </c>
      <c r="R210" s="455">
        <v>3241</v>
      </c>
      <c r="S210" s="168">
        <v>0</v>
      </c>
      <c r="T210" s="523">
        <v>0</v>
      </c>
    </row>
    <row r="211" spans="1:22">
      <c r="A211" s="168" t="s">
        <v>169</v>
      </c>
      <c r="B211" s="455" t="s">
        <v>1553</v>
      </c>
      <c r="C211" s="455" t="s">
        <v>160</v>
      </c>
      <c r="D211" s="168" t="s">
        <v>1564</v>
      </c>
      <c r="E211" s="150">
        <v>408724.11</v>
      </c>
      <c r="F211" s="456">
        <v>410000</v>
      </c>
      <c r="G211" s="168">
        <v>0</v>
      </c>
      <c r="H211" s="168">
        <v>0</v>
      </c>
      <c r="N211" s="168" t="s">
        <v>169</v>
      </c>
      <c r="O211" s="455" t="s">
        <v>1553</v>
      </c>
      <c r="P211" s="455" t="s">
        <v>160</v>
      </c>
      <c r="Q211" s="455">
        <v>250000</v>
      </c>
      <c r="R211" s="455">
        <v>250000</v>
      </c>
      <c r="S211" s="168">
        <v>272074.90999999997</v>
      </c>
      <c r="T211" s="523">
        <v>272074</v>
      </c>
    </row>
    <row r="212" spans="1:22">
      <c r="A212" s="168" t="s">
        <v>2694</v>
      </c>
      <c r="B212" s="455"/>
      <c r="E212" s="150"/>
      <c r="G212" s="168">
        <v>260144.62</v>
      </c>
      <c r="H212" s="168">
        <v>260145</v>
      </c>
      <c r="N212" s="168" t="s">
        <v>2694</v>
      </c>
      <c r="O212" s="455"/>
      <c r="P212" s="455"/>
      <c r="Q212" s="455"/>
      <c r="R212" s="455"/>
      <c r="S212" s="168">
        <v>0</v>
      </c>
      <c r="T212" s="523">
        <v>0</v>
      </c>
    </row>
    <row r="213" spans="1:22" ht="15.75" thickBot="1">
      <c r="A213" s="168" t="s">
        <v>170</v>
      </c>
      <c r="B213" s="455" t="s">
        <v>1553</v>
      </c>
      <c r="C213" s="455" t="s">
        <v>171</v>
      </c>
      <c r="D213" s="168" t="s">
        <v>1564</v>
      </c>
      <c r="E213" s="150">
        <v>0</v>
      </c>
      <c r="F213" s="456">
        <v>0</v>
      </c>
      <c r="G213" s="168">
        <v>0</v>
      </c>
      <c r="H213" s="168">
        <v>0</v>
      </c>
      <c r="N213" s="168" t="s">
        <v>170</v>
      </c>
      <c r="O213" s="455" t="s">
        <v>1553</v>
      </c>
      <c r="P213" s="455" t="s">
        <v>171</v>
      </c>
      <c r="Q213" s="455">
        <v>88293</v>
      </c>
      <c r="R213" s="455">
        <v>30000</v>
      </c>
      <c r="S213" s="168">
        <v>2161.92</v>
      </c>
      <c r="T213" s="523">
        <v>2162</v>
      </c>
    </row>
    <row r="214" spans="1:22" ht="16.5" thickTop="1" thickBot="1">
      <c r="A214" s="554" t="s">
        <v>2668</v>
      </c>
      <c r="B214" s="555"/>
      <c r="C214" s="555"/>
      <c r="D214" s="556"/>
      <c r="E214" s="560">
        <f>SUM(E203:E213)</f>
        <v>527292.11</v>
      </c>
      <c r="F214" s="560">
        <f>SUM(F203:F213)</f>
        <v>534100</v>
      </c>
      <c r="G214" s="560">
        <f>SUM(G203:G213)</f>
        <v>782301</v>
      </c>
      <c r="H214" s="560">
        <f>SUM(H203:H213)</f>
        <v>782301</v>
      </c>
      <c r="N214" s="554" t="s">
        <v>2668</v>
      </c>
      <c r="O214" s="555"/>
      <c r="P214" s="555"/>
      <c r="Q214" s="555">
        <f>SUM(Q202:Q213)</f>
        <v>495813</v>
      </c>
      <c r="R214" s="555">
        <f>SUM(R202:R213)</f>
        <v>398310</v>
      </c>
      <c r="S214" s="560">
        <f>SUM(S202:S213)</f>
        <v>540966.28999999992</v>
      </c>
      <c r="T214" s="558">
        <f>SUM(T202:T213)</f>
        <v>540965</v>
      </c>
      <c r="U214" s="603">
        <f>SUM(S214)</f>
        <v>540966.28999999992</v>
      </c>
      <c r="V214" s="603">
        <f>SUM(T214)</f>
        <v>540965</v>
      </c>
    </row>
    <row r="215" spans="1:22" ht="15.75" thickTop="1">
      <c r="B215" s="455"/>
      <c r="E215" s="150"/>
      <c r="O215" s="455"/>
      <c r="P215" s="455"/>
      <c r="Q215" s="455"/>
      <c r="R215" s="455"/>
      <c r="T215" s="523"/>
    </row>
    <row r="216" spans="1:22" ht="15.75" thickBot="1">
      <c r="A216" s="168" t="s">
        <v>172</v>
      </c>
      <c r="B216" s="455" t="s">
        <v>431</v>
      </c>
      <c r="C216" s="455" t="s">
        <v>628</v>
      </c>
      <c r="D216" s="168" t="s">
        <v>1565</v>
      </c>
      <c r="E216" s="150">
        <v>-10960.29</v>
      </c>
      <c r="F216" s="456">
        <v>-6879</v>
      </c>
      <c r="G216" s="168">
        <v>-11747.43</v>
      </c>
      <c r="H216" s="168">
        <v>-319</v>
      </c>
      <c r="I216" s="168">
        <v>319</v>
      </c>
      <c r="N216" s="168" t="s">
        <v>172</v>
      </c>
      <c r="O216" s="455" t="s">
        <v>431</v>
      </c>
      <c r="P216" s="455" t="s">
        <v>628</v>
      </c>
      <c r="Q216" s="455">
        <v>-6324</v>
      </c>
      <c r="R216" s="455">
        <v>-5675</v>
      </c>
      <c r="S216" s="168">
        <v>-7621.47</v>
      </c>
      <c r="T216" s="523">
        <v>-5675</v>
      </c>
    </row>
    <row r="217" spans="1:22" ht="16.5" thickTop="1" thickBot="1">
      <c r="A217" s="554" t="s">
        <v>2668</v>
      </c>
      <c r="B217" s="555"/>
      <c r="C217" s="555"/>
      <c r="D217" s="556"/>
      <c r="E217" s="560">
        <f>SUM(E216:E216)</f>
        <v>-10960.29</v>
      </c>
      <c r="F217" s="560">
        <f>SUM(F216:F216)</f>
        <v>-6879</v>
      </c>
      <c r="G217" s="560">
        <f>SUM(G216:G216)</f>
        <v>-11747.43</v>
      </c>
      <c r="H217" s="560">
        <f>SUM(H216:H216)</f>
        <v>-319</v>
      </c>
      <c r="N217" s="554" t="s">
        <v>2668</v>
      </c>
      <c r="O217" s="555"/>
      <c r="P217" s="555"/>
      <c r="Q217" s="555">
        <f>SUM(Q216)</f>
        <v>-6324</v>
      </c>
      <c r="R217" s="555">
        <f>SUM(R216)</f>
        <v>-5675</v>
      </c>
      <c r="S217" s="560">
        <f>SUM(S216:S216)</f>
        <v>-7621.47</v>
      </c>
      <c r="T217" s="558">
        <f>SUM(T216:T216)</f>
        <v>-5675</v>
      </c>
      <c r="U217" s="168">
        <f>SUM(S217)</f>
        <v>-7621.47</v>
      </c>
      <c r="V217" s="168">
        <f>SUM(T217)</f>
        <v>-5675</v>
      </c>
    </row>
    <row r="218" spans="1:22" ht="15.75" thickTop="1">
      <c r="B218" s="455"/>
      <c r="E218" s="150"/>
      <c r="O218" s="455"/>
      <c r="P218" s="455"/>
      <c r="Q218" s="455"/>
      <c r="R218" s="455"/>
      <c r="T218" s="523"/>
    </row>
    <row r="219" spans="1:22">
      <c r="A219" s="168" t="s">
        <v>173</v>
      </c>
      <c r="B219" s="455" t="s">
        <v>1549</v>
      </c>
      <c r="C219" s="455" t="s">
        <v>75</v>
      </c>
      <c r="D219" s="168" t="s">
        <v>1565</v>
      </c>
      <c r="E219" s="150">
        <v>197965.68</v>
      </c>
      <c r="F219" s="456">
        <v>200697</v>
      </c>
      <c r="G219" s="168">
        <v>214452.12</v>
      </c>
      <c r="H219" s="168">
        <v>214452</v>
      </c>
      <c r="N219" s="168" t="s">
        <v>173</v>
      </c>
      <c r="O219" s="455" t="s">
        <v>1549</v>
      </c>
      <c r="P219" s="455" t="s">
        <v>75</v>
      </c>
      <c r="Q219" s="455">
        <v>233753</v>
      </c>
      <c r="R219" s="455">
        <v>233753</v>
      </c>
      <c r="S219" s="168">
        <v>108390.91</v>
      </c>
      <c r="T219" s="523">
        <v>108391</v>
      </c>
    </row>
    <row r="220" spans="1:22">
      <c r="A220" s="168" t="s">
        <v>174</v>
      </c>
      <c r="B220" s="455" t="s">
        <v>1549</v>
      </c>
      <c r="C220" s="455" t="s">
        <v>60</v>
      </c>
      <c r="D220" s="168" t="s">
        <v>1565</v>
      </c>
      <c r="E220" s="150">
        <v>16501.39</v>
      </c>
      <c r="F220" s="456">
        <v>16564</v>
      </c>
      <c r="G220" s="168">
        <v>17871.009999999998</v>
      </c>
      <c r="H220" s="168">
        <v>17871</v>
      </c>
      <c r="N220" s="168" t="s">
        <v>174</v>
      </c>
      <c r="O220" s="455" t="s">
        <v>1549</v>
      </c>
      <c r="P220" s="455" t="s">
        <v>60</v>
      </c>
      <c r="Q220" s="455">
        <v>19479</v>
      </c>
      <c r="R220" s="455">
        <v>19479</v>
      </c>
      <c r="S220" s="168">
        <v>14947.06</v>
      </c>
      <c r="T220" s="523">
        <v>14948</v>
      </c>
    </row>
    <row r="221" spans="1:22">
      <c r="B221" s="455"/>
      <c r="E221" s="150"/>
      <c r="N221" s="168" t="s">
        <v>3463</v>
      </c>
      <c r="O221" s="455"/>
      <c r="P221" s="455" t="s">
        <v>3464</v>
      </c>
      <c r="Q221" s="455"/>
      <c r="R221" s="455"/>
      <c r="S221" s="168">
        <v>11687.93</v>
      </c>
      <c r="T221" s="523">
        <v>11687</v>
      </c>
    </row>
    <row r="222" spans="1:22">
      <c r="A222" s="168" t="s">
        <v>175</v>
      </c>
      <c r="B222" s="455" t="s">
        <v>1549</v>
      </c>
      <c r="C222" s="455" t="s">
        <v>660</v>
      </c>
      <c r="D222" s="168" t="s">
        <v>1565</v>
      </c>
      <c r="E222" s="150">
        <v>0</v>
      </c>
      <c r="F222" s="456">
        <v>0</v>
      </c>
      <c r="G222" s="168">
        <v>0</v>
      </c>
      <c r="H222" s="168">
        <v>0</v>
      </c>
      <c r="N222" s="168" t="s">
        <v>175</v>
      </c>
      <c r="O222" s="455" t="s">
        <v>1549</v>
      </c>
      <c r="P222" s="455" t="s">
        <v>660</v>
      </c>
      <c r="Q222" s="455"/>
      <c r="R222" s="455"/>
      <c r="S222" s="168">
        <v>0</v>
      </c>
      <c r="T222" s="523">
        <v>0</v>
      </c>
    </row>
    <row r="223" spans="1:22">
      <c r="A223" s="168" t="s">
        <v>176</v>
      </c>
      <c r="B223" s="455" t="s">
        <v>1549</v>
      </c>
      <c r="C223" s="455" t="s">
        <v>767</v>
      </c>
      <c r="D223" s="168" t="s">
        <v>1565</v>
      </c>
      <c r="E223" s="150">
        <v>0</v>
      </c>
      <c r="F223" s="456">
        <v>0</v>
      </c>
      <c r="G223" s="168">
        <v>0</v>
      </c>
      <c r="H223" s="168">
        <v>0</v>
      </c>
      <c r="N223" s="168" t="s">
        <v>176</v>
      </c>
      <c r="O223" s="455" t="s">
        <v>1549</v>
      </c>
      <c r="P223" s="455" t="s">
        <v>767</v>
      </c>
      <c r="Q223" s="455">
        <v>8244</v>
      </c>
      <c r="R223" s="455">
        <v>8244</v>
      </c>
      <c r="S223" s="168">
        <v>0</v>
      </c>
      <c r="T223" s="523">
        <v>0</v>
      </c>
    </row>
    <row r="224" spans="1:22">
      <c r="A224" s="168" t="s">
        <v>177</v>
      </c>
      <c r="B224" s="455" t="s">
        <v>1549</v>
      </c>
      <c r="C224" s="455" t="s">
        <v>575</v>
      </c>
      <c r="D224" s="168" t="s">
        <v>1565</v>
      </c>
      <c r="E224" s="150">
        <v>10641.6</v>
      </c>
      <c r="F224" s="456">
        <v>11000</v>
      </c>
      <c r="G224" s="168">
        <v>11959.2</v>
      </c>
      <c r="H224" s="168">
        <v>11959</v>
      </c>
      <c r="N224" s="168" t="s">
        <v>177</v>
      </c>
      <c r="O224" s="455" t="s">
        <v>1549</v>
      </c>
      <c r="P224" s="455" t="s">
        <v>575</v>
      </c>
      <c r="Q224" s="455">
        <v>24842</v>
      </c>
      <c r="R224" s="455">
        <v>24842</v>
      </c>
      <c r="S224" s="168">
        <v>13615.2</v>
      </c>
      <c r="T224" s="523">
        <v>13616</v>
      </c>
    </row>
    <row r="225" spans="1:20">
      <c r="A225" s="168" t="s">
        <v>178</v>
      </c>
      <c r="B225" s="455" t="s">
        <v>1549</v>
      </c>
      <c r="C225" s="455" t="s">
        <v>590</v>
      </c>
      <c r="D225" s="168" t="s">
        <v>1565</v>
      </c>
      <c r="E225" s="150">
        <v>42557.279999999999</v>
      </c>
      <c r="F225" s="456">
        <v>42700</v>
      </c>
      <c r="G225" s="168">
        <v>46089.599999999999</v>
      </c>
      <c r="H225" s="168">
        <v>46090</v>
      </c>
      <c r="N225" s="168" t="s">
        <v>178</v>
      </c>
      <c r="O225" s="455" t="s">
        <v>1549</v>
      </c>
      <c r="P225" s="455" t="s">
        <v>590</v>
      </c>
      <c r="Q225" s="455">
        <v>51426</v>
      </c>
      <c r="R225" s="455">
        <v>51426</v>
      </c>
      <c r="S225" s="168">
        <v>22807.74</v>
      </c>
      <c r="T225" s="523">
        <v>22808</v>
      </c>
    </row>
    <row r="226" spans="1:20">
      <c r="A226" s="168" t="s">
        <v>179</v>
      </c>
      <c r="B226" s="455" t="s">
        <v>1549</v>
      </c>
      <c r="C226" s="455" t="s">
        <v>590</v>
      </c>
      <c r="D226" s="168" t="s">
        <v>1565</v>
      </c>
      <c r="E226" s="150">
        <v>2139.98</v>
      </c>
      <c r="F226" s="456">
        <v>2200</v>
      </c>
      <c r="G226" s="168">
        <v>2274.2600000000002</v>
      </c>
      <c r="H226" s="168">
        <v>2274</v>
      </c>
      <c r="N226" s="168" t="s">
        <v>179</v>
      </c>
      <c r="O226" s="455" t="s">
        <v>1549</v>
      </c>
      <c r="P226" s="455" t="s">
        <v>590</v>
      </c>
      <c r="Q226" s="455">
        <v>2338</v>
      </c>
      <c r="R226" s="455">
        <v>2338</v>
      </c>
      <c r="S226" s="168">
        <v>1395.15</v>
      </c>
      <c r="T226" s="523">
        <v>1396</v>
      </c>
    </row>
    <row r="227" spans="1:20">
      <c r="A227" s="168" t="s">
        <v>180</v>
      </c>
      <c r="B227" s="455" t="s">
        <v>1549</v>
      </c>
      <c r="C227" s="455" t="s">
        <v>590</v>
      </c>
      <c r="D227" s="168" t="s">
        <v>1565</v>
      </c>
      <c r="E227" s="150">
        <v>1755.96</v>
      </c>
      <c r="F227" s="456">
        <v>2000</v>
      </c>
      <c r="G227" s="168">
        <v>1901.76</v>
      </c>
      <c r="H227" s="168">
        <v>1902</v>
      </c>
      <c r="N227" s="168" t="s">
        <v>180</v>
      </c>
      <c r="O227" s="455" t="s">
        <v>1549</v>
      </c>
      <c r="P227" s="455" t="s">
        <v>590</v>
      </c>
      <c r="Q227" s="455">
        <v>3577</v>
      </c>
      <c r="R227" s="455">
        <v>3577</v>
      </c>
      <c r="S227" s="168">
        <v>158.47999999999999</v>
      </c>
      <c r="T227" s="523">
        <v>159</v>
      </c>
    </row>
    <row r="228" spans="1:20">
      <c r="A228" s="168" t="s">
        <v>181</v>
      </c>
      <c r="B228" s="455" t="s">
        <v>1549</v>
      </c>
      <c r="C228" s="455" t="s">
        <v>1807</v>
      </c>
      <c r="D228" s="168" t="s">
        <v>1565</v>
      </c>
      <c r="E228" s="150">
        <v>76.8</v>
      </c>
      <c r="F228" s="456">
        <v>80</v>
      </c>
      <c r="G228" s="168">
        <v>82.8</v>
      </c>
      <c r="H228" s="168">
        <v>83</v>
      </c>
      <c r="N228" s="168" t="s">
        <v>181</v>
      </c>
      <c r="O228" s="455" t="s">
        <v>1549</v>
      </c>
      <c r="P228" s="455" t="s">
        <v>1807</v>
      </c>
      <c r="Q228" s="455">
        <v>83</v>
      </c>
      <c r="R228" s="455">
        <v>83</v>
      </c>
      <c r="S228" s="168">
        <v>48.75</v>
      </c>
      <c r="T228" s="523">
        <v>49</v>
      </c>
    </row>
    <row r="229" spans="1:20">
      <c r="A229" s="168" t="s">
        <v>182</v>
      </c>
      <c r="B229" s="455" t="s">
        <v>1551</v>
      </c>
      <c r="C229" s="455" t="s">
        <v>592</v>
      </c>
      <c r="D229" s="168" t="s">
        <v>1565</v>
      </c>
      <c r="E229" s="150">
        <v>0</v>
      </c>
      <c r="F229" s="456">
        <v>61053</v>
      </c>
      <c r="G229" s="168">
        <v>0</v>
      </c>
      <c r="H229" s="168">
        <v>0</v>
      </c>
      <c r="N229" s="168" t="s">
        <v>182</v>
      </c>
      <c r="O229" s="455" t="s">
        <v>1551</v>
      </c>
      <c r="P229" s="455" t="s">
        <v>592</v>
      </c>
      <c r="Q229" s="455">
        <v>6649</v>
      </c>
      <c r="R229" s="455">
        <v>6649</v>
      </c>
      <c r="S229" s="168">
        <v>6381.14</v>
      </c>
      <c r="T229" s="523">
        <v>6649</v>
      </c>
    </row>
    <row r="230" spans="1:20">
      <c r="A230" s="168" t="s">
        <v>183</v>
      </c>
      <c r="B230" s="455" t="s">
        <v>1552</v>
      </c>
      <c r="C230" s="455" t="s">
        <v>595</v>
      </c>
      <c r="D230" s="168" t="s">
        <v>1565</v>
      </c>
      <c r="E230" s="150">
        <v>0</v>
      </c>
      <c r="F230" s="456">
        <v>0</v>
      </c>
      <c r="G230" s="168">
        <v>0</v>
      </c>
      <c r="H230" s="168">
        <v>0</v>
      </c>
      <c r="N230" s="168" t="s">
        <v>183</v>
      </c>
      <c r="O230" s="455" t="s">
        <v>1552</v>
      </c>
      <c r="P230" s="455" t="s">
        <v>595</v>
      </c>
      <c r="Q230" s="455">
        <v>2311</v>
      </c>
      <c r="R230" s="455"/>
      <c r="S230" s="168">
        <v>249.99</v>
      </c>
      <c r="T230" s="523">
        <v>250</v>
      </c>
    </row>
    <row r="231" spans="1:20">
      <c r="B231" s="455"/>
      <c r="E231" s="150"/>
      <c r="N231" s="168" t="s">
        <v>3728</v>
      </c>
      <c r="O231" s="455"/>
      <c r="P231" s="455"/>
      <c r="Q231" s="455">
        <v>2625</v>
      </c>
      <c r="R231" s="455">
        <v>1500</v>
      </c>
      <c r="T231" s="523"/>
    </row>
    <row r="232" spans="1:20">
      <c r="A232" s="168" t="s">
        <v>184</v>
      </c>
      <c r="B232" s="455" t="s">
        <v>1553</v>
      </c>
      <c r="C232" s="455" t="s">
        <v>612</v>
      </c>
      <c r="D232" s="168" t="s">
        <v>1565</v>
      </c>
      <c r="E232" s="150">
        <v>0</v>
      </c>
      <c r="F232" s="456">
        <v>0</v>
      </c>
      <c r="G232" s="168">
        <v>0</v>
      </c>
      <c r="H232" s="168">
        <v>0</v>
      </c>
      <c r="N232" s="168" t="s">
        <v>184</v>
      </c>
      <c r="O232" s="455" t="s">
        <v>1553</v>
      </c>
      <c r="P232" s="455" t="s">
        <v>612</v>
      </c>
      <c r="Q232" s="455">
        <v>2680</v>
      </c>
      <c r="R232" s="455"/>
      <c r="S232" s="168">
        <v>0</v>
      </c>
      <c r="T232" s="523">
        <v>0</v>
      </c>
    </row>
    <row r="233" spans="1:20">
      <c r="A233" s="168" t="s">
        <v>185</v>
      </c>
      <c r="B233" s="455" t="s">
        <v>1553</v>
      </c>
      <c r="C233" s="455" t="s">
        <v>616</v>
      </c>
      <c r="D233" s="168" t="s">
        <v>1565</v>
      </c>
      <c r="E233" s="150">
        <v>59.95</v>
      </c>
      <c r="F233" s="456">
        <v>100</v>
      </c>
      <c r="G233" s="168">
        <v>0</v>
      </c>
      <c r="H233" s="168">
        <v>0</v>
      </c>
      <c r="N233" s="168" t="s">
        <v>185</v>
      </c>
      <c r="O233" s="455" t="s">
        <v>1553</v>
      </c>
      <c r="P233" s="455" t="s">
        <v>616</v>
      </c>
      <c r="Q233" s="455">
        <v>1500</v>
      </c>
      <c r="R233" s="455">
        <v>1500</v>
      </c>
      <c r="S233" s="168">
        <v>1709.51</v>
      </c>
      <c r="T233" s="523">
        <v>1709</v>
      </c>
    </row>
    <row r="234" spans="1:20">
      <c r="A234" s="168" t="s">
        <v>186</v>
      </c>
      <c r="B234" s="455" t="s">
        <v>1553</v>
      </c>
      <c r="C234" s="455" t="s">
        <v>2322</v>
      </c>
      <c r="D234" s="168" t="s">
        <v>1565</v>
      </c>
      <c r="E234" s="150">
        <v>5135.29</v>
      </c>
      <c r="F234" s="456">
        <v>5200</v>
      </c>
      <c r="G234" s="168">
        <v>0</v>
      </c>
      <c r="H234" s="168">
        <v>0</v>
      </c>
      <c r="N234" s="168" t="s">
        <v>186</v>
      </c>
      <c r="O234" s="455" t="s">
        <v>1553</v>
      </c>
      <c r="P234" s="455" t="s">
        <v>2322</v>
      </c>
      <c r="Q234" s="455">
        <v>7200</v>
      </c>
      <c r="R234" s="455">
        <v>7200</v>
      </c>
      <c r="S234" s="168">
        <v>0</v>
      </c>
      <c r="T234" s="523">
        <v>0</v>
      </c>
    </row>
    <row r="235" spans="1:20">
      <c r="A235" s="168" t="s">
        <v>187</v>
      </c>
      <c r="B235" s="455" t="s">
        <v>1553</v>
      </c>
      <c r="C235" s="455" t="s">
        <v>2323</v>
      </c>
      <c r="D235" s="168" t="s">
        <v>1565</v>
      </c>
      <c r="E235" s="150">
        <v>0</v>
      </c>
      <c r="F235" s="456">
        <v>0</v>
      </c>
      <c r="G235" s="168">
        <v>0</v>
      </c>
      <c r="H235" s="168">
        <v>0</v>
      </c>
      <c r="N235" s="168" t="s">
        <v>187</v>
      </c>
      <c r="O235" s="455" t="s">
        <v>1553</v>
      </c>
      <c r="P235" s="455" t="s">
        <v>2323</v>
      </c>
      <c r="Q235" s="455">
        <v>4500</v>
      </c>
      <c r="R235" s="455"/>
      <c r="S235" s="168">
        <v>0</v>
      </c>
      <c r="T235" s="523">
        <v>0</v>
      </c>
    </row>
    <row r="236" spans="1:20">
      <c r="A236" s="168" t="s">
        <v>189</v>
      </c>
      <c r="B236" s="455" t="s">
        <v>1553</v>
      </c>
      <c r="C236" s="455" t="s">
        <v>190</v>
      </c>
      <c r="D236" s="168" t="s">
        <v>1565</v>
      </c>
      <c r="E236" s="150">
        <v>1140.06</v>
      </c>
      <c r="F236" s="456">
        <v>1200</v>
      </c>
      <c r="G236" s="168">
        <v>0</v>
      </c>
      <c r="H236" s="168">
        <v>0</v>
      </c>
      <c r="N236" s="168" t="s">
        <v>189</v>
      </c>
      <c r="O236" s="455" t="s">
        <v>1553</v>
      </c>
      <c r="P236" s="455" t="s">
        <v>190</v>
      </c>
      <c r="Q236" s="455">
        <v>2500</v>
      </c>
      <c r="R236" s="455">
        <v>1000</v>
      </c>
      <c r="S236" s="168">
        <v>0</v>
      </c>
      <c r="T236" s="523">
        <v>0</v>
      </c>
    </row>
    <row r="237" spans="1:20">
      <c r="B237" s="455"/>
      <c r="E237" s="150"/>
      <c r="N237" s="168" t="s">
        <v>3465</v>
      </c>
      <c r="O237" s="455"/>
      <c r="P237" s="455" t="s">
        <v>3466</v>
      </c>
      <c r="Q237" s="455"/>
      <c r="R237" s="455"/>
      <c r="S237" s="168">
        <v>4996.22</v>
      </c>
      <c r="T237" s="523">
        <v>4997</v>
      </c>
    </row>
    <row r="238" spans="1:20">
      <c r="A238" s="168" t="s">
        <v>192</v>
      </c>
      <c r="B238" s="455" t="s">
        <v>1553</v>
      </c>
      <c r="C238" s="455" t="s">
        <v>631</v>
      </c>
      <c r="D238" s="168" t="s">
        <v>1565</v>
      </c>
      <c r="E238" s="150">
        <v>0</v>
      </c>
      <c r="F238" s="456">
        <v>0</v>
      </c>
      <c r="G238" s="168">
        <v>51.41</v>
      </c>
      <c r="H238" s="168">
        <v>52</v>
      </c>
      <c r="N238" s="168" t="s">
        <v>192</v>
      </c>
      <c r="O238" s="455" t="s">
        <v>1553</v>
      </c>
      <c r="P238" s="455" t="s">
        <v>631</v>
      </c>
      <c r="Q238" s="455">
        <v>2000</v>
      </c>
      <c r="R238" s="455">
        <v>1000</v>
      </c>
      <c r="S238" s="168">
        <v>0</v>
      </c>
      <c r="T238" s="523">
        <v>0</v>
      </c>
    </row>
    <row r="239" spans="1:20">
      <c r="A239" s="168" t="s">
        <v>193</v>
      </c>
      <c r="B239" s="455" t="s">
        <v>1553</v>
      </c>
      <c r="C239" s="455" t="s">
        <v>633</v>
      </c>
      <c r="D239" s="168" t="s">
        <v>1565</v>
      </c>
      <c r="E239" s="150">
        <v>5952.23</v>
      </c>
      <c r="F239" s="456">
        <v>6000</v>
      </c>
      <c r="G239" s="168">
        <v>5963.98</v>
      </c>
      <c r="H239" s="168">
        <v>5963</v>
      </c>
      <c r="N239" s="168" t="s">
        <v>193</v>
      </c>
      <c r="O239" s="455" t="s">
        <v>1553</v>
      </c>
      <c r="P239" s="455" t="s">
        <v>633</v>
      </c>
      <c r="Q239" s="455">
        <v>26250</v>
      </c>
      <c r="R239" s="455"/>
      <c r="S239" s="168">
        <v>3769.96</v>
      </c>
      <c r="T239" s="523">
        <v>3770</v>
      </c>
    </row>
    <row r="240" spans="1:20">
      <c r="A240" s="168" t="s">
        <v>194</v>
      </c>
      <c r="B240" s="455" t="s">
        <v>1553</v>
      </c>
      <c r="C240" s="455" t="s">
        <v>50</v>
      </c>
      <c r="D240" s="168" t="s">
        <v>1565</v>
      </c>
      <c r="E240" s="150">
        <v>1951</v>
      </c>
      <c r="F240" s="456">
        <v>2000</v>
      </c>
      <c r="G240" s="168">
        <v>1382.55</v>
      </c>
      <c r="H240" s="168">
        <v>1382</v>
      </c>
      <c r="N240" s="168" t="s">
        <v>194</v>
      </c>
      <c r="O240" s="455" t="s">
        <v>1553</v>
      </c>
      <c r="P240" s="455" t="s">
        <v>50</v>
      </c>
      <c r="Q240" s="455">
        <v>1500</v>
      </c>
      <c r="R240" s="455"/>
      <c r="S240" s="168">
        <v>428.57</v>
      </c>
      <c r="T240" s="523">
        <v>429</v>
      </c>
    </row>
    <row r="241" spans="1:22">
      <c r="A241" s="168" t="s">
        <v>195</v>
      </c>
      <c r="B241" s="455" t="s">
        <v>1553</v>
      </c>
      <c r="C241" s="455" t="s">
        <v>52</v>
      </c>
      <c r="D241" s="168" t="s">
        <v>1565</v>
      </c>
      <c r="E241" s="150">
        <v>0</v>
      </c>
      <c r="F241" s="456">
        <v>0</v>
      </c>
      <c r="G241" s="168">
        <v>0</v>
      </c>
      <c r="H241" s="168">
        <v>0</v>
      </c>
      <c r="N241" s="168" t="s">
        <v>195</v>
      </c>
      <c r="O241" s="455" t="s">
        <v>1553</v>
      </c>
      <c r="P241" s="455" t="s">
        <v>52</v>
      </c>
      <c r="Q241" s="455">
        <v>5544</v>
      </c>
      <c r="R241" s="455"/>
      <c r="S241" s="168">
        <v>0</v>
      </c>
      <c r="T241" s="523">
        <v>0</v>
      </c>
    </row>
    <row r="242" spans="1:22">
      <c r="A242" s="168" t="s">
        <v>196</v>
      </c>
      <c r="B242" s="455" t="s">
        <v>1553</v>
      </c>
      <c r="C242" s="455" t="s">
        <v>52</v>
      </c>
      <c r="D242" s="168" t="s">
        <v>1565</v>
      </c>
      <c r="E242" s="150">
        <v>0</v>
      </c>
      <c r="F242" s="456">
        <v>0</v>
      </c>
      <c r="G242" s="168">
        <v>0</v>
      </c>
      <c r="H242" s="168">
        <v>0</v>
      </c>
      <c r="N242" s="168" t="s">
        <v>196</v>
      </c>
      <c r="O242" s="455" t="s">
        <v>1553</v>
      </c>
      <c r="P242" s="455" t="s">
        <v>52</v>
      </c>
      <c r="Q242" s="455">
        <v>7560</v>
      </c>
      <c r="R242" s="455"/>
      <c r="S242" s="168">
        <v>0</v>
      </c>
      <c r="T242" s="523">
        <v>0</v>
      </c>
    </row>
    <row r="243" spans="1:22">
      <c r="A243" s="168" t="s">
        <v>197</v>
      </c>
      <c r="B243" s="455" t="s">
        <v>1553</v>
      </c>
      <c r="C243" s="455" t="s">
        <v>198</v>
      </c>
      <c r="D243" s="168" t="s">
        <v>1565</v>
      </c>
      <c r="E243" s="150">
        <v>0</v>
      </c>
      <c r="F243" s="456">
        <v>0</v>
      </c>
      <c r="G243" s="168">
        <v>0</v>
      </c>
      <c r="H243" s="168">
        <v>0</v>
      </c>
      <c r="N243" s="168" t="s">
        <v>197</v>
      </c>
      <c r="O243" s="455" t="s">
        <v>1553</v>
      </c>
      <c r="P243" s="455" t="s">
        <v>198</v>
      </c>
      <c r="Q243" s="455"/>
      <c r="R243" s="455"/>
      <c r="S243" s="168">
        <v>0</v>
      </c>
      <c r="T243" s="523">
        <v>0</v>
      </c>
    </row>
    <row r="244" spans="1:22" ht="15.75" thickBot="1">
      <c r="A244" s="168" t="s">
        <v>199</v>
      </c>
      <c r="B244" s="455" t="s">
        <v>1553</v>
      </c>
      <c r="C244" s="455" t="s">
        <v>2324</v>
      </c>
      <c r="D244" s="168" t="s">
        <v>1565</v>
      </c>
      <c r="E244" s="150">
        <v>0</v>
      </c>
      <c r="F244" s="456">
        <v>0</v>
      </c>
      <c r="G244" s="168">
        <v>0</v>
      </c>
      <c r="H244" s="168">
        <v>0</v>
      </c>
      <c r="N244" s="168" t="s">
        <v>199</v>
      </c>
      <c r="O244" s="455" t="s">
        <v>1553</v>
      </c>
      <c r="P244" s="455" t="s">
        <v>2324</v>
      </c>
      <c r="Q244" s="455"/>
      <c r="R244" s="455"/>
      <c r="S244" s="168">
        <v>0</v>
      </c>
      <c r="T244" s="523">
        <v>0</v>
      </c>
    </row>
    <row r="245" spans="1:22" ht="16.5" thickTop="1" thickBot="1">
      <c r="A245" s="554" t="s">
        <v>2668</v>
      </c>
      <c r="B245" s="555"/>
      <c r="C245" s="555"/>
      <c r="D245" s="556"/>
      <c r="E245" s="560">
        <f>SUM(E219:E244)</f>
        <v>285877.21999999997</v>
      </c>
      <c r="F245" s="560">
        <f>SUM(F219:F244)</f>
        <v>350794</v>
      </c>
      <c r="G245" s="560">
        <f>SUM(G219:G244)</f>
        <v>302028.68999999994</v>
      </c>
      <c r="H245" s="560">
        <f>SUM(H219:H244)</f>
        <v>302028</v>
      </c>
      <c r="N245" s="554" t="s">
        <v>2668</v>
      </c>
      <c r="O245" s="555"/>
      <c r="P245" s="555"/>
      <c r="Q245" s="555">
        <f>SUM(Q219:Q244)</f>
        <v>416561</v>
      </c>
      <c r="R245" s="555">
        <f>SUM(R219:R244)</f>
        <v>362591</v>
      </c>
      <c r="S245" s="560">
        <f>SUM(S219:S244)</f>
        <v>190586.61000000002</v>
      </c>
      <c r="T245" s="558">
        <f>SUM(T219:T244)</f>
        <v>190858</v>
      </c>
      <c r="U245" s="168">
        <f>SUM(S245)</f>
        <v>190586.61000000002</v>
      </c>
      <c r="V245" s="168">
        <f>SUM(T245)</f>
        <v>190858</v>
      </c>
    </row>
    <row r="246" spans="1:22" ht="15.75" thickTop="1">
      <c r="B246" s="455"/>
      <c r="E246" s="150"/>
      <c r="O246" s="455"/>
      <c r="P246" s="455"/>
      <c r="Q246" s="455"/>
      <c r="R246" s="455"/>
      <c r="T246" s="523"/>
      <c r="U246" s="603">
        <f>SUM(U217:U245)</f>
        <v>182965.14</v>
      </c>
      <c r="V246" s="603">
        <f>SUM(V217:V245)</f>
        <v>185183</v>
      </c>
    </row>
    <row r="247" spans="1:22">
      <c r="A247" s="168" t="s">
        <v>200</v>
      </c>
      <c r="B247" s="455" t="s">
        <v>1549</v>
      </c>
      <c r="C247" s="455" t="s">
        <v>75</v>
      </c>
      <c r="D247" s="168" t="s">
        <v>1566</v>
      </c>
      <c r="E247" s="150">
        <v>154400.28</v>
      </c>
      <c r="F247" s="456">
        <v>155000</v>
      </c>
      <c r="G247" s="168">
        <v>165815.04000000001</v>
      </c>
      <c r="H247" s="168">
        <v>165815</v>
      </c>
      <c r="N247" s="168" t="s">
        <v>200</v>
      </c>
      <c r="O247" s="455" t="s">
        <v>1549</v>
      </c>
      <c r="P247" s="455" t="s">
        <v>75</v>
      </c>
      <c r="Q247" s="455">
        <v>347049</v>
      </c>
      <c r="R247" s="455">
        <v>347049</v>
      </c>
      <c r="S247" s="168">
        <v>209537.54</v>
      </c>
      <c r="T247" s="523">
        <v>209538</v>
      </c>
    </row>
    <row r="248" spans="1:22">
      <c r="A248" s="168" t="s">
        <v>2695</v>
      </c>
      <c r="B248" s="455"/>
      <c r="E248" s="150"/>
      <c r="G248" s="168">
        <v>53970.2</v>
      </c>
      <c r="H248" s="168">
        <v>53970</v>
      </c>
      <c r="N248" s="168" t="s">
        <v>2695</v>
      </c>
      <c r="O248" s="455"/>
      <c r="P248" s="455"/>
      <c r="Q248" s="455">
        <v>35000</v>
      </c>
      <c r="R248" s="455"/>
      <c r="S248" s="168">
        <v>0</v>
      </c>
      <c r="T248" s="523">
        <v>0</v>
      </c>
    </row>
    <row r="249" spans="1:22">
      <c r="A249" s="168" t="s">
        <v>201</v>
      </c>
      <c r="B249" s="455" t="s">
        <v>1549</v>
      </c>
      <c r="C249" s="455" t="s">
        <v>60</v>
      </c>
      <c r="D249" s="168" t="s">
        <v>1566</v>
      </c>
      <c r="E249" s="150">
        <v>12758.94</v>
      </c>
      <c r="F249" s="456">
        <v>13000</v>
      </c>
      <c r="G249" s="168">
        <v>13817.92</v>
      </c>
      <c r="H249" s="168">
        <v>13817</v>
      </c>
      <c r="N249" s="168" t="s">
        <v>201</v>
      </c>
      <c r="O249" s="455" t="s">
        <v>1549</v>
      </c>
      <c r="P249" s="455" t="s">
        <v>60</v>
      </c>
      <c r="Q249" s="455">
        <v>28921</v>
      </c>
      <c r="R249" s="455">
        <v>28921</v>
      </c>
      <c r="S249" s="168">
        <v>16453.28</v>
      </c>
      <c r="T249" s="523">
        <v>16454</v>
      </c>
    </row>
    <row r="250" spans="1:22">
      <c r="A250" s="168" t="s">
        <v>202</v>
      </c>
      <c r="B250" s="455" t="s">
        <v>1549</v>
      </c>
      <c r="C250" s="455" t="s">
        <v>515</v>
      </c>
      <c r="D250" s="168" t="s">
        <v>1566</v>
      </c>
      <c r="E250" s="150">
        <v>8520.5</v>
      </c>
      <c r="F250" s="456">
        <v>9000</v>
      </c>
      <c r="G250" s="168">
        <v>0</v>
      </c>
      <c r="H250" s="168">
        <v>0</v>
      </c>
      <c r="N250" s="168" t="s">
        <v>202</v>
      </c>
      <c r="O250" s="455" t="s">
        <v>1549</v>
      </c>
      <c r="P250" s="455" t="s">
        <v>515</v>
      </c>
      <c r="Q250" s="455"/>
      <c r="R250" s="455"/>
      <c r="S250" s="168">
        <v>-0.56999999999999995</v>
      </c>
      <c r="T250" s="523">
        <v>0</v>
      </c>
    </row>
    <row r="251" spans="1:22">
      <c r="A251" s="168" t="s">
        <v>203</v>
      </c>
      <c r="B251" s="455" t="s">
        <v>1549</v>
      </c>
      <c r="C251" s="455" t="s">
        <v>767</v>
      </c>
      <c r="D251" s="168" t="s">
        <v>1566</v>
      </c>
      <c r="E251" s="150">
        <v>0</v>
      </c>
      <c r="F251" s="456">
        <v>0</v>
      </c>
      <c r="G251" s="168">
        <v>0</v>
      </c>
      <c r="H251" s="168">
        <v>0</v>
      </c>
      <c r="N251" s="168" t="s">
        <v>203</v>
      </c>
      <c r="O251" s="455" t="s">
        <v>1549</v>
      </c>
      <c r="P251" s="455" t="s">
        <v>767</v>
      </c>
      <c r="Q251" s="455">
        <v>3000</v>
      </c>
      <c r="R251" s="455">
        <v>3000</v>
      </c>
      <c r="S251" s="168">
        <v>0</v>
      </c>
      <c r="T251" s="523">
        <v>0</v>
      </c>
    </row>
    <row r="252" spans="1:22">
      <c r="A252" s="168" t="s">
        <v>2696</v>
      </c>
      <c r="B252" s="455"/>
      <c r="E252" s="150"/>
      <c r="G252" s="168">
        <v>1048.4000000000001</v>
      </c>
      <c r="H252" s="168">
        <v>1048</v>
      </c>
      <c r="N252" s="168" t="s">
        <v>2696</v>
      </c>
      <c r="O252" s="455"/>
      <c r="P252" s="455"/>
      <c r="Q252" s="455"/>
      <c r="R252" s="455"/>
      <c r="S252" s="168">
        <v>0</v>
      </c>
      <c r="T252" s="523">
        <v>0</v>
      </c>
    </row>
    <row r="253" spans="1:22">
      <c r="A253" s="168" t="s">
        <v>204</v>
      </c>
      <c r="B253" s="455" t="s">
        <v>1549</v>
      </c>
      <c r="C253" s="455" t="s">
        <v>590</v>
      </c>
      <c r="D253" s="168" t="s">
        <v>1566</v>
      </c>
      <c r="E253" s="150">
        <v>8956.7999999999993</v>
      </c>
      <c r="F253" s="456">
        <v>9000</v>
      </c>
      <c r="G253" s="168">
        <v>10717.2</v>
      </c>
      <c r="H253" s="168">
        <v>10717</v>
      </c>
      <c r="N253" s="168" t="s">
        <v>204</v>
      </c>
      <c r="O253" s="455" t="s">
        <v>1549</v>
      </c>
      <c r="P253" s="455" t="s">
        <v>590</v>
      </c>
      <c r="Q253" s="455">
        <v>74526</v>
      </c>
      <c r="R253" s="455">
        <v>74526</v>
      </c>
      <c r="S253" s="168">
        <v>12621.6</v>
      </c>
      <c r="T253" s="523">
        <v>12622</v>
      </c>
    </row>
    <row r="254" spans="1:22">
      <c r="A254" s="168" t="s">
        <v>205</v>
      </c>
      <c r="B254" s="455" t="s">
        <v>1549</v>
      </c>
      <c r="C254" s="455" t="s">
        <v>590</v>
      </c>
      <c r="D254" s="168" t="s">
        <v>1566</v>
      </c>
      <c r="E254" s="150">
        <v>33967.980000000003</v>
      </c>
      <c r="F254" s="456">
        <v>35000</v>
      </c>
      <c r="G254" s="168">
        <v>36479.279999999999</v>
      </c>
      <c r="H254" s="168">
        <v>36479</v>
      </c>
      <c r="N254" s="168" t="s">
        <v>205</v>
      </c>
      <c r="O254" s="455" t="s">
        <v>1549</v>
      </c>
      <c r="P254" s="455" t="s">
        <v>590</v>
      </c>
      <c r="Q254" s="455">
        <v>42307</v>
      </c>
      <c r="R254" s="455">
        <v>42307</v>
      </c>
      <c r="S254" s="168">
        <v>45831.3</v>
      </c>
      <c r="T254" s="523">
        <v>45831</v>
      </c>
    </row>
    <row r="255" spans="1:22">
      <c r="A255" s="168" t="s">
        <v>206</v>
      </c>
      <c r="B255" s="455" t="s">
        <v>1549</v>
      </c>
      <c r="C255" s="455" t="s">
        <v>590</v>
      </c>
      <c r="D255" s="168" t="s">
        <v>1566</v>
      </c>
      <c r="E255" s="150">
        <v>1721.69</v>
      </c>
      <c r="F255" s="456">
        <v>1800</v>
      </c>
      <c r="G255" s="168">
        <v>2186.8200000000002</v>
      </c>
      <c r="H255" s="168">
        <v>2186</v>
      </c>
      <c r="N255" s="168" t="s">
        <v>206</v>
      </c>
      <c r="O255" s="455" t="s">
        <v>1549</v>
      </c>
      <c r="P255" s="455" t="s">
        <v>590</v>
      </c>
      <c r="Q255" s="455">
        <v>3470</v>
      </c>
      <c r="R255" s="455">
        <v>3470</v>
      </c>
      <c r="S255" s="168">
        <v>2080.9699999999998</v>
      </c>
      <c r="T255" s="523">
        <v>2081</v>
      </c>
    </row>
    <row r="256" spans="1:22">
      <c r="A256" s="168" t="s">
        <v>207</v>
      </c>
      <c r="B256" s="455" t="s">
        <v>1549</v>
      </c>
      <c r="C256" s="455" t="s">
        <v>590</v>
      </c>
      <c r="D256" s="168" t="s">
        <v>1566</v>
      </c>
      <c r="E256" s="150">
        <v>2285.4</v>
      </c>
      <c r="F256" s="456">
        <v>2300</v>
      </c>
      <c r="G256" s="168">
        <v>2520.48</v>
      </c>
      <c r="H256" s="168">
        <v>2520</v>
      </c>
      <c r="N256" s="168" t="s">
        <v>207</v>
      </c>
      <c r="O256" s="455" t="s">
        <v>1549</v>
      </c>
      <c r="P256" s="455" t="s">
        <v>590</v>
      </c>
      <c r="Q256" s="455">
        <v>5310</v>
      </c>
      <c r="R256" s="455">
        <v>5310</v>
      </c>
      <c r="S256" s="168">
        <v>2942.92</v>
      </c>
      <c r="T256" s="523">
        <v>2943</v>
      </c>
    </row>
    <row r="257" spans="1:22">
      <c r="A257" s="168" t="s">
        <v>208</v>
      </c>
      <c r="B257" s="455" t="s">
        <v>1549</v>
      </c>
      <c r="C257" s="455" t="s">
        <v>1807</v>
      </c>
      <c r="D257" s="168" t="s">
        <v>1566</v>
      </c>
      <c r="E257" s="150">
        <v>76.8</v>
      </c>
      <c r="F257" s="456">
        <v>80</v>
      </c>
      <c r="G257" s="168">
        <v>82.8</v>
      </c>
      <c r="H257" s="168">
        <v>83</v>
      </c>
      <c r="N257" s="168" t="s">
        <v>208</v>
      </c>
      <c r="O257" s="455" t="s">
        <v>1549</v>
      </c>
      <c r="P257" s="455" t="s">
        <v>1807</v>
      </c>
      <c r="Q257" s="455">
        <v>83</v>
      </c>
      <c r="R257" s="455">
        <v>83</v>
      </c>
      <c r="S257" s="168">
        <v>90</v>
      </c>
      <c r="T257" s="523">
        <v>90</v>
      </c>
    </row>
    <row r="258" spans="1:22">
      <c r="A258" s="168" t="s">
        <v>209</v>
      </c>
      <c r="B258" s="455" t="s">
        <v>1551</v>
      </c>
      <c r="C258" s="455" t="s">
        <v>592</v>
      </c>
      <c r="D258" s="168" t="s">
        <v>1566</v>
      </c>
      <c r="E258" s="150">
        <v>0</v>
      </c>
      <c r="F258" s="456">
        <v>0</v>
      </c>
      <c r="G258" s="168">
        <v>0</v>
      </c>
      <c r="H258" s="168">
        <v>0</v>
      </c>
      <c r="N258" s="168" t="s">
        <v>209</v>
      </c>
      <c r="O258" s="455" t="s">
        <v>1551</v>
      </c>
      <c r="P258" s="455" t="s">
        <v>592</v>
      </c>
      <c r="Q258" s="455">
        <v>2863</v>
      </c>
      <c r="R258" s="455">
        <v>2863</v>
      </c>
      <c r="S258" s="168">
        <v>2857.86</v>
      </c>
      <c r="T258" s="523">
        <v>2863</v>
      </c>
    </row>
    <row r="259" spans="1:22">
      <c r="A259" s="168" t="s">
        <v>210</v>
      </c>
      <c r="B259" s="455" t="s">
        <v>1552</v>
      </c>
      <c r="C259" s="455" t="s">
        <v>2326</v>
      </c>
      <c r="D259" s="168" t="s">
        <v>1566</v>
      </c>
      <c r="E259" s="150">
        <v>0</v>
      </c>
      <c r="F259" s="456">
        <v>0</v>
      </c>
      <c r="G259" s="168">
        <v>0</v>
      </c>
      <c r="H259" s="168">
        <v>0</v>
      </c>
      <c r="N259" s="168" t="s">
        <v>210</v>
      </c>
      <c r="O259" s="455" t="s">
        <v>1552</v>
      </c>
      <c r="P259" s="455" t="s">
        <v>2326</v>
      </c>
      <c r="Q259" s="455">
        <v>1500</v>
      </c>
      <c r="R259" s="455">
        <v>1103</v>
      </c>
      <c r="S259" s="168">
        <v>0</v>
      </c>
      <c r="T259" s="523">
        <v>0</v>
      </c>
    </row>
    <row r="260" spans="1:22">
      <c r="A260" s="168" t="s">
        <v>211</v>
      </c>
      <c r="B260" s="455" t="s">
        <v>1552</v>
      </c>
      <c r="C260" s="455" t="s">
        <v>545</v>
      </c>
      <c r="D260" s="168" t="s">
        <v>1566</v>
      </c>
      <c r="E260" s="150">
        <v>0</v>
      </c>
      <c r="F260" s="456">
        <v>0</v>
      </c>
      <c r="G260" s="168">
        <v>0</v>
      </c>
      <c r="H260" s="168">
        <v>0</v>
      </c>
      <c r="N260" s="168" t="s">
        <v>211</v>
      </c>
      <c r="O260" s="455" t="s">
        <v>1552</v>
      </c>
      <c r="P260" s="455" t="s">
        <v>545</v>
      </c>
      <c r="Q260" s="455">
        <v>1860</v>
      </c>
      <c r="R260" s="455">
        <v>1367</v>
      </c>
      <c r="S260" s="168">
        <v>0</v>
      </c>
      <c r="T260" s="523">
        <v>0</v>
      </c>
    </row>
    <row r="261" spans="1:22">
      <c r="A261" s="168" t="s">
        <v>212</v>
      </c>
      <c r="B261" s="455" t="s">
        <v>1553</v>
      </c>
      <c r="C261" s="455" t="s">
        <v>612</v>
      </c>
      <c r="D261" s="168" t="s">
        <v>1566</v>
      </c>
      <c r="E261" s="150">
        <v>18</v>
      </c>
      <c r="F261" s="456">
        <v>5000</v>
      </c>
      <c r="G261" s="168">
        <v>394.28</v>
      </c>
      <c r="H261" s="168">
        <v>395</v>
      </c>
      <c r="N261" s="168" t="s">
        <v>212</v>
      </c>
      <c r="O261" s="455" t="s">
        <v>1553</v>
      </c>
      <c r="P261" s="455" t="s">
        <v>612</v>
      </c>
      <c r="Q261" s="455">
        <v>46500</v>
      </c>
      <c r="R261" s="455">
        <v>24000</v>
      </c>
      <c r="S261" s="168">
        <v>0</v>
      </c>
      <c r="T261" s="523">
        <v>0</v>
      </c>
    </row>
    <row r="262" spans="1:22">
      <c r="A262" s="168" t="s">
        <v>213</v>
      </c>
      <c r="B262" s="455" t="s">
        <v>1553</v>
      </c>
      <c r="C262" s="455" t="s">
        <v>616</v>
      </c>
      <c r="D262" s="168" t="s">
        <v>1566</v>
      </c>
      <c r="E262" s="150">
        <v>2550</v>
      </c>
      <c r="F262" s="456">
        <v>3000</v>
      </c>
      <c r="G262" s="168">
        <v>0</v>
      </c>
      <c r="H262" s="168">
        <v>0</v>
      </c>
      <c r="N262" s="168" t="s">
        <v>213</v>
      </c>
      <c r="O262" s="455" t="s">
        <v>1553</v>
      </c>
      <c r="P262" s="455" t="s">
        <v>616</v>
      </c>
      <c r="Q262" s="455">
        <v>1501</v>
      </c>
      <c r="R262" s="455">
        <v>820</v>
      </c>
      <c r="S262" s="168">
        <v>12</v>
      </c>
      <c r="T262" s="523">
        <v>13</v>
      </c>
    </row>
    <row r="263" spans="1:22">
      <c r="A263" s="168" t="s">
        <v>214</v>
      </c>
      <c r="B263" s="455" t="s">
        <v>1553</v>
      </c>
      <c r="C263" s="455" t="s">
        <v>631</v>
      </c>
      <c r="D263" s="168" t="s">
        <v>1566</v>
      </c>
      <c r="E263" s="150">
        <v>0</v>
      </c>
      <c r="F263" s="456">
        <v>0</v>
      </c>
      <c r="G263" s="168">
        <v>0</v>
      </c>
      <c r="H263" s="168">
        <v>0</v>
      </c>
      <c r="N263" s="168" t="s">
        <v>214</v>
      </c>
      <c r="O263" s="455" t="s">
        <v>1553</v>
      </c>
      <c r="P263" s="455" t="s">
        <v>631</v>
      </c>
      <c r="Q263" s="455">
        <v>488</v>
      </c>
      <c r="R263" s="455">
        <v>488</v>
      </c>
      <c r="S263" s="168">
        <v>0</v>
      </c>
      <c r="T263" s="523">
        <v>0</v>
      </c>
    </row>
    <row r="264" spans="1:22">
      <c r="A264" s="168" t="s">
        <v>215</v>
      </c>
      <c r="B264" s="455" t="s">
        <v>1553</v>
      </c>
      <c r="C264" s="455" t="s">
        <v>633</v>
      </c>
      <c r="D264" s="168" t="s">
        <v>1566</v>
      </c>
      <c r="E264" s="150">
        <v>767.13</v>
      </c>
      <c r="F264" s="456">
        <v>1000</v>
      </c>
      <c r="G264" s="168">
        <v>1792.26</v>
      </c>
      <c r="H264" s="168">
        <v>1793</v>
      </c>
      <c r="N264" s="168" t="s">
        <v>215</v>
      </c>
      <c r="O264" s="455" t="s">
        <v>1553</v>
      </c>
      <c r="P264" s="455" t="s">
        <v>633</v>
      </c>
      <c r="Q264" s="455">
        <v>26250</v>
      </c>
      <c r="R264" s="455">
        <v>12000</v>
      </c>
      <c r="S264" s="168">
        <v>1135.42</v>
      </c>
      <c r="T264" s="523">
        <v>1136</v>
      </c>
    </row>
    <row r="265" spans="1:22">
      <c r="A265" s="168" t="s">
        <v>216</v>
      </c>
      <c r="B265" s="455" t="s">
        <v>1553</v>
      </c>
      <c r="C265" s="455" t="s">
        <v>70</v>
      </c>
      <c r="D265" s="168" t="s">
        <v>1566</v>
      </c>
      <c r="E265" s="150">
        <v>97954.3</v>
      </c>
      <c r="F265" s="456">
        <v>98000</v>
      </c>
      <c r="G265" s="168">
        <v>61514.3</v>
      </c>
      <c r="H265" s="168">
        <v>61514</v>
      </c>
      <c r="N265" s="168" t="s">
        <v>216</v>
      </c>
      <c r="O265" s="455" t="s">
        <v>1553</v>
      </c>
      <c r="P265" s="455" t="s">
        <v>70</v>
      </c>
      <c r="Q265" s="455">
        <v>68355</v>
      </c>
      <c r="R265" s="455">
        <v>65100</v>
      </c>
      <c r="S265" s="168">
        <v>0</v>
      </c>
      <c r="T265" s="523">
        <v>0</v>
      </c>
    </row>
    <row r="266" spans="1:22">
      <c r="A266" s="168" t="s">
        <v>217</v>
      </c>
      <c r="B266" s="455" t="s">
        <v>1553</v>
      </c>
      <c r="C266" s="455" t="s">
        <v>50</v>
      </c>
      <c r="D266" s="168" t="s">
        <v>1566</v>
      </c>
      <c r="E266" s="150">
        <v>8532.26</v>
      </c>
      <c r="F266" s="456">
        <v>13500</v>
      </c>
      <c r="G266" s="168">
        <v>6415.89</v>
      </c>
      <c r="H266" s="168">
        <v>6416</v>
      </c>
      <c r="N266" s="168" t="s">
        <v>217</v>
      </c>
      <c r="O266" s="455" t="s">
        <v>1553</v>
      </c>
      <c r="P266" s="455" t="s">
        <v>50</v>
      </c>
      <c r="Q266" s="455">
        <v>48825</v>
      </c>
      <c r="R266" s="455">
        <v>12000</v>
      </c>
      <c r="S266" s="168">
        <v>1236.1199999999999</v>
      </c>
      <c r="T266" s="523">
        <v>1237</v>
      </c>
    </row>
    <row r="267" spans="1:22">
      <c r="A267" s="168" t="s">
        <v>218</v>
      </c>
      <c r="B267" s="455" t="s">
        <v>1553</v>
      </c>
      <c r="C267" s="455" t="s">
        <v>52</v>
      </c>
      <c r="D267" s="168" t="s">
        <v>1566</v>
      </c>
      <c r="E267" s="150">
        <v>8382.4</v>
      </c>
      <c r="F267" s="456">
        <v>10000</v>
      </c>
      <c r="G267" s="168">
        <v>30439.31</v>
      </c>
      <c r="H267" s="168">
        <v>30439</v>
      </c>
      <c r="N267" s="168" t="s">
        <v>218</v>
      </c>
      <c r="O267" s="455" t="s">
        <v>1553</v>
      </c>
      <c r="P267" s="455" t="s">
        <v>52</v>
      </c>
      <c r="Q267" s="455">
        <v>10967</v>
      </c>
      <c r="R267" s="455">
        <v>8000</v>
      </c>
      <c r="S267" s="168">
        <v>11141.1</v>
      </c>
      <c r="T267" s="523">
        <v>11141</v>
      </c>
    </row>
    <row r="268" spans="1:22" ht="15.75" thickBot="1">
      <c r="A268" s="168" t="s">
        <v>219</v>
      </c>
      <c r="B268" s="455" t="s">
        <v>1553</v>
      </c>
      <c r="C268" s="455" t="s">
        <v>52</v>
      </c>
      <c r="D268" s="168" t="s">
        <v>1566</v>
      </c>
      <c r="E268" s="150">
        <v>0</v>
      </c>
      <c r="F268" s="456">
        <v>0</v>
      </c>
      <c r="G268" s="168">
        <v>0</v>
      </c>
      <c r="H268" s="168">
        <v>0</v>
      </c>
      <c r="N268" s="168" t="s">
        <v>219</v>
      </c>
      <c r="O268" s="455" t="s">
        <v>1553</v>
      </c>
      <c r="P268" s="455" t="s">
        <v>52</v>
      </c>
      <c r="Q268" s="455"/>
      <c r="R268" s="455"/>
      <c r="S268" s="168">
        <v>0</v>
      </c>
      <c r="T268" s="523">
        <v>0</v>
      </c>
    </row>
    <row r="269" spans="1:22" ht="16.5" thickTop="1" thickBot="1">
      <c r="A269" s="554" t="s">
        <v>2668</v>
      </c>
      <c r="B269" s="555"/>
      <c r="C269" s="555"/>
      <c r="D269" s="556"/>
      <c r="E269" s="560">
        <f>SUM(E247:E268)</f>
        <v>340892.48000000004</v>
      </c>
      <c r="F269" s="560">
        <f>SUM(F247:F268)</f>
        <v>355680</v>
      </c>
      <c r="G269" s="560">
        <f>SUM(G247:G268)</f>
        <v>387194.18000000005</v>
      </c>
      <c r="H269" s="560">
        <f>SUM(H247:H268)</f>
        <v>387192</v>
      </c>
      <c r="N269" s="554" t="s">
        <v>2668</v>
      </c>
      <c r="O269" s="555"/>
      <c r="P269" s="555"/>
      <c r="Q269" s="555">
        <f>SUM(Q247:Q268)</f>
        <v>748775</v>
      </c>
      <c r="R269" s="555">
        <f>SUM(R246:R268)</f>
        <v>632407</v>
      </c>
      <c r="S269" s="560">
        <f>SUM(S247:S268)</f>
        <v>305939.53999999992</v>
      </c>
      <c r="T269" s="558">
        <f>SUM(T247:T268)</f>
        <v>305949</v>
      </c>
      <c r="U269" s="603">
        <f>SUM(S269)</f>
        <v>305939.53999999992</v>
      </c>
      <c r="V269" s="603">
        <f>SUM(T269)</f>
        <v>305949</v>
      </c>
    </row>
    <row r="270" spans="1:22" ht="15.75" thickTop="1">
      <c r="B270" s="455"/>
      <c r="E270" s="150"/>
      <c r="O270" s="455"/>
      <c r="P270" s="455"/>
      <c r="Q270" s="455"/>
      <c r="R270" s="455"/>
      <c r="T270" s="523"/>
    </row>
    <row r="271" spans="1:22">
      <c r="A271" s="168" t="s">
        <v>220</v>
      </c>
      <c r="B271" s="455" t="s">
        <v>23</v>
      </c>
      <c r="C271" s="455" t="s">
        <v>221</v>
      </c>
      <c r="D271" s="168" t="s">
        <v>1567</v>
      </c>
      <c r="E271" s="150">
        <f>-552487.3+3442.8</f>
        <v>-549044.5</v>
      </c>
      <c r="F271" s="456">
        <v>0</v>
      </c>
      <c r="G271" s="168">
        <v>-259851.12</v>
      </c>
      <c r="H271" s="168">
        <v>-208145</v>
      </c>
      <c r="N271" s="168" t="s">
        <v>220</v>
      </c>
      <c r="O271" s="455" t="s">
        <v>23</v>
      </c>
      <c r="P271" s="455" t="s">
        <v>221</v>
      </c>
      <c r="Q271" s="455">
        <v>-210800</v>
      </c>
      <c r="R271" s="455">
        <v>-210800</v>
      </c>
      <c r="S271" s="168">
        <v>-67227.759999999995</v>
      </c>
      <c r="T271" s="523">
        <v>-210800</v>
      </c>
    </row>
    <row r="272" spans="1:22">
      <c r="A272" s="168" t="s">
        <v>222</v>
      </c>
      <c r="B272" s="455" t="s">
        <v>24</v>
      </c>
      <c r="C272" s="455" t="s">
        <v>221</v>
      </c>
      <c r="D272" s="168" t="s">
        <v>1567</v>
      </c>
      <c r="E272" s="150">
        <f>-1044067.71-3442.8</f>
        <v>-1047510.51</v>
      </c>
      <c r="F272" s="456">
        <v>-931514</v>
      </c>
      <c r="G272" s="168">
        <f>-1472417.19+259851.12</f>
        <v>-1212566.0699999998</v>
      </c>
      <c r="H272" s="168">
        <v>-1352669</v>
      </c>
      <c r="N272" s="168" t="s">
        <v>222</v>
      </c>
      <c r="O272" s="455" t="s">
        <v>24</v>
      </c>
      <c r="P272" s="455" t="s">
        <v>221</v>
      </c>
      <c r="Q272" s="455">
        <v>-1317500</v>
      </c>
      <c r="R272" s="455">
        <v>-1250000</v>
      </c>
      <c r="S272" s="168">
        <v>-799677.8</v>
      </c>
      <c r="T272" s="523">
        <v>-1250000</v>
      </c>
    </row>
    <row r="273" spans="1:22">
      <c r="A273" s="168" t="s">
        <v>2697</v>
      </c>
      <c r="B273" s="455" t="s">
        <v>25</v>
      </c>
      <c r="C273" s="455" t="s">
        <v>191</v>
      </c>
      <c r="D273" s="168" t="s">
        <v>1567</v>
      </c>
      <c r="E273" s="150">
        <v>-25302.05</v>
      </c>
      <c r="F273" s="456">
        <v>-30020</v>
      </c>
      <c r="G273" s="168">
        <v>-17415.57</v>
      </c>
      <c r="H273" s="168">
        <v>-100997</v>
      </c>
      <c r="N273" s="168" t="s">
        <v>2697</v>
      </c>
      <c r="O273" s="455" t="s">
        <v>25</v>
      </c>
      <c r="P273" s="455" t="s">
        <v>191</v>
      </c>
      <c r="Q273" s="455">
        <v>-15810</v>
      </c>
      <c r="R273" s="455">
        <v>-15000</v>
      </c>
      <c r="S273" s="168">
        <v>-21038.45</v>
      </c>
      <c r="T273" s="523">
        <v>-15000</v>
      </c>
    </row>
    <row r="274" spans="1:22">
      <c r="A274" s="168" t="s">
        <v>2698</v>
      </c>
      <c r="B274" s="455" t="s">
        <v>27</v>
      </c>
      <c r="E274" s="150"/>
      <c r="G274" s="168">
        <v>-1250000</v>
      </c>
      <c r="H274" s="168">
        <v>-1250000</v>
      </c>
      <c r="N274" s="168" t="s">
        <v>2698</v>
      </c>
      <c r="O274" s="455" t="s">
        <v>27</v>
      </c>
      <c r="P274" s="455"/>
      <c r="Q274" s="455">
        <v>-2750000</v>
      </c>
      <c r="R274" s="455">
        <v>-2750000</v>
      </c>
      <c r="S274" s="168">
        <v>-2750000</v>
      </c>
      <c r="T274" s="523">
        <v>-2750000</v>
      </c>
    </row>
    <row r="275" spans="1:22" ht="15.75" thickBot="1">
      <c r="A275" s="168" t="s">
        <v>223</v>
      </c>
      <c r="B275" s="455" t="s">
        <v>26</v>
      </c>
      <c r="C275" s="455" t="s">
        <v>224</v>
      </c>
      <c r="D275" s="168" t="s">
        <v>1567</v>
      </c>
      <c r="E275" s="150">
        <v>-10665512</v>
      </c>
      <c r="F275" s="456">
        <v>-10665000</v>
      </c>
      <c r="G275" s="168">
        <v>-14647254</v>
      </c>
      <c r="H275" s="168">
        <v>-14647254</v>
      </c>
      <c r="N275" s="168" t="s">
        <v>3467</v>
      </c>
      <c r="O275" s="455" t="s">
        <v>26</v>
      </c>
      <c r="P275" s="455" t="s">
        <v>224</v>
      </c>
      <c r="Q275" s="455">
        <v>-18878000</v>
      </c>
      <c r="R275" s="455">
        <v>-19589000</v>
      </c>
      <c r="S275" s="168">
        <v>-19589329.829999998</v>
      </c>
      <c r="T275" s="523">
        <v>-19589000</v>
      </c>
    </row>
    <row r="276" spans="1:22" ht="16.5" thickTop="1" thickBot="1">
      <c r="A276" s="554" t="s">
        <v>2668</v>
      </c>
      <c r="B276" s="555"/>
      <c r="C276" s="555"/>
      <c r="D276" s="556"/>
      <c r="E276" s="560">
        <f>SUM(E271:E275)</f>
        <v>-12287369.060000001</v>
      </c>
      <c r="F276" s="560">
        <f>SUM(F271:F275)</f>
        <v>-11626534</v>
      </c>
      <c r="G276" s="560">
        <f>SUM(G271:G275)</f>
        <v>-17387086.759999998</v>
      </c>
      <c r="H276" s="560">
        <f>SUM(H271:H275)</f>
        <v>-17559065</v>
      </c>
      <c r="I276" s="168">
        <v>17559065</v>
      </c>
      <c r="N276" s="554" t="s">
        <v>2668</v>
      </c>
      <c r="O276" s="555"/>
      <c r="P276" s="555"/>
      <c r="Q276" s="555">
        <f>SUM(Q271:Q275)</f>
        <v>-23172110</v>
      </c>
      <c r="R276" s="555">
        <f>SUM(R271:R275)</f>
        <v>-23814800</v>
      </c>
      <c r="S276" s="560">
        <f>SUM(S271:S275)</f>
        <v>-23227273.839999996</v>
      </c>
      <c r="T276" s="558">
        <f>SUM(T271:T275)</f>
        <v>-23814800</v>
      </c>
      <c r="U276" s="168">
        <f>SUM(S276)</f>
        <v>-23227273.839999996</v>
      </c>
      <c r="V276" s="168">
        <f>SUM(T276)</f>
        <v>-23814800</v>
      </c>
    </row>
    <row r="277" spans="1:22" ht="15.75" thickTop="1">
      <c r="B277" s="455"/>
      <c r="E277" s="150"/>
      <c r="O277" s="455"/>
      <c r="P277" s="455"/>
      <c r="Q277" s="455"/>
      <c r="R277" s="455"/>
      <c r="T277" s="523"/>
    </row>
    <row r="278" spans="1:22">
      <c r="A278" s="168" t="s">
        <v>225</v>
      </c>
      <c r="B278" s="455" t="s">
        <v>1549</v>
      </c>
      <c r="C278" s="455" t="s">
        <v>75</v>
      </c>
      <c r="D278" s="168" t="s">
        <v>1567</v>
      </c>
      <c r="E278" s="150">
        <v>1186517.93</v>
      </c>
      <c r="F278" s="456">
        <v>2500000</v>
      </c>
      <c r="G278" s="168">
        <v>1907109.85</v>
      </c>
      <c r="H278" s="168">
        <v>1907127</v>
      </c>
      <c r="N278" s="168" t="s">
        <v>225</v>
      </c>
      <c r="O278" s="455" t="s">
        <v>1549</v>
      </c>
      <c r="P278" s="455" t="s">
        <v>75</v>
      </c>
      <c r="Q278" s="455">
        <v>3177506</v>
      </c>
      <c r="R278" s="455">
        <v>3177506</v>
      </c>
      <c r="S278" s="168">
        <v>2272928.91</v>
      </c>
      <c r="T278" s="523">
        <v>2272929</v>
      </c>
    </row>
    <row r="279" spans="1:22">
      <c r="A279" s="168" t="s">
        <v>226</v>
      </c>
      <c r="B279" s="455" t="s">
        <v>1549</v>
      </c>
      <c r="C279" s="455" t="s">
        <v>77</v>
      </c>
      <c r="D279" s="168" t="s">
        <v>1567</v>
      </c>
      <c r="E279" s="150">
        <v>113355.53</v>
      </c>
      <c r="F279" s="456">
        <v>114000</v>
      </c>
      <c r="G279" s="168">
        <v>439635.02</v>
      </c>
      <c r="H279" s="168">
        <v>439635</v>
      </c>
      <c r="N279" s="168" t="s">
        <v>226</v>
      </c>
      <c r="O279" s="455" t="s">
        <v>1549</v>
      </c>
      <c r="P279" s="455" t="s">
        <v>77</v>
      </c>
      <c r="Q279" s="455">
        <v>300000</v>
      </c>
      <c r="R279" s="455">
        <v>300000</v>
      </c>
      <c r="S279" s="168">
        <v>363117.5</v>
      </c>
      <c r="T279" s="523">
        <v>363117</v>
      </c>
    </row>
    <row r="280" spans="1:22">
      <c r="A280" s="168" t="s">
        <v>227</v>
      </c>
      <c r="B280" s="455" t="s">
        <v>1549</v>
      </c>
      <c r="C280" s="455" t="s">
        <v>60</v>
      </c>
      <c r="D280" s="168" t="s">
        <v>1567</v>
      </c>
      <c r="E280" s="150">
        <v>654638.66</v>
      </c>
      <c r="F280" s="456">
        <v>212394</v>
      </c>
      <c r="G280" s="168">
        <v>162995.56</v>
      </c>
      <c r="H280" s="168">
        <v>162996</v>
      </c>
      <c r="N280" s="168" t="s">
        <v>227</v>
      </c>
      <c r="O280" s="455" t="s">
        <v>1549</v>
      </c>
      <c r="P280" s="455" t="s">
        <v>60</v>
      </c>
      <c r="Q280" s="455">
        <v>239690</v>
      </c>
      <c r="R280" s="455">
        <v>239690</v>
      </c>
      <c r="S280" s="168">
        <v>194551.28</v>
      </c>
      <c r="T280" s="523">
        <v>194552</v>
      </c>
    </row>
    <row r="281" spans="1:22">
      <c r="B281" s="455"/>
      <c r="E281" s="150"/>
      <c r="N281" s="168" t="s">
        <v>3468</v>
      </c>
      <c r="O281" s="455"/>
      <c r="P281" s="455"/>
      <c r="Q281" s="455"/>
      <c r="R281" s="455"/>
      <c r="S281" s="168">
        <v>1693.64</v>
      </c>
      <c r="T281" s="523">
        <v>1693</v>
      </c>
    </row>
    <row r="282" spans="1:22">
      <c r="B282" s="455"/>
      <c r="E282" s="150"/>
      <c r="N282" s="168" t="s">
        <v>3720</v>
      </c>
      <c r="O282" s="455"/>
      <c r="P282" s="455" t="s">
        <v>3721</v>
      </c>
      <c r="Q282" s="455">
        <v>60000</v>
      </c>
      <c r="R282" s="455">
        <v>60000</v>
      </c>
      <c r="T282" s="523"/>
    </row>
    <row r="283" spans="1:22">
      <c r="A283" s="168" t="s">
        <v>228</v>
      </c>
      <c r="B283" s="455" t="s">
        <v>1549</v>
      </c>
      <c r="C283" s="455" t="s">
        <v>515</v>
      </c>
      <c r="D283" s="168" t="s">
        <v>1567</v>
      </c>
      <c r="E283" s="150">
        <v>159134.39999999999</v>
      </c>
      <c r="F283" s="456">
        <v>190000</v>
      </c>
      <c r="G283" s="168">
        <v>115641.3</v>
      </c>
      <c r="H283" s="168">
        <v>115642</v>
      </c>
      <c r="N283" s="168" t="s">
        <v>228</v>
      </c>
      <c r="O283" s="455" t="s">
        <v>1549</v>
      </c>
      <c r="P283" s="455" t="s">
        <v>515</v>
      </c>
      <c r="Q283" s="455"/>
      <c r="R283" s="455"/>
      <c r="S283" s="168">
        <v>163706.31</v>
      </c>
      <c r="T283" s="523">
        <v>163706</v>
      </c>
    </row>
    <row r="284" spans="1:22">
      <c r="A284" s="168" t="s">
        <v>229</v>
      </c>
      <c r="B284" s="455" t="s">
        <v>1549</v>
      </c>
      <c r="C284" s="455" t="s">
        <v>660</v>
      </c>
      <c r="D284" s="168" t="s">
        <v>1567</v>
      </c>
      <c r="E284" s="150">
        <v>0</v>
      </c>
      <c r="F284" s="456">
        <v>0</v>
      </c>
      <c r="G284" s="168">
        <v>0</v>
      </c>
      <c r="H284" s="168">
        <v>0</v>
      </c>
      <c r="N284" s="168" t="s">
        <v>229</v>
      </c>
      <c r="O284" s="455" t="s">
        <v>1549</v>
      </c>
      <c r="P284" s="455" t="s">
        <v>660</v>
      </c>
      <c r="Q284" s="455"/>
      <c r="R284" s="455"/>
      <c r="S284" s="168">
        <v>0</v>
      </c>
      <c r="T284" s="523">
        <v>0</v>
      </c>
    </row>
    <row r="285" spans="1:22">
      <c r="A285" s="168" t="s">
        <v>230</v>
      </c>
      <c r="B285" s="455" t="s">
        <v>1549</v>
      </c>
      <c r="C285" s="455" t="s">
        <v>767</v>
      </c>
      <c r="D285" s="168" t="s">
        <v>1567</v>
      </c>
      <c r="E285" s="150">
        <v>44380.95</v>
      </c>
      <c r="F285" s="456">
        <v>45000</v>
      </c>
      <c r="G285" s="168">
        <v>17754.84</v>
      </c>
      <c r="H285" s="168">
        <v>17755</v>
      </c>
      <c r="N285" s="168" t="s">
        <v>230</v>
      </c>
      <c r="O285" s="455" t="s">
        <v>1549</v>
      </c>
      <c r="P285" s="455" t="s">
        <v>767</v>
      </c>
      <c r="Q285" s="455">
        <v>77556</v>
      </c>
      <c r="R285" s="455">
        <v>77556</v>
      </c>
      <c r="S285" s="168">
        <v>8691.2000000000007</v>
      </c>
      <c r="T285" s="523">
        <v>8692</v>
      </c>
    </row>
    <row r="286" spans="1:22">
      <c r="A286" s="168" t="s">
        <v>231</v>
      </c>
      <c r="B286" s="455" t="s">
        <v>1549</v>
      </c>
      <c r="C286" s="455" t="s">
        <v>84</v>
      </c>
      <c r="D286" s="168" t="s">
        <v>1567</v>
      </c>
      <c r="E286" s="150">
        <v>260960.68</v>
      </c>
      <c r="F286" s="456">
        <v>261600</v>
      </c>
      <c r="G286" s="168">
        <v>379027.3</v>
      </c>
      <c r="H286" s="168">
        <v>379027</v>
      </c>
      <c r="N286" s="168" t="s">
        <v>231</v>
      </c>
      <c r="O286" s="455" t="s">
        <v>1549</v>
      </c>
      <c r="P286" s="455" t="s">
        <v>84</v>
      </c>
      <c r="Q286" s="455">
        <v>250897</v>
      </c>
      <c r="R286" s="455">
        <v>250897</v>
      </c>
      <c r="S286" s="168">
        <v>367900.64</v>
      </c>
      <c r="T286" s="523">
        <v>367900</v>
      </c>
    </row>
    <row r="287" spans="1:22">
      <c r="A287" s="168" t="s">
        <v>232</v>
      </c>
      <c r="B287" s="455" t="s">
        <v>1549</v>
      </c>
      <c r="C287" s="455" t="s">
        <v>86</v>
      </c>
      <c r="D287" s="168" t="s">
        <v>1567</v>
      </c>
      <c r="E287" s="150">
        <v>11023.61</v>
      </c>
      <c r="F287" s="456">
        <v>12000</v>
      </c>
      <c r="G287" s="168">
        <v>70461.75</v>
      </c>
      <c r="H287" s="168">
        <v>70461</v>
      </c>
      <c r="N287" s="168" t="s">
        <v>232</v>
      </c>
      <c r="O287" s="455" t="s">
        <v>1549</v>
      </c>
      <c r="P287" s="455" t="s">
        <v>86</v>
      </c>
      <c r="Q287" s="455">
        <v>137229</v>
      </c>
      <c r="R287" s="455">
        <v>137229</v>
      </c>
      <c r="S287" s="168">
        <v>118160.92</v>
      </c>
      <c r="T287" s="523">
        <v>118161</v>
      </c>
    </row>
    <row r="288" spans="1:22">
      <c r="A288" s="168" t="s">
        <v>233</v>
      </c>
      <c r="B288" s="455" t="s">
        <v>1549</v>
      </c>
      <c r="C288" s="455" t="s">
        <v>590</v>
      </c>
      <c r="D288" s="168" t="s">
        <v>1567</v>
      </c>
      <c r="E288" s="150">
        <v>134936.4</v>
      </c>
      <c r="F288" s="456">
        <v>140000</v>
      </c>
      <c r="G288" s="168">
        <v>80877.88</v>
      </c>
      <c r="H288" s="168">
        <v>80878</v>
      </c>
      <c r="N288" s="168" t="s">
        <v>233</v>
      </c>
      <c r="O288" s="455" t="s">
        <v>1549</v>
      </c>
      <c r="P288" s="455" t="s">
        <v>590</v>
      </c>
      <c r="Q288" s="455">
        <v>447159</v>
      </c>
      <c r="R288" s="455">
        <v>447159</v>
      </c>
      <c r="S288" s="168">
        <v>93131.68</v>
      </c>
      <c r="T288" s="523">
        <v>93132</v>
      </c>
    </row>
    <row r="289" spans="1:23">
      <c r="A289" s="168" t="s">
        <v>234</v>
      </c>
      <c r="B289" s="455" t="s">
        <v>1549</v>
      </c>
      <c r="C289" s="455" t="s">
        <v>590</v>
      </c>
      <c r="D289" s="168" t="s">
        <v>1567</v>
      </c>
      <c r="E289" s="150">
        <v>469203.24</v>
      </c>
      <c r="F289" s="456">
        <v>469500</v>
      </c>
      <c r="G289" s="168">
        <v>361694.9</v>
      </c>
      <c r="H289" s="168">
        <v>361695</v>
      </c>
      <c r="N289" s="168" t="s">
        <v>234</v>
      </c>
      <c r="O289" s="455" t="s">
        <v>1549</v>
      </c>
      <c r="P289" s="455" t="s">
        <v>590</v>
      </c>
      <c r="Q289" s="455">
        <v>589263</v>
      </c>
      <c r="R289" s="455">
        <v>589263</v>
      </c>
      <c r="S289" s="168">
        <v>386427.94</v>
      </c>
      <c r="T289" s="523">
        <v>386428</v>
      </c>
    </row>
    <row r="290" spans="1:23">
      <c r="A290" s="168" t="s">
        <v>235</v>
      </c>
      <c r="B290" s="455" t="s">
        <v>1549</v>
      </c>
      <c r="C290" s="455" t="s">
        <v>590</v>
      </c>
      <c r="D290" s="168" t="s">
        <v>1567</v>
      </c>
      <c r="E290" s="150">
        <v>25990.080000000002</v>
      </c>
      <c r="F290" s="456">
        <v>30000</v>
      </c>
      <c r="G290" s="168">
        <v>17270.650000000001</v>
      </c>
      <c r="H290" s="168">
        <v>17271</v>
      </c>
      <c r="N290" s="168" t="s">
        <v>235</v>
      </c>
      <c r="O290" s="455" t="s">
        <v>1549</v>
      </c>
      <c r="P290" s="455" t="s">
        <v>590</v>
      </c>
      <c r="Q290" s="455">
        <v>28763</v>
      </c>
      <c r="R290" s="455">
        <v>28763</v>
      </c>
      <c r="S290" s="168">
        <v>17416.64</v>
      </c>
      <c r="T290" s="523">
        <v>17417</v>
      </c>
    </row>
    <row r="291" spans="1:23">
      <c r="A291" s="168" t="s">
        <v>236</v>
      </c>
      <c r="B291" s="455" t="s">
        <v>1549</v>
      </c>
      <c r="C291" s="455" t="s">
        <v>590</v>
      </c>
      <c r="D291" s="168" t="s">
        <v>1567</v>
      </c>
      <c r="E291" s="150">
        <v>28361.99</v>
      </c>
      <c r="F291" s="456">
        <v>32000</v>
      </c>
      <c r="G291" s="168">
        <v>18825.23</v>
      </c>
      <c r="H291" s="168">
        <v>18826</v>
      </c>
      <c r="N291" s="168" t="s">
        <v>236</v>
      </c>
      <c r="O291" s="455" t="s">
        <v>1549</v>
      </c>
      <c r="P291" s="455" t="s">
        <v>590</v>
      </c>
      <c r="Q291" s="455">
        <v>44007</v>
      </c>
      <c r="R291" s="455">
        <v>44007</v>
      </c>
      <c r="S291" s="168">
        <v>19247.439999999999</v>
      </c>
      <c r="T291" s="523">
        <v>19248</v>
      </c>
    </row>
    <row r="292" spans="1:23">
      <c r="A292" s="168" t="s">
        <v>237</v>
      </c>
      <c r="B292" s="455" t="s">
        <v>1549</v>
      </c>
      <c r="C292" s="455" t="s">
        <v>1807</v>
      </c>
      <c r="D292" s="168" t="s">
        <v>1567</v>
      </c>
      <c r="E292" s="150">
        <v>982.4</v>
      </c>
      <c r="F292" s="456">
        <v>1200</v>
      </c>
      <c r="G292" s="168">
        <v>767.28</v>
      </c>
      <c r="H292" s="168">
        <v>768</v>
      </c>
      <c r="N292" s="168" t="s">
        <v>237</v>
      </c>
      <c r="O292" s="455" t="s">
        <v>1549</v>
      </c>
      <c r="P292" s="455" t="s">
        <v>1807</v>
      </c>
      <c r="Q292" s="455">
        <v>994</v>
      </c>
      <c r="R292" s="455">
        <v>994</v>
      </c>
      <c r="S292" s="168">
        <v>808.23</v>
      </c>
      <c r="T292" s="523">
        <v>809</v>
      </c>
      <c r="W292" s="458"/>
    </row>
    <row r="293" spans="1:23" s="458" customFormat="1">
      <c r="A293" s="458" t="s">
        <v>238</v>
      </c>
      <c r="B293" s="455" t="s">
        <v>1554</v>
      </c>
      <c r="C293" s="455" t="s">
        <v>592</v>
      </c>
      <c r="D293" s="458" t="s">
        <v>1567</v>
      </c>
      <c r="E293" s="150">
        <v>82519.28</v>
      </c>
      <c r="F293" s="456">
        <v>500000</v>
      </c>
      <c r="G293" s="168">
        <v>0</v>
      </c>
      <c r="H293" s="168">
        <v>0</v>
      </c>
      <c r="N293" s="458" t="s">
        <v>3469</v>
      </c>
      <c r="O293" s="455" t="s">
        <v>1554</v>
      </c>
      <c r="P293" s="455" t="s">
        <v>592</v>
      </c>
      <c r="Q293" s="455">
        <v>100000</v>
      </c>
      <c r="R293" s="455">
        <v>100000</v>
      </c>
      <c r="S293" s="168">
        <v>58520.71</v>
      </c>
      <c r="T293" s="523">
        <v>58521</v>
      </c>
      <c r="W293" s="168"/>
    </row>
    <row r="294" spans="1:23">
      <c r="A294" s="168" t="s">
        <v>239</v>
      </c>
      <c r="B294" s="455" t="s">
        <v>1551</v>
      </c>
      <c r="C294" s="455" t="s">
        <v>592</v>
      </c>
      <c r="D294" s="168" t="s">
        <v>1567</v>
      </c>
      <c r="E294" s="150">
        <v>3528914.18</v>
      </c>
      <c r="F294" s="456">
        <v>78232</v>
      </c>
      <c r="G294" s="168">
        <v>366315</v>
      </c>
      <c r="H294" s="168">
        <v>483220</v>
      </c>
      <c r="I294" s="168">
        <v>-451044.29</v>
      </c>
      <c r="N294" s="168" t="s">
        <v>239</v>
      </c>
      <c r="O294" s="455" t="s">
        <v>1551</v>
      </c>
      <c r="P294" s="455" t="s">
        <v>592</v>
      </c>
      <c r="Q294" s="455">
        <v>132089</v>
      </c>
      <c r="R294" s="455">
        <v>132089</v>
      </c>
      <c r="S294" s="168">
        <v>247270.96</v>
      </c>
      <c r="T294" s="523">
        <v>132089</v>
      </c>
    </row>
    <row r="295" spans="1:23">
      <c r="A295" s="168" t="s">
        <v>2699</v>
      </c>
      <c r="B295" s="455"/>
      <c r="E295" s="150"/>
      <c r="G295" s="168">
        <v>834.23</v>
      </c>
      <c r="H295" s="168">
        <v>834</v>
      </c>
      <c r="N295" s="168" t="s">
        <v>2699</v>
      </c>
      <c r="O295" s="455"/>
      <c r="P295" s="455"/>
      <c r="Q295" s="455"/>
      <c r="R295" s="455"/>
      <c r="S295" s="168">
        <v>0</v>
      </c>
      <c r="T295" s="523">
        <v>0</v>
      </c>
    </row>
    <row r="296" spans="1:23">
      <c r="A296" s="168" t="s">
        <v>240</v>
      </c>
      <c r="B296" s="455" t="s">
        <v>1552</v>
      </c>
      <c r="C296" s="455" t="s">
        <v>2326</v>
      </c>
      <c r="D296" s="168" t="s">
        <v>1567</v>
      </c>
      <c r="E296" s="150">
        <v>478.86</v>
      </c>
      <c r="F296" s="456">
        <v>700</v>
      </c>
      <c r="G296" s="168">
        <v>390</v>
      </c>
      <c r="H296" s="168">
        <v>390</v>
      </c>
      <c r="N296" s="168" t="s">
        <v>240</v>
      </c>
      <c r="O296" s="455" t="s">
        <v>1552</v>
      </c>
      <c r="P296" s="455" t="s">
        <v>2326</v>
      </c>
      <c r="Q296" s="455"/>
      <c r="R296" s="455">
        <v>28200</v>
      </c>
      <c r="S296" s="168">
        <v>3411.66</v>
      </c>
      <c r="T296" s="523">
        <v>3412</v>
      </c>
    </row>
    <row r="297" spans="1:23">
      <c r="B297" s="455"/>
      <c r="E297" s="150"/>
      <c r="N297" s="168" t="s">
        <v>3722</v>
      </c>
      <c r="O297" s="455"/>
      <c r="P297" s="455" t="s">
        <v>3723</v>
      </c>
      <c r="Q297" s="455">
        <v>2943</v>
      </c>
      <c r="R297" s="455">
        <v>1000</v>
      </c>
      <c r="T297" s="523"/>
    </row>
    <row r="298" spans="1:23">
      <c r="A298" s="168" t="s">
        <v>241</v>
      </c>
      <c r="B298" s="455" t="s">
        <v>1553</v>
      </c>
      <c r="C298" s="455" t="s">
        <v>242</v>
      </c>
      <c r="D298" s="168" t="s">
        <v>1567</v>
      </c>
      <c r="E298" s="150">
        <v>0</v>
      </c>
      <c r="F298" s="456">
        <v>0</v>
      </c>
      <c r="G298" s="168">
        <v>761353.2</v>
      </c>
      <c r="H298" s="168">
        <v>761353</v>
      </c>
      <c r="N298" s="168" t="s">
        <v>241</v>
      </c>
      <c r="O298" s="455" t="s">
        <v>1553</v>
      </c>
      <c r="P298" s="455" t="s">
        <v>242</v>
      </c>
      <c r="Q298" s="455">
        <v>1500000</v>
      </c>
      <c r="R298" s="455">
        <v>750000</v>
      </c>
      <c r="S298" s="168">
        <v>1436790.58</v>
      </c>
      <c r="T298" s="523">
        <v>1436790</v>
      </c>
    </row>
    <row r="299" spans="1:23">
      <c r="A299" s="168" t="s">
        <v>243</v>
      </c>
      <c r="B299" s="455" t="s">
        <v>1553</v>
      </c>
      <c r="C299" s="455" t="s">
        <v>597</v>
      </c>
      <c r="D299" s="168" t="s">
        <v>1567</v>
      </c>
      <c r="E299" s="150">
        <v>870002.64</v>
      </c>
      <c r="F299" s="456">
        <v>908000</v>
      </c>
      <c r="G299" s="168">
        <v>630719.16</v>
      </c>
      <c r="H299" s="168">
        <v>630720</v>
      </c>
      <c r="N299" s="168" t="s">
        <v>243</v>
      </c>
      <c r="O299" s="455" t="s">
        <v>1553</v>
      </c>
      <c r="P299" s="455" t="s">
        <v>597</v>
      </c>
      <c r="Q299" s="455">
        <v>957003</v>
      </c>
      <c r="R299" s="455">
        <v>300000</v>
      </c>
      <c r="S299" s="168">
        <v>728360.41</v>
      </c>
      <c r="T299" s="523">
        <v>728360</v>
      </c>
    </row>
    <row r="300" spans="1:23">
      <c r="A300" s="168" t="s">
        <v>244</v>
      </c>
      <c r="B300" s="455" t="s">
        <v>1553</v>
      </c>
      <c r="C300" s="455" t="s">
        <v>2450</v>
      </c>
      <c r="D300" s="168" t="s">
        <v>1567</v>
      </c>
      <c r="E300" s="150">
        <v>445744.32</v>
      </c>
      <c r="F300" s="456">
        <v>320000</v>
      </c>
      <c r="G300" s="168">
        <v>235827.09</v>
      </c>
      <c r="H300" s="168">
        <v>235827</v>
      </c>
      <c r="N300" s="168" t="s">
        <v>244</v>
      </c>
      <c r="O300" s="455" t="s">
        <v>1553</v>
      </c>
      <c r="P300" s="455" t="s">
        <v>2450</v>
      </c>
      <c r="Q300" s="455">
        <v>865000</v>
      </c>
      <c r="R300" s="455">
        <v>250000</v>
      </c>
      <c r="S300" s="168">
        <v>355338.47</v>
      </c>
      <c r="T300" s="523">
        <v>355338</v>
      </c>
    </row>
    <row r="301" spans="1:23">
      <c r="A301" s="168" t="s">
        <v>245</v>
      </c>
      <c r="B301" s="455" t="s">
        <v>1553</v>
      </c>
      <c r="C301" s="455" t="s">
        <v>612</v>
      </c>
      <c r="D301" s="168" t="s">
        <v>1567</v>
      </c>
      <c r="E301" s="150">
        <v>92573.11</v>
      </c>
      <c r="F301" s="456">
        <v>93200</v>
      </c>
      <c r="G301" s="168">
        <v>36703.61</v>
      </c>
      <c r="H301" s="168">
        <v>36703</v>
      </c>
      <c r="N301" s="168" t="s">
        <v>245</v>
      </c>
      <c r="O301" s="455" t="s">
        <v>1553</v>
      </c>
      <c r="P301" s="455" t="s">
        <v>612</v>
      </c>
      <c r="Q301" s="455">
        <v>101830</v>
      </c>
      <c r="R301" s="455">
        <v>50000</v>
      </c>
      <c r="S301" s="168">
        <v>24569.34</v>
      </c>
      <c r="T301" s="523">
        <v>24570</v>
      </c>
    </row>
    <row r="302" spans="1:23">
      <c r="A302" s="168" t="s">
        <v>246</v>
      </c>
      <c r="B302" s="455" t="s">
        <v>1553</v>
      </c>
      <c r="C302" s="455" t="s">
        <v>99</v>
      </c>
      <c r="D302" s="168" t="s">
        <v>1567</v>
      </c>
      <c r="E302" s="150">
        <v>122737</v>
      </c>
      <c r="F302" s="456">
        <v>123600</v>
      </c>
      <c r="G302" s="168">
        <f>1405998.54-71620.56-817359.29</f>
        <v>517018.68999999994</v>
      </c>
      <c r="H302" s="168">
        <v>1405999</v>
      </c>
      <c r="I302" s="168">
        <v>1334377.98</v>
      </c>
      <c r="N302" s="168" t="s">
        <v>246</v>
      </c>
      <c r="O302" s="455" t="s">
        <v>1553</v>
      </c>
      <c r="P302" s="455" t="s">
        <v>99</v>
      </c>
      <c r="Q302" s="455">
        <v>186000</v>
      </c>
      <c r="R302" s="455">
        <v>489584</v>
      </c>
      <c r="S302" s="168">
        <v>104024.89</v>
      </c>
      <c r="T302" s="523">
        <v>104025</v>
      </c>
    </row>
    <row r="303" spans="1:23">
      <c r="A303" s="168" t="s">
        <v>247</v>
      </c>
      <c r="B303" s="455" t="s">
        <v>1553</v>
      </c>
      <c r="C303" s="455" t="s">
        <v>2322</v>
      </c>
      <c r="D303" s="168" t="s">
        <v>1567</v>
      </c>
      <c r="E303" s="150">
        <v>353663.78</v>
      </c>
      <c r="F303" s="456">
        <v>354000</v>
      </c>
      <c r="G303" s="168">
        <v>695507.64</v>
      </c>
      <c r="H303" s="168">
        <v>695507</v>
      </c>
      <c r="N303" s="168" t="s">
        <v>247</v>
      </c>
      <c r="O303" s="455" t="s">
        <v>1553</v>
      </c>
      <c r="P303" s="455" t="s">
        <v>2322</v>
      </c>
      <c r="Q303" s="455">
        <v>461389</v>
      </c>
      <c r="R303" s="455">
        <v>461389</v>
      </c>
      <c r="S303" s="168">
        <v>266024.94</v>
      </c>
      <c r="T303" s="523">
        <v>266025</v>
      </c>
    </row>
    <row r="304" spans="1:23">
      <c r="A304" s="168" t="s">
        <v>248</v>
      </c>
      <c r="B304" s="455" t="s">
        <v>20</v>
      </c>
      <c r="C304" s="455" t="s">
        <v>1668</v>
      </c>
      <c r="D304" s="168" t="s">
        <v>1567</v>
      </c>
      <c r="E304" s="150">
        <v>6881.66</v>
      </c>
      <c r="F304" s="456">
        <v>15000</v>
      </c>
      <c r="G304" s="168">
        <v>15341.03</v>
      </c>
      <c r="H304" s="168">
        <v>15342</v>
      </c>
      <c r="N304" s="168" t="s">
        <v>248</v>
      </c>
      <c r="O304" s="455" t="s">
        <v>20</v>
      </c>
      <c r="P304" s="455" t="s">
        <v>1668</v>
      </c>
      <c r="Q304" s="455"/>
      <c r="R304" s="455"/>
      <c r="S304" s="168">
        <v>52604.34</v>
      </c>
      <c r="T304" s="523">
        <v>52604</v>
      </c>
    </row>
    <row r="305" spans="1:20">
      <c r="A305" s="168" t="s">
        <v>249</v>
      </c>
      <c r="B305" s="455" t="s">
        <v>1553</v>
      </c>
      <c r="C305" s="455" t="s">
        <v>624</v>
      </c>
      <c r="D305" s="168" t="s">
        <v>1567</v>
      </c>
      <c r="E305" s="150">
        <v>0</v>
      </c>
      <c r="F305" s="456">
        <v>0</v>
      </c>
      <c r="G305" s="168">
        <v>0</v>
      </c>
      <c r="H305" s="168">
        <v>0</v>
      </c>
      <c r="N305" s="168" t="s">
        <v>249</v>
      </c>
      <c r="O305" s="455" t="s">
        <v>1553</v>
      </c>
      <c r="P305" s="455" t="s">
        <v>624</v>
      </c>
      <c r="Q305" s="455"/>
      <c r="R305" s="455"/>
      <c r="S305" s="168">
        <v>0</v>
      </c>
      <c r="T305" s="523">
        <v>0</v>
      </c>
    </row>
    <row r="306" spans="1:20">
      <c r="A306" s="168" t="s">
        <v>250</v>
      </c>
      <c r="B306" s="455" t="s">
        <v>1553</v>
      </c>
      <c r="C306" s="455" t="s">
        <v>631</v>
      </c>
      <c r="D306" s="168" t="s">
        <v>1567</v>
      </c>
      <c r="E306" s="150">
        <v>91601.62</v>
      </c>
      <c r="F306" s="456">
        <v>100000</v>
      </c>
      <c r="G306" s="168">
        <v>106960.21</v>
      </c>
      <c r="H306" s="168">
        <v>106961</v>
      </c>
      <c r="N306" s="168" t="s">
        <v>250</v>
      </c>
      <c r="O306" s="455" t="s">
        <v>1553</v>
      </c>
      <c r="P306" s="455" t="s">
        <v>631</v>
      </c>
      <c r="Q306" s="455">
        <v>53918</v>
      </c>
      <c r="R306" s="455">
        <v>90000</v>
      </c>
      <c r="S306" s="168">
        <v>92644.67</v>
      </c>
      <c r="T306" s="523">
        <v>92644</v>
      </c>
    </row>
    <row r="307" spans="1:20">
      <c r="A307" s="168" t="s">
        <v>251</v>
      </c>
      <c r="B307" s="455" t="s">
        <v>1553</v>
      </c>
      <c r="C307" s="455" t="s">
        <v>633</v>
      </c>
      <c r="D307" s="168" t="s">
        <v>1567</v>
      </c>
      <c r="E307" s="150">
        <v>628505.38</v>
      </c>
      <c r="F307" s="456">
        <v>630000</v>
      </c>
      <c r="G307" s="168">
        <v>199457.77</v>
      </c>
      <c r="H307" s="168">
        <v>199457</v>
      </c>
      <c r="N307" s="168" t="s">
        <v>251</v>
      </c>
      <c r="O307" s="455" t="s">
        <v>1553</v>
      </c>
      <c r="P307" s="455" t="s">
        <v>633</v>
      </c>
      <c r="Q307" s="455">
        <v>369949</v>
      </c>
      <c r="R307" s="455">
        <v>252800</v>
      </c>
      <c r="S307" s="168">
        <v>192469.91</v>
      </c>
      <c r="T307" s="523">
        <v>192470</v>
      </c>
    </row>
    <row r="308" spans="1:20">
      <c r="A308" s="168" t="s">
        <v>252</v>
      </c>
      <c r="B308" s="455" t="s">
        <v>1553</v>
      </c>
      <c r="C308" s="455" t="s">
        <v>253</v>
      </c>
      <c r="D308" s="168" t="s">
        <v>1567</v>
      </c>
      <c r="E308" s="150">
        <v>807.46</v>
      </c>
      <c r="F308" s="456">
        <v>850</v>
      </c>
      <c r="G308" s="168">
        <v>0</v>
      </c>
      <c r="H308" s="168">
        <v>0</v>
      </c>
      <c r="N308" s="168" t="s">
        <v>252</v>
      </c>
      <c r="O308" s="455" t="s">
        <v>1553</v>
      </c>
      <c r="P308" s="455" t="s">
        <v>253</v>
      </c>
      <c r="Q308" s="455">
        <v>475</v>
      </c>
      <c r="R308" s="455">
        <v>2460</v>
      </c>
      <c r="S308" s="168">
        <v>2460</v>
      </c>
      <c r="T308" s="523">
        <v>2460</v>
      </c>
    </row>
    <row r="309" spans="1:20">
      <c r="A309" s="168" t="s">
        <v>254</v>
      </c>
      <c r="B309" s="455" t="s">
        <v>1553</v>
      </c>
      <c r="C309" s="455" t="s">
        <v>255</v>
      </c>
      <c r="D309" s="168" t="s">
        <v>1567</v>
      </c>
      <c r="E309" s="150">
        <v>0</v>
      </c>
      <c r="F309" s="456">
        <v>0</v>
      </c>
      <c r="G309" s="168">
        <v>0</v>
      </c>
      <c r="H309" s="168">
        <v>0</v>
      </c>
      <c r="N309" s="168" t="s">
        <v>254</v>
      </c>
      <c r="O309" s="455" t="s">
        <v>1553</v>
      </c>
      <c r="P309" s="455" t="s">
        <v>255</v>
      </c>
      <c r="Q309" s="455">
        <v>1129232</v>
      </c>
      <c r="R309" s="455">
        <v>846924</v>
      </c>
      <c r="S309" s="168">
        <v>0</v>
      </c>
      <c r="T309" s="523">
        <v>125406</v>
      </c>
    </row>
    <row r="310" spans="1:20">
      <c r="A310" s="168" t="s">
        <v>256</v>
      </c>
      <c r="B310" s="455" t="s">
        <v>1553</v>
      </c>
      <c r="C310" s="455" t="s">
        <v>2325</v>
      </c>
      <c r="D310" s="168" t="s">
        <v>1567</v>
      </c>
      <c r="E310" s="150">
        <v>48315.7</v>
      </c>
      <c r="F310" s="456">
        <v>51000</v>
      </c>
      <c r="G310" s="168">
        <v>28180.55</v>
      </c>
      <c r="H310" s="168">
        <v>28180</v>
      </c>
      <c r="N310" s="168" t="s">
        <v>256</v>
      </c>
      <c r="O310" s="455" t="s">
        <v>1553</v>
      </c>
      <c r="P310" s="455" t="s">
        <v>2325</v>
      </c>
      <c r="Q310" s="455">
        <v>53147</v>
      </c>
      <c r="R310" s="455">
        <v>48316</v>
      </c>
      <c r="S310" s="168">
        <v>14956.5</v>
      </c>
      <c r="T310" s="523">
        <v>14957</v>
      </c>
    </row>
    <row r="311" spans="1:20">
      <c r="A311" s="168" t="s">
        <v>257</v>
      </c>
      <c r="B311" s="455" t="s">
        <v>1553</v>
      </c>
      <c r="C311" s="455" t="s">
        <v>50</v>
      </c>
      <c r="D311" s="168" t="s">
        <v>1567</v>
      </c>
      <c r="E311" s="150">
        <v>211415.76</v>
      </c>
      <c r="F311" s="456">
        <v>212000</v>
      </c>
      <c r="G311" s="168">
        <v>97657.11</v>
      </c>
      <c r="H311" s="168">
        <v>97658</v>
      </c>
      <c r="N311" s="168" t="s">
        <v>257</v>
      </c>
      <c r="O311" s="455" t="s">
        <v>1553</v>
      </c>
      <c r="P311" s="455" t="s">
        <v>50</v>
      </c>
      <c r="Q311" s="455">
        <v>232557</v>
      </c>
      <c r="R311" s="455">
        <v>232557</v>
      </c>
      <c r="S311" s="168">
        <v>302144.07</v>
      </c>
      <c r="T311" s="523">
        <v>302144</v>
      </c>
    </row>
    <row r="312" spans="1:20">
      <c r="A312" s="168" t="s">
        <v>258</v>
      </c>
      <c r="B312" s="455" t="s">
        <v>1553</v>
      </c>
      <c r="C312" s="455" t="s">
        <v>52</v>
      </c>
      <c r="D312" s="168" t="s">
        <v>1567</v>
      </c>
      <c r="E312" s="150">
        <v>2921.51</v>
      </c>
      <c r="F312" s="456">
        <v>4000</v>
      </c>
      <c r="G312" s="168">
        <v>12642.75</v>
      </c>
      <c r="H312" s="168">
        <v>12642</v>
      </c>
      <c r="N312" s="168" t="s">
        <v>258</v>
      </c>
      <c r="O312" s="455" t="s">
        <v>1553</v>
      </c>
      <c r="P312" s="455" t="s">
        <v>52</v>
      </c>
      <c r="Q312" s="455">
        <v>2385</v>
      </c>
      <c r="R312" s="455">
        <v>1315</v>
      </c>
      <c r="S312" s="168">
        <v>2213.64</v>
      </c>
      <c r="T312" s="523">
        <v>2213</v>
      </c>
    </row>
    <row r="313" spans="1:20">
      <c r="A313" s="168" t="s">
        <v>259</v>
      </c>
      <c r="B313" s="455" t="s">
        <v>1553</v>
      </c>
      <c r="C313" s="455" t="s">
        <v>52</v>
      </c>
      <c r="D313" s="168" t="s">
        <v>1567</v>
      </c>
      <c r="E313" s="150">
        <v>32892.71</v>
      </c>
      <c r="F313" s="456">
        <v>35000</v>
      </c>
      <c r="G313" s="168">
        <v>3153.57</v>
      </c>
      <c r="H313" s="168">
        <v>3154</v>
      </c>
      <c r="N313" s="168" t="s">
        <v>259</v>
      </c>
      <c r="O313" s="455" t="s">
        <v>1553</v>
      </c>
      <c r="P313" s="455" t="s">
        <v>52</v>
      </c>
      <c r="Q313" s="455">
        <v>26857</v>
      </c>
      <c r="R313" s="455">
        <v>14805</v>
      </c>
      <c r="S313" s="168">
        <v>19603.02</v>
      </c>
      <c r="T313" s="523">
        <v>19603</v>
      </c>
    </row>
    <row r="314" spans="1:20">
      <c r="A314" s="168" t="s">
        <v>260</v>
      </c>
      <c r="B314" s="455" t="s">
        <v>1553</v>
      </c>
      <c r="C314" s="455" t="s">
        <v>261</v>
      </c>
      <c r="D314" s="168" t="s">
        <v>1567</v>
      </c>
      <c r="E314" s="150">
        <v>1547675.29</v>
      </c>
      <c r="F314" s="456">
        <v>1557600</v>
      </c>
      <c r="G314" s="168">
        <v>0</v>
      </c>
      <c r="H314" s="168">
        <v>0</v>
      </c>
      <c r="N314" s="168" t="s">
        <v>260</v>
      </c>
      <c r="O314" s="455" t="s">
        <v>1553</v>
      </c>
      <c r="P314" s="455" t="s">
        <v>261</v>
      </c>
      <c r="Q314" s="455"/>
      <c r="R314" s="455"/>
      <c r="S314" s="168">
        <v>0</v>
      </c>
      <c r="T314" s="523">
        <v>0</v>
      </c>
    </row>
    <row r="315" spans="1:20">
      <c r="A315" s="168" t="s">
        <v>262</v>
      </c>
      <c r="B315" s="455" t="s">
        <v>1553</v>
      </c>
      <c r="C315" s="455" t="s">
        <v>263</v>
      </c>
      <c r="D315" s="168" t="s">
        <v>1567</v>
      </c>
      <c r="E315" s="150">
        <v>206265.08</v>
      </c>
      <c r="F315" s="456">
        <v>210000</v>
      </c>
      <c r="G315" s="168">
        <v>0</v>
      </c>
      <c r="H315" s="168">
        <v>0</v>
      </c>
      <c r="N315" s="168" t="s">
        <v>262</v>
      </c>
      <c r="O315" s="455" t="s">
        <v>1553</v>
      </c>
      <c r="P315" s="455" t="s">
        <v>263</v>
      </c>
      <c r="Q315" s="455"/>
      <c r="R315" s="455"/>
      <c r="S315" s="168">
        <v>0</v>
      </c>
      <c r="T315" s="523">
        <v>0</v>
      </c>
    </row>
    <row r="316" spans="1:20">
      <c r="A316" s="168" t="s">
        <v>264</v>
      </c>
      <c r="B316" s="455" t="s">
        <v>1553</v>
      </c>
      <c r="C316" s="455" t="s">
        <v>263</v>
      </c>
      <c r="D316" s="168" t="s">
        <v>1567</v>
      </c>
      <c r="E316" s="150">
        <v>0</v>
      </c>
      <c r="F316" s="456">
        <v>0</v>
      </c>
      <c r="G316" s="168">
        <v>0</v>
      </c>
      <c r="H316" s="168">
        <v>0</v>
      </c>
      <c r="N316" s="168" t="s">
        <v>264</v>
      </c>
      <c r="O316" s="455" t="s">
        <v>1553</v>
      </c>
      <c r="P316" s="455" t="s">
        <v>263</v>
      </c>
      <c r="Q316" s="455"/>
      <c r="R316" s="455"/>
      <c r="S316" s="168">
        <v>0</v>
      </c>
      <c r="T316" s="523">
        <v>0</v>
      </c>
    </row>
    <row r="317" spans="1:20">
      <c r="A317" s="168" t="s">
        <v>2962</v>
      </c>
      <c r="B317" s="455"/>
      <c r="E317" s="150"/>
      <c r="G317" s="168">
        <v>1249846.3500000001</v>
      </c>
      <c r="H317" s="168">
        <v>1249846</v>
      </c>
      <c r="N317" s="168" t="s">
        <v>2962</v>
      </c>
      <c r="O317" s="455"/>
      <c r="P317" s="455"/>
      <c r="Q317" s="455"/>
      <c r="R317" s="455"/>
      <c r="S317" s="168">
        <v>2750000</v>
      </c>
      <c r="T317" s="523">
        <v>2750000</v>
      </c>
    </row>
    <row r="318" spans="1:20">
      <c r="A318" s="168" t="s">
        <v>266</v>
      </c>
      <c r="B318" s="455" t="s">
        <v>1553</v>
      </c>
      <c r="C318" s="455" t="s">
        <v>59</v>
      </c>
      <c r="D318" s="168" t="s">
        <v>1567</v>
      </c>
      <c r="E318" s="150">
        <v>0</v>
      </c>
      <c r="F318" s="456">
        <v>0</v>
      </c>
      <c r="G318" s="168">
        <v>0</v>
      </c>
      <c r="H318" s="168">
        <v>0</v>
      </c>
      <c r="N318" s="168" t="s">
        <v>266</v>
      </c>
      <c r="O318" s="455" t="s">
        <v>1553</v>
      </c>
      <c r="P318" s="455" t="s">
        <v>59</v>
      </c>
      <c r="Q318" s="455"/>
      <c r="R318" s="455"/>
      <c r="S318" s="168">
        <v>0</v>
      </c>
      <c r="T318" s="523">
        <v>0</v>
      </c>
    </row>
    <row r="319" spans="1:20">
      <c r="A319" s="168" t="s">
        <v>2700</v>
      </c>
      <c r="B319" s="455"/>
      <c r="E319" s="150"/>
      <c r="G319" s="168">
        <v>1344487.74</v>
      </c>
      <c r="H319" s="168">
        <v>1344488</v>
      </c>
      <c r="N319" s="168" t="s">
        <v>2700</v>
      </c>
      <c r="O319" s="455"/>
      <c r="P319" s="455"/>
      <c r="Q319" s="455">
        <v>2000000</v>
      </c>
      <c r="R319" s="455">
        <v>1200000</v>
      </c>
      <c r="S319" s="168">
        <v>1432846.15</v>
      </c>
      <c r="T319" s="523">
        <v>1432846</v>
      </c>
    </row>
    <row r="320" spans="1:20">
      <c r="A320" s="168" t="s">
        <v>2701</v>
      </c>
      <c r="B320" s="455"/>
      <c r="E320" s="150"/>
      <c r="G320" s="168">
        <v>86572.97</v>
      </c>
      <c r="H320" s="168">
        <v>86573</v>
      </c>
      <c r="N320" s="168" t="s">
        <v>2701</v>
      </c>
      <c r="O320" s="455"/>
      <c r="P320" s="455"/>
      <c r="Q320" s="455">
        <v>470000</v>
      </c>
      <c r="R320" s="455">
        <v>250700</v>
      </c>
      <c r="S320" s="168">
        <v>166191.37</v>
      </c>
      <c r="T320" s="523">
        <v>166192</v>
      </c>
    </row>
    <row r="321" spans="1:23">
      <c r="A321" s="168" t="s">
        <v>267</v>
      </c>
      <c r="B321" s="455" t="s">
        <v>1553</v>
      </c>
      <c r="C321" s="455" t="s">
        <v>592</v>
      </c>
      <c r="D321" s="168" t="s">
        <v>1567</v>
      </c>
      <c r="E321" s="150">
        <v>155041.21</v>
      </c>
      <c r="F321" s="456">
        <v>599000</v>
      </c>
      <c r="G321" s="168">
        <v>1389216.85</v>
      </c>
      <c r="H321" s="168">
        <v>1320523</v>
      </c>
      <c r="N321" s="598" t="s">
        <v>267</v>
      </c>
      <c r="O321" s="599" t="s">
        <v>1553</v>
      </c>
      <c r="P321" s="599" t="s">
        <v>592</v>
      </c>
      <c r="Q321" s="599">
        <v>119270</v>
      </c>
      <c r="R321" s="599">
        <v>119270</v>
      </c>
      <c r="S321" s="598">
        <f>155226.82+1401783.68</f>
        <v>1557010.5</v>
      </c>
      <c r="T321" s="600">
        <v>155227</v>
      </c>
    </row>
    <row r="322" spans="1:23">
      <c r="A322" s="168" t="s">
        <v>268</v>
      </c>
      <c r="B322" s="455" t="s">
        <v>1553</v>
      </c>
      <c r="C322" s="455" t="s">
        <v>592</v>
      </c>
      <c r="D322" s="168" t="s">
        <v>1567</v>
      </c>
      <c r="E322" s="150">
        <v>283102.09999999998</v>
      </c>
      <c r="F322" s="456">
        <v>283776</v>
      </c>
      <c r="G322" s="168">
        <v>212265.77</v>
      </c>
      <c r="H322" s="168">
        <v>266632</v>
      </c>
      <c r="N322" s="598" t="s">
        <v>268</v>
      </c>
      <c r="O322" s="599" t="s">
        <v>1553</v>
      </c>
      <c r="P322" s="599" t="s">
        <v>592</v>
      </c>
      <c r="Q322" s="599">
        <v>239431</v>
      </c>
      <c r="R322" s="599">
        <v>239431</v>
      </c>
      <c r="S322" s="598">
        <v>258065.09</v>
      </c>
      <c r="T322" s="600">
        <v>258065</v>
      </c>
    </row>
    <row r="323" spans="1:23">
      <c r="A323" s="168" t="s">
        <v>3392</v>
      </c>
      <c r="B323" s="455"/>
      <c r="E323" s="150"/>
      <c r="G323" s="168">
        <v>3223927.54</v>
      </c>
      <c r="N323" s="598" t="s">
        <v>3392</v>
      </c>
      <c r="O323" s="599"/>
      <c r="P323" s="599"/>
      <c r="Q323" s="599"/>
      <c r="R323" s="599"/>
      <c r="S323" s="598">
        <v>486926.62</v>
      </c>
      <c r="T323" s="600"/>
      <c r="W323" s="147"/>
    </row>
    <row r="324" spans="1:23" s="147" customFormat="1">
      <c r="A324" s="147" t="s">
        <v>269</v>
      </c>
      <c r="B324" s="148" t="s">
        <v>1553</v>
      </c>
      <c r="C324" s="148" t="s">
        <v>575</v>
      </c>
      <c r="D324" s="147" t="s">
        <v>1567</v>
      </c>
      <c r="E324" s="151">
        <v>0</v>
      </c>
      <c r="F324" s="149">
        <v>1306511</v>
      </c>
      <c r="G324" s="168">
        <v>0</v>
      </c>
      <c r="H324" s="168">
        <v>1402881</v>
      </c>
      <c r="N324" s="601" t="s">
        <v>269</v>
      </c>
      <c r="O324" s="602" t="s">
        <v>1553</v>
      </c>
      <c r="P324" s="602" t="s">
        <v>575</v>
      </c>
      <c r="Q324" s="602">
        <v>1500000</v>
      </c>
      <c r="R324" s="602">
        <v>1000000</v>
      </c>
      <c r="S324" s="598">
        <v>0</v>
      </c>
      <c r="T324" s="600">
        <v>552227</v>
      </c>
      <c r="W324" s="168"/>
    </row>
    <row r="325" spans="1:23">
      <c r="A325" s="168" t="s">
        <v>270</v>
      </c>
      <c r="B325" s="455" t="s">
        <v>1555</v>
      </c>
      <c r="C325" s="455" t="s">
        <v>592</v>
      </c>
      <c r="D325" s="168" t="s">
        <v>1567</v>
      </c>
      <c r="E325" s="150">
        <v>0</v>
      </c>
      <c r="F325" s="456">
        <v>3576581</v>
      </c>
      <c r="G325" s="168">
        <v>1901816.35</v>
      </c>
      <c r="H325" s="168">
        <v>1277748</v>
      </c>
      <c r="N325" s="598" t="s">
        <v>270</v>
      </c>
      <c r="O325" s="599" t="s">
        <v>1555</v>
      </c>
      <c r="P325" s="599" t="s">
        <v>592</v>
      </c>
      <c r="Q325" s="599"/>
      <c r="R325" s="599"/>
      <c r="S325" s="598">
        <v>0</v>
      </c>
      <c r="T325" s="600">
        <v>0</v>
      </c>
    </row>
    <row r="326" spans="1:23">
      <c r="A326" s="168" t="s">
        <v>271</v>
      </c>
      <c r="B326" s="455" t="s">
        <v>1553</v>
      </c>
      <c r="C326" s="455">
        <v>2</v>
      </c>
      <c r="D326" s="168" t="s">
        <v>1567</v>
      </c>
      <c r="E326" s="150">
        <v>0</v>
      </c>
      <c r="F326" s="456">
        <v>0</v>
      </c>
      <c r="G326" s="168">
        <v>0</v>
      </c>
      <c r="H326" s="168">
        <v>0</v>
      </c>
      <c r="N326" s="168" t="s">
        <v>271</v>
      </c>
      <c r="O326" s="455" t="s">
        <v>1553</v>
      </c>
      <c r="P326" s="455">
        <v>2</v>
      </c>
      <c r="Q326" s="455"/>
      <c r="R326" s="455"/>
      <c r="S326" s="168">
        <v>0</v>
      </c>
      <c r="T326" s="523">
        <v>0</v>
      </c>
    </row>
    <row r="327" spans="1:23" ht="15.75" thickBot="1">
      <c r="A327" s="168" t="s">
        <v>272</v>
      </c>
      <c r="B327" s="455" t="s">
        <v>1553</v>
      </c>
      <c r="C327" s="455" t="s">
        <v>2326</v>
      </c>
      <c r="D327" s="168" t="s">
        <v>1567</v>
      </c>
      <c r="E327" s="150">
        <v>0</v>
      </c>
      <c r="F327" s="456">
        <v>0</v>
      </c>
      <c r="G327" s="168">
        <v>0</v>
      </c>
      <c r="H327" s="168">
        <v>0</v>
      </c>
      <c r="N327" s="168" t="s">
        <v>272</v>
      </c>
      <c r="O327" s="455" t="s">
        <v>1553</v>
      </c>
      <c r="P327" s="455" t="s">
        <v>2326</v>
      </c>
      <c r="Q327" s="455"/>
      <c r="R327" s="455"/>
      <c r="S327" s="168">
        <v>0</v>
      </c>
      <c r="T327" s="523">
        <v>0</v>
      </c>
    </row>
    <row r="328" spans="1:23" ht="16.5" thickTop="1" thickBot="1">
      <c r="A328" s="554" t="s">
        <v>2668</v>
      </c>
      <c r="B328" s="555"/>
      <c r="C328" s="555"/>
      <c r="D328" s="556"/>
      <c r="E328" s="560">
        <f>SUM(E278:E327)</f>
        <v>11801544.520000003</v>
      </c>
      <c r="F328" s="560">
        <f>SUM(F278:F327)</f>
        <v>14966744</v>
      </c>
      <c r="G328" s="560">
        <f>SUM(G278:G327)</f>
        <v>16688256.74</v>
      </c>
      <c r="H328" s="560">
        <f>SUM(H278:H327)</f>
        <v>15234719</v>
      </c>
      <c r="N328" s="554" t="s">
        <v>2668</v>
      </c>
      <c r="O328" s="555"/>
      <c r="P328" s="555"/>
      <c r="Q328" s="555">
        <f>SUM(Q278:Q327)</f>
        <v>15856539</v>
      </c>
      <c r="R328" s="555">
        <f>SUM(R278:R327)</f>
        <v>12213904</v>
      </c>
      <c r="S328" s="560">
        <f>SUM(S278:S327)</f>
        <v>14562230.17</v>
      </c>
      <c r="T328" s="558">
        <f>SUM(T278:T327)</f>
        <v>13235972</v>
      </c>
      <c r="U328" s="168">
        <f>SUM(S328)</f>
        <v>14562230.17</v>
      </c>
      <c r="V328" s="168">
        <f>SUM(T328)</f>
        <v>13235972</v>
      </c>
    </row>
    <row r="329" spans="1:23" ht="15.75" thickTop="1">
      <c r="B329" s="455"/>
      <c r="E329" s="150"/>
      <c r="O329" s="455"/>
      <c r="P329" s="455"/>
      <c r="Q329" s="455"/>
      <c r="R329" s="455"/>
      <c r="T329" s="523"/>
      <c r="U329" s="603">
        <f>SUM(U276:U328)</f>
        <v>-8665043.6699999962</v>
      </c>
      <c r="V329" s="603">
        <f>SUM(V276:V328)</f>
        <v>-10578828</v>
      </c>
    </row>
    <row r="330" spans="1:23">
      <c r="A330" s="168" t="s">
        <v>274</v>
      </c>
      <c r="B330" s="455" t="s">
        <v>1549</v>
      </c>
      <c r="C330" s="455" t="s">
        <v>75</v>
      </c>
      <c r="D330" s="168" t="s">
        <v>1990</v>
      </c>
      <c r="E330" s="150">
        <v>45677.760000000002</v>
      </c>
      <c r="F330" s="456">
        <v>72500</v>
      </c>
      <c r="G330" s="168">
        <v>52834</v>
      </c>
      <c r="H330" s="168">
        <v>52834</v>
      </c>
      <c r="N330" s="168" t="s">
        <v>274</v>
      </c>
      <c r="O330" s="455" t="s">
        <v>1549</v>
      </c>
      <c r="P330" s="455" t="s">
        <v>75</v>
      </c>
      <c r="Q330" s="455">
        <v>85571</v>
      </c>
      <c r="R330" s="455">
        <v>85571</v>
      </c>
      <c r="S330" s="168">
        <v>61563.79</v>
      </c>
      <c r="T330" s="523">
        <v>61564</v>
      </c>
    </row>
    <row r="331" spans="1:23">
      <c r="A331" s="168" t="s">
        <v>275</v>
      </c>
      <c r="B331" s="455" t="s">
        <v>1549</v>
      </c>
      <c r="C331" s="455" t="s">
        <v>77</v>
      </c>
      <c r="D331" s="168" t="s">
        <v>1990</v>
      </c>
      <c r="E331" s="150">
        <v>922.31</v>
      </c>
      <c r="F331" s="456">
        <v>1300</v>
      </c>
      <c r="G331" s="168">
        <v>27927.58</v>
      </c>
      <c r="H331" s="168">
        <v>27927</v>
      </c>
      <c r="N331" s="168" t="s">
        <v>275</v>
      </c>
      <c r="O331" s="455" t="s">
        <v>1549</v>
      </c>
      <c r="P331" s="455" t="s">
        <v>77</v>
      </c>
      <c r="Q331" s="455">
        <v>25000</v>
      </c>
      <c r="R331" s="455">
        <v>25000</v>
      </c>
      <c r="S331" s="168">
        <v>37416.22</v>
      </c>
      <c r="T331" s="523">
        <v>37416</v>
      </c>
    </row>
    <row r="332" spans="1:23">
      <c r="A332" s="168" t="s">
        <v>276</v>
      </c>
      <c r="B332" s="455" t="s">
        <v>1549</v>
      </c>
      <c r="C332" s="455" t="s">
        <v>60</v>
      </c>
      <c r="D332" s="168" t="s">
        <v>1990</v>
      </c>
      <c r="E332" s="150">
        <v>6040.72</v>
      </c>
      <c r="F332" s="456">
        <v>6041</v>
      </c>
      <c r="G332" s="168">
        <v>4402.83</v>
      </c>
      <c r="H332" s="168">
        <v>4403</v>
      </c>
      <c r="N332" s="168" t="s">
        <v>276</v>
      </c>
      <c r="O332" s="455" t="s">
        <v>1549</v>
      </c>
      <c r="P332" s="455" t="s">
        <v>60</v>
      </c>
      <c r="Q332" s="455">
        <v>7131</v>
      </c>
      <c r="R332" s="455">
        <v>7131</v>
      </c>
      <c r="S332" s="168">
        <v>5011.25</v>
      </c>
      <c r="T332" s="523">
        <v>5012</v>
      </c>
    </row>
    <row r="333" spans="1:23">
      <c r="A333" s="168" t="s">
        <v>2702</v>
      </c>
      <c r="B333" s="455"/>
      <c r="E333" s="150"/>
      <c r="G333" s="168">
        <v>18213.3</v>
      </c>
      <c r="H333" s="168">
        <v>18214</v>
      </c>
      <c r="N333" s="168" t="s">
        <v>2702</v>
      </c>
      <c r="O333" s="455"/>
      <c r="P333" s="455" t="s">
        <v>3724</v>
      </c>
      <c r="Q333" s="455">
        <v>17247</v>
      </c>
      <c r="R333" s="455">
        <v>17247</v>
      </c>
      <c r="S333" s="168">
        <v>17142.38</v>
      </c>
      <c r="T333" s="523">
        <v>17143</v>
      </c>
    </row>
    <row r="334" spans="1:23">
      <c r="A334" s="168" t="s">
        <v>277</v>
      </c>
      <c r="B334" s="455" t="s">
        <v>1549</v>
      </c>
      <c r="C334" s="455" t="s">
        <v>575</v>
      </c>
      <c r="D334" s="168" t="s">
        <v>1990</v>
      </c>
      <c r="E334" s="150">
        <v>0</v>
      </c>
      <c r="F334" s="456">
        <v>24000</v>
      </c>
      <c r="G334" s="168">
        <v>0</v>
      </c>
      <c r="H334" s="168">
        <v>0</v>
      </c>
      <c r="N334" s="168" t="s">
        <v>277</v>
      </c>
      <c r="O334" s="455" t="s">
        <v>1549</v>
      </c>
      <c r="P334" s="455" t="s">
        <v>575</v>
      </c>
      <c r="Q334" s="455">
        <v>30016</v>
      </c>
      <c r="R334" s="455">
        <v>30016</v>
      </c>
      <c r="S334" s="168">
        <v>0</v>
      </c>
      <c r="T334" s="523">
        <v>0</v>
      </c>
    </row>
    <row r="335" spans="1:23">
      <c r="A335" s="168" t="s">
        <v>278</v>
      </c>
      <c r="B335" s="455" t="s">
        <v>1549</v>
      </c>
      <c r="C335" s="455" t="s">
        <v>590</v>
      </c>
      <c r="D335" s="168" t="s">
        <v>1990</v>
      </c>
      <c r="E335" s="150">
        <v>13098.72</v>
      </c>
      <c r="F335" s="456">
        <v>13100</v>
      </c>
      <c r="G335" s="168">
        <v>8024.84</v>
      </c>
      <c r="H335" s="168">
        <v>8025</v>
      </c>
      <c r="N335" s="168" t="s">
        <v>278</v>
      </c>
      <c r="O335" s="455" t="s">
        <v>1549</v>
      </c>
      <c r="P335" s="455" t="s">
        <v>590</v>
      </c>
      <c r="Q335" s="455">
        <v>18826</v>
      </c>
      <c r="R335" s="455">
        <v>18826</v>
      </c>
      <c r="S335" s="168">
        <v>9820.4500000000007</v>
      </c>
      <c r="T335" s="523">
        <v>9821</v>
      </c>
    </row>
    <row r="336" spans="1:23">
      <c r="A336" s="168" t="s">
        <v>279</v>
      </c>
      <c r="B336" s="455" t="s">
        <v>1549</v>
      </c>
      <c r="C336" s="455" t="s">
        <v>590</v>
      </c>
      <c r="D336" s="168" t="s">
        <v>1990</v>
      </c>
      <c r="E336" s="150">
        <v>790.35</v>
      </c>
      <c r="F336" s="456">
        <v>900</v>
      </c>
      <c r="G336" s="168">
        <v>992.4</v>
      </c>
      <c r="H336" s="168">
        <v>993</v>
      </c>
      <c r="N336" s="168" t="s">
        <v>279</v>
      </c>
      <c r="O336" s="455" t="s">
        <v>1549</v>
      </c>
      <c r="P336" s="455" t="s">
        <v>590</v>
      </c>
      <c r="Q336" s="455">
        <v>856</v>
      </c>
      <c r="R336" s="455">
        <v>856</v>
      </c>
      <c r="S336" s="168">
        <v>1122.1300000000001</v>
      </c>
      <c r="T336" s="523">
        <v>1122</v>
      </c>
    </row>
    <row r="337" spans="1:22">
      <c r="A337" s="168" t="s">
        <v>280</v>
      </c>
      <c r="B337" s="455" t="s">
        <v>1549</v>
      </c>
      <c r="C337" s="455" t="s">
        <v>590</v>
      </c>
      <c r="D337" s="168" t="s">
        <v>1990</v>
      </c>
      <c r="E337" s="150">
        <v>0</v>
      </c>
      <c r="F337" s="456">
        <v>0</v>
      </c>
      <c r="G337" s="168">
        <v>0</v>
      </c>
      <c r="H337" s="168">
        <v>0</v>
      </c>
      <c r="N337" s="168" t="s">
        <v>280</v>
      </c>
      <c r="O337" s="455" t="s">
        <v>1549</v>
      </c>
      <c r="P337" s="455" t="s">
        <v>590</v>
      </c>
      <c r="Q337" s="455">
        <v>1309</v>
      </c>
      <c r="R337" s="455">
        <v>1309</v>
      </c>
      <c r="S337" s="168">
        <v>532.27</v>
      </c>
      <c r="T337" s="523">
        <v>533</v>
      </c>
    </row>
    <row r="338" spans="1:22">
      <c r="A338" s="168" t="s">
        <v>281</v>
      </c>
      <c r="B338" s="455" t="s">
        <v>1549</v>
      </c>
      <c r="C338" s="455" t="s">
        <v>1807</v>
      </c>
      <c r="D338" s="168" t="s">
        <v>1990</v>
      </c>
      <c r="E338" s="150">
        <v>38.4</v>
      </c>
      <c r="F338" s="456">
        <v>40</v>
      </c>
      <c r="G338" s="168">
        <v>28.98</v>
      </c>
      <c r="H338" s="168">
        <v>29</v>
      </c>
      <c r="N338" s="168" t="s">
        <v>281</v>
      </c>
      <c r="O338" s="455" t="s">
        <v>1549</v>
      </c>
      <c r="P338" s="455" t="s">
        <v>1807</v>
      </c>
      <c r="Q338" s="455">
        <v>41</v>
      </c>
      <c r="R338" s="455">
        <v>41</v>
      </c>
      <c r="S338" s="168">
        <v>32.58</v>
      </c>
      <c r="T338" s="523">
        <v>33</v>
      </c>
    </row>
    <row r="339" spans="1:22">
      <c r="A339" s="168" t="s">
        <v>282</v>
      </c>
      <c r="B339" s="455" t="s">
        <v>1551</v>
      </c>
      <c r="C339" s="455" t="s">
        <v>592</v>
      </c>
      <c r="D339" s="168" t="s">
        <v>1990</v>
      </c>
      <c r="E339" s="150">
        <v>0</v>
      </c>
      <c r="F339" s="456">
        <v>139</v>
      </c>
      <c r="G339" s="168">
        <v>0</v>
      </c>
      <c r="H339" s="168">
        <v>0</v>
      </c>
      <c r="N339" s="168" t="s">
        <v>282</v>
      </c>
      <c r="O339" s="455" t="s">
        <v>1551</v>
      </c>
      <c r="P339" s="455" t="s">
        <v>592</v>
      </c>
      <c r="Q339" s="455">
        <v>351</v>
      </c>
      <c r="R339" s="455">
        <v>351</v>
      </c>
      <c r="S339" s="168">
        <v>14</v>
      </c>
      <c r="T339" s="523">
        <v>0</v>
      </c>
    </row>
    <row r="340" spans="1:22" ht="15.75" thickBot="1">
      <c r="A340" s="168" t="s">
        <v>283</v>
      </c>
      <c r="B340" s="455" t="s">
        <v>1553</v>
      </c>
      <c r="C340" s="455" t="s">
        <v>2322</v>
      </c>
      <c r="D340" s="168" t="s">
        <v>1990</v>
      </c>
      <c r="E340" s="150">
        <v>2573.96</v>
      </c>
      <c r="F340" s="456">
        <v>2600</v>
      </c>
      <c r="G340" s="168">
        <v>0</v>
      </c>
      <c r="H340" s="168">
        <v>0</v>
      </c>
      <c r="N340" s="168" t="s">
        <v>283</v>
      </c>
      <c r="O340" s="455" t="s">
        <v>1553</v>
      </c>
      <c r="P340" s="455" t="s">
        <v>2322</v>
      </c>
      <c r="Q340" s="455">
        <v>2831</v>
      </c>
      <c r="R340" s="455">
        <v>2831</v>
      </c>
      <c r="S340" s="168">
        <v>0</v>
      </c>
      <c r="T340" s="523">
        <v>0</v>
      </c>
    </row>
    <row r="341" spans="1:22" ht="16.5" thickTop="1" thickBot="1">
      <c r="A341" s="554" t="s">
        <v>2668</v>
      </c>
      <c r="B341" s="555"/>
      <c r="C341" s="555"/>
      <c r="D341" s="556"/>
      <c r="E341" s="560">
        <f>SUM(E330:E340)</f>
        <v>69142.22</v>
      </c>
      <c r="F341" s="560">
        <f>SUM(F330:F340)</f>
        <v>120620</v>
      </c>
      <c r="G341" s="560">
        <f>SUM(G330:G340)</f>
        <v>112423.93</v>
      </c>
      <c r="H341" s="560">
        <f>SUM(H330:H340)</f>
        <v>112425</v>
      </c>
      <c r="N341" s="554" t="s">
        <v>2668</v>
      </c>
      <c r="O341" s="555"/>
      <c r="P341" s="555"/>
      <c r="Q341" s="555">
        <f>SUM(Q330:Q340)</f>
        <v>189179</v>
      </c>
      <c r="R341" s="555">
        <f>SUM(R330:R340)</f>
        <v>189179</v>
      </c>
      <c r="S341" s="560">
        <f>SUM(S330:S340)</f>
        <v>132655.06999999998</v>
      </c>
      <c r="T341" s="558">
        <f>SUM(T330:T340)</f>
        <v>132644</v>
      </c>
      <c r="U341" s="603">
        <f>SUM(S341)</f>
        <v>132655.06999999998</v>
      </c>
      <c r="V341" s="603">
        <f>SUM(T341)</f>
        <v>132644</v>
      </c>
    </row>
    <row r="342" spans="1:22" ht="15.75" thickTop="1">
      <c r="B342" s="455"/>
      <c r="E342" s="150"/>
      <c r="O342" s="455"/>
      <c r="P342" s="455"/>
      <c r="Q342" s="455"/>
      <c r="R342" s="455"/>
      <c r="T342" s="523"/>
    </row>
    <row r="343" spans="1:22">
      <c r="A343" s="168" t="s">
        <v>2703</v>
      </c>
      <c r="B343" s="455" t="s">
        <v>27</v>
      </c>
      <c r="C343" s="455" t="s">
        <v>1021</v>
      </c>
      <c r="D343" s="168" t="s">
        <v>1568</v>
      </c>
      <c r="E343" s="150">
        <v>-500000</v>
      </c>
      <c r="F343" s="456">
        <v>-500000</v>
      </c>
      <c r="G343" s="168">
        <v>0</v>
      </c>
      <c r="H343" s="168">
        <v>0</v>
      </c>
      <c r="N343" s="168" t="s">
        <v>2703</v>
      </c>
      <c r="O343" s="455" t="s">
        <v>27</v>
      </c>
      <c r="P343" s="455" t="s">
        <v>1021</v>
      </c>
      <c r="Q343" s="455">
        <v>-735000</v>
      </c>
      <c r="R343" s="455">
        <v>-735000</v>
      </c>
      <c r="S343" s="168">
        <v>-735000</v>
      </c>
      <c r="T343" s="523">
        <v>-735000</v>
      </c>
    </row>
    <row r="344" spans="1:22" ht="15.75" thickBot="1">
      <c r="A344" s="168" t="s">
        <v>285</v>
      </c>
      <c r="B344" s="455" t="s">
        <v>28</v>
      </c>
      <c r="C344" s="455" t="s">
        <v>568</v>
      </c>
      <c r="D344" s="168" t="s">
        <v>1568</v>
      </c>
      <c r="E344" s="150">
        <v>-734000</v>
      </c>
      <c r="F344" s="456">
        <v>-734000</v>
      </c>
      <c r="G344" s="168">
        <v>-735000</v>
      </c>
      <c r="H344" s="168">
        <v>-735000</v>
      </c>
      <c r="N344" s="168" t="s">
        <v>285</v>
      </c>
      <c r="O344" s="455" t="s">
        <v>28</v>
      </c>
      <c r="P344" s="455" t="s">
        <v>568</v>
      </c>
      <c r="Q344" s="455"/>
      <c r="R344" s="455"/>
      <c r="S344" s="168">
        <v>0</v>
      </c>
      <c r="T344" s="523">
        <v>0</v>
      </c>
    </row>
    <row r="345" spans="1:22" ht="16.5" thickTop="1" thickBot="1">
      <c r="A345" s="554" t="s">
        <v>2668</v>
      </c>
      <c r="B345" s="555"/>
      <c r="C345" s="555"/>
      <c r="D345" s="556"/>
      <c r="E345" s="560">
        <f>SUM(E343:E344)</f>
        <v>-1234000</v>
      </c>
      <c r="F345" s="560">
        <f>SUM(F343:F344)</f>
        <v>-1234000</v>
      </c>
      <c r="G345" s="560">
        <f>SUM(G343:G344)</f>
        <v>-735000</v>
      </c>
      <c r="H345" s="560">
        <f>SUM(H343:H344)</f>
        <v>-735000</v>
      </c>
      <c r="I345" s="168">
        <v>735000</v>
      </c>
      <c r="N345" s="554" t="s">
        <v>2668</v>
      </c>
      <c r="O345" s="555"/>
      <c r="P345" s="555"/>
      <c r="Q345" s="555">
        <f>SUM(Q343:Q344)</f>
        <v>-735000</v>
      </c>
      <c r="R345" s="555">
        <f>SUM(R343:R344)</f>
        <v>-735000</v>
      </c>
      <c r="S345" s="560">
        <f>SUM(S343:S344)</f>
        <v>-735000</v>
      </c>
      <c r="T345" s="558">
        <f>SUM(T343:T344)</f>
        <v>-735000</v>
      </c>
      <c r="U345" s="168">
        <f>SUM(S345)</f>
        <v>-735000</v>
      </c>
      <c r="V345" s="168">
        <f>SUM(T345)</f>
        <v>-735000</v>
      </c>
    </row>
    <row r="346" spans="1:22" ht="15.75" thickTop="1">
      <c r="B346" s="455"/>
      <c r="E346" s="150"/>
      <c r="O346" s="455"/>
      <c r="P346" s="455"/>
      <c r="Q346" s="455"/>
      <c r="R346" s="455"/>
      <c r="T346" s="523"/>
    </row>
    <row r="347" spans="1:22">
      <c r="A347" s="168" t="s">
        <v>286</v>
      </c>
      <c r="B347" s="455" t="s">
        <v>1549</v>
      </c>
      <c r="C347" s="455" t="s">
        <v>75</v>
      </c>
      <c r="D347" s="168" t="s">
        <v>1568</v>
      </c>
      <c r="E347" s="150">
        <v>140833.68</v>
      </c>
      <c r="F347" s="456">
        <v>141000</v>
      </c>
      <c r="G347" s="168">
        <v>152578.07999999999</v>
      </c>
      <c r="H347" s="168">
        <v>152578</v>
      </c>
      <c r="N347" s="168" t="s">
        <v>286</v>
      </c>
      <c r="O347" s="455" t="s">
        <v>1549</v>
      </c>
      <c r="P347" s="455" t="s">
        <v>75</v>
      </c>
      <c r="Q347" s="455">
        <v>166310</v>
      </c>
      <c r="R347" s="455">
        <v>166310</v>
      </c>
      <c r="S347" s="168">
        <v>172413.24</v>
      </c>
      <c r="T347" s="523">
        <v>172413</v>
      </c>
    </row>
    <row r="348" spans="1:22">
      <c r="A348" s="168" t="s">
        <v>287</v>
      </c>
      <c r="B348" s="455" t="s">
        <v>1549</v>
      </c>
      <c r="C348" s="455" t="s">
        <v>77</v>
      </c>
      <c r="D348" s="168" t="s">
        <v>1568</v>
      </c>
      <c r="E348" s="150">
        <v>0</v>
      </c>
      <c r="F348" s="456">
        <v>0</v>
      </c>
      <c r="G348" s="168">
        <v>4939.96</v>
      </c>
      <c r="H348" s="168">
        <v>4940</v>
      </c>
      <c r="N348" s="168" t="s">
        <v>287</v>
      </c>
      <c r="O348" s="455" t="s">
        <v>1549</v>
      </c>
      <c r="P348" s="455" t="s">
        <v>77</v>
      </c>
      <c r="Q348" s="455">
        <v>10000</v>
      </c>
      <c r="R348" s="455">
        <v>10000</v>
      </c>
      <c r="S348" s="168">
        <v>0</v>
      </c>
      <c r="T348" s="523">
        <v>0</v>
      </c>
    </row>
    <row r="349" spans="1:22">
      <c r="A349" s="168" t="s">
        <v>288</v>
      </c>
      <c r="B349" s="455" t="s">
        <v>1549</v>
      </c>
      <c r="C349" s="455" t="s">
        <v>60</v>
      </c>
      <c r="D349" s="168" t="s">
        <v>1568</v>
      </c>
      <c r="E349" s="150">
        <v>11740.39</v>
      </c>
      <c r="F349" s="456">
        <v>11840</v>
      </c>
      <c r="G349" s="168">
        <v>12714.84</v>
      </c>
      <c r="H349" s="168">
        <v>12715</v>
      </c>
      <c r="N349" s="168" t="s">
        <v>288</v>
      </c>
      <c r="O349" s="455" t="s">
        <v>1549</v>
      </c>
      <c r="P349" s="455" t="s">
        <v>60</v>
      </c>
      <c r="Q349" s="455">
        <v>13859</v>
      </c>
      <c r="R349" s="455">
        <v>13859</v>
      </c>
      <c r="S349" s="168">
        <v>14049.9</v>
      </c>
      <c r="T349" s="523">
        <v>14049</v>
      </c>
    </row>
    <row r="350" spans="1:22">
      <c r="A350" s="168" t="s">
        <v>289</v>
      </c>
      <c r="B350" s="455" t="s">
        <v>1549</v>
      </c>
      <c r="C350" s="455" t="s">
        <v>767</v>
      </c>
      <c r="D350" s="168" t="s">
        <v>1568</v>
      </c>
      <c r="E350" s="150">
        <v>0</v>
      </c>
      <c r="F350" s="456">
        <v>0</v>
      </c>
      <c r="G350" s="168">
        <v>0</v>
      </c>
      <c r="H350" s="168">
        <v>0</v>
      </c>
      <c r="N350" s="168" t="s">
        <v>289</v>
      </c>
      <c r="O350" s="455" t="s">
        <v>1549</v>
      </c>
      <c r="P350" s="455" t="s">
        <v>767</v>
      </c>
      <c r="Q350" s="455">
        <v>8244</v>
      </c>
      <c r="R350" s="455">
        <v>8244</v>
      </c>
      <c r="S350" s="168">
        <v>0</v>
      </c>
      <c r="T350" s="523">
        <v>0</v>
      </c>
    </row>
    <row r="351" spans="1:22">
      <c r="A351" s="168" t="s">
        <v>290</v>
      </c>
      <c r="B351" s="455" t="s">
        <v>1549</v>
      </c>
      <c r="C351" s="455" t="s">
        <v>84</v>
      </c>
      <c r="D351" s="168" t="s">
        <v>1568</v>
      </c>
      <c r="E351" s="150">
        <v>44295</v>
      </c>
      <c r="F351" s="456">
        <v>44295</v>
      </c>
      <c r="G351" s="168">
        <v>49618</v>
      </c>
      <c r="H351" s="168">
        <v>49618</v>
      </c>
      <c r="N351" s="168" t="s">
        <v>290</v>
      </c>
      <c r="O351" s="455" t="s">
        <v>1549</v>
      </c>
      <c r="P351" s="455" t="s">
        <v>84</v>
      </c>
      <c r="Q351" s="455">
        <v>44295</v>
      </c>
      <c r="R351" s="455">
        <v>44295</v>
      </c>
      <c r="S351" s="168">
        <v>47668.06</v>
      </c>
      <c r="T351" s="523">
        <v>47668</v>
      </c>
    </row>
    <row r="352" spans="1:22">
      <c r="A352" s="168" t="s">
        <v>291</v>
      </c>
      <c r="B352" s="455" t="s">
        <v>1549</v>
      </c>
      <c r="C352" s="455" t="s">
        <v>575</v>
      </c>
      <c r="D352" s="168" t="s">
        <v>1568</v>
      </c>
      <c r="E352" s="150">
        <v>8902.7999999999993</v>
      </c>
      <c r="F352" s="456">
        <v>9000</v>
      </c>
      <c r="G352" s="168">
        <v>9871.2000000000007</v>
      </c>
      <c r="H352" s="168">
        <v>9871</v>
      </c>
      <c r="N352" s="168" t="s">
        <v>291</v>
      </c>
      <c r="O352" s="455" t="s">
        <v>1549</v>
      </c>
      <c r="P352" s="455" t="s">
        <v>575</v>
      </c>
      <c r="Q352" s="455">
        <v>24842</v>
      </c>
      <c r="R352" s="455">
        <v>24842</v>
      </c>
      <c r="S352" s="168">
        <v>10929.6</v>
      </c>
      <c r="T352" s="523">
        <v>10930</v>
      </c>
    </row>
    <row r="353" spans="1:20">
      <c r="A353" s="168" t="s">
        <v>292</v>
      </c>
      <c r="B353" s="455" t="s">
        <v>1549</v>
      </c>
      <c r="C353" s="455" t="s">
        <v>575</v>
      </c>
      <c r="D353" s="168" t="s">
        <v>1568</v>
      </c>
      <c r="E353" s="150">
        <v>30994.68</v>
      </c>
      <c r="F353" s="456">
        <v>31000</v>
      </c>
      <c r="G353" s="168">
        <v>33567.120000000003</v>
      </c>
      <c r="H353" s="168">
        <v>33567</v>
      </c>
      <c r="N353" s="168" t="s">
        <v>292</v>
      </c>
      <c r="O353" s="455" t="s">
        <v>1549</v>
      </c>
      <c r="P353" s="455" t="s">
        <v>575</v>
      </c>
      <c r="Q353" s="455">
        <v>36588</v>
      </c>
      <c r="R353" s="455">
        <v>36588</v>
      </c>
      <c r="S353" s="168">
        <v>37091.75</v>
      </c>
      <c r="T353" s="523">
        <v>37091</v>
      </c>
    </row>
    <row r="354" spans="1:20">
      <c r="A354" s="168" t="s">
        <v>293</v>
      </c>
      <c r="B354" s="455" t="s">
        <v>1549</v>
      </c>
      <c r="C354" s="455" t="s">
        <v>575</v>
      </c>
      <c r="D354" s="168" t="s">
        <v>1568</v>
      </c>
      <c r="E354" s="150">
        <v>1472.88</v>
      </c>
      <c r="F354" s="456">
        <v>1500</v>
      </c>
      <c r="G354" s="168">
        <v>1497.36</v>
      </c>
      <c r="H354" s="168">
        <v>1497</v>
      </c>
      <c r="N354" s="168" t="s">
        <v>293</v>
      </c>
      <c r="O354" s="455" t="s">
        <v>1549</v>
      </c>
      <c r="P354" s="455" t="s">
        <v>575</v>
      </c>
      <c r="Q354" s="455">
        <v>1663</v>
      </c>
      <c r="R354" s="455">
        <v>1663</v>
      </c>
      <c r="S354" s="168">
        <v>1497.36</v>
      </c>
      <c r="T354" s="523">
        <v>1498</v>
      </c>
    </row>
    <row r="355" spans="1:20">
      <c r="A355" s="168" t="s">
        <v>294</v>
      </c>
      <c r="B355" s="455" t="s">
        <v>1549</v>
      </c>
      <c r="C355" s="455" t="s">
        <v>575</v>
      </c>
      <c r="D355" s="168" t="s">
        <v>1568</v>
      </c>
      <c r="E355" s="150">
        <v>2141.4</v>
      </c>
      <c r="F355" s="456">
        <v>2200</v>
      </c>
      <c r="G355" s="168">
        <v>2319.2399999999998</v>
      </c>
      <c r="H355" s="168">
        <v>2319</v>
      </c>
      <c r="N355" s="168" t="s">
        <v>294</v>
      </c>
      <c r="O355" s="455" t="s">
        <v>1549</v>
      </c>
      <c r="P355" s="455" t="s">
        <v>575</v>
      </c>
      <c r="Q355" s="455">
        <v>2545</v>
      </c>
      <c r="R355" s="455">
        <v>2545</v>
      </c>
      <c r="S355" s="168">
        <v>2542.4299999999998</v>
      </c>
      <c r="T355" s="523">
        <v>2543</v>
      </c>
    </row>
    <row r="356" spans="1:20">
      <c r="A356" s="168" t="s">
        <v>1139</v>
      </c>
      <c r="B356" s="455" t="s">
        <v>1549</v>
      </c>
      <c r="C356" s="455" t="s">
        <v>1807</v>
      </c>
      <c r="D356" s="168" t="s">
        <v>1568</v>
      </c>
      <c r="E356" s="150">
        <v>38.4</v>
      </c>
      <c r="F356" s="456">
        <v>40</v>
      </c>
      <c r="G356" s="168">
        <v>41.4</v>
      </c>
      <c r="H356" s="168">
        <v>41</v>
      </c>
      <c r="N356" s="168" t="s">
        <v>1139</v>
      </c>
      <c r="O356" s="455" t="s">
        <v>1549</v>
      </c>
      <c r="P356" s="455" t="s">
        <v>1807</v>
      </c>
      <c r="Q356" s="455">
        <v>41</v>
      </c>
      <c r="R356" s="455">
        <v>41</v>
      </c>
      <c r="S356" s="168">
        <v>45</v>
      </c>
      <c r="T356" s="523">
        <v>45</v>
      </c>
    </row>
    <row r="357" spans="1:20">
      <c r="A357" s="168" t="s">
        <v>1140</v>
      </c>
      <c r="B357" s="455" t="s">
        <v>1551</v>
      </c>
      <c r="C357" s="455" t="s">
        <v>592</v>
      </c>
      <c r="D357" s="168" t="s">
        <v>1568</v>
      </c>
      <c r="E357" s="150">
        <v>0</v>
      </c>
      <c r="F357" s="456">
        <v>2599</v>
      </c>
      <c r="G357" s="168">
        <v>0</v>
      </c>
      <c r="H357" s="168">
        <v>0</v>
      </c>
      <c r="N357" s="168" t="s">
        <v>1140</v>
      </c>
      <c r="O357" s="455" t="s">
        <v>1551</v>
      </c>
      <c r="P357" s="455" t="s">
        <v>592</v>
      </c>
      <c r="Q357" s="455">
        <v>515312</v>
      </c>
      <c r="R357" s="455">
        <v>515312</v>
      </c>
      <c r="S357" s="168">
        <f>146016.87+187.26</f>
        <v>146204.13</v>
      </c>
      <c r="T357" s="523">
        <v>515312</v>
      </c>
    </row>
    <row r="358" spans="1:20">
      <c r="A358" s="168" t="s">
        <v>1141</v>
      </c>
      <c r="B358" s="455" t="s">
        <v>1552</v>
      </c>
      <c r="C358" s="455" t="s">
        <v>1142</v>
      </c>
      <c r="D358" s="168" t="s">
        <v>1568</v>
      </c>
      <c r="E358" s="150">
        <v>18517.95</v>
      </c>
      <c r="F358" s="456">
        <v>20020</v>
      </c>
      <c r="G358" s="168">
        <v>16809.41</v>
      </c>
      <c r="H358" s="168">
        <v>16809</v>
      </c>
      <c r="N358" s="168" t="s">
        <v>1141</v>
      </c>
      <c r="O358" s="455" t="s">
        <v>1552</v>
      </c>
      <c r="P358" s="455" t="s">
        <v>1142</v>
      </c>
      <c r="Q358" s="455">
        <v>18518</v>
      </c>
      <c r="R358" s="455">
        <v>10000</v>
      </c>
      <c r="S358" s="168">
        <v>16283.29</v>
      </c>
      <c r="T358" s="523">
        <v>16283</v>
      </c>
    </row>
    <row r="359" spans="1:20">
      <c r="B359" s="455"/>
      <c r="E359" s="150"/>
      <c r="N359" s="168" t="s">
        <v>3725</v>
      </c>
      <c r="O359" s="455"/>
      <c r="P359" s="455"/>
      <c r="Q359" s="455">
        <v>2625</v>
      </c>
      <c r="R359" s="455"/>
      <c r="T359" s="523"/>
    </row>
    <row r="360" spans="1:20">
      <c r="A360" s="168" t="s">
        <v>1143</v>
      </c>
      <c r="B360" s="455" t="s">
        <v>1553</v>
      </c>
      <c r="C360" s="455" t="s">
        <v>612</v>
      </c>
      <c r="D360" s="168" t="s">
        <v>1568</v>
      </c>
      <c r="E360" s="150">
        <v>250</v>
      </c>
      <c r="F360" s="456">
        <v>250</v>
      </c>
      <c r="G360" s="168">
        <v>280384.13</v>
      </c>
      <c r="H360" s="168">
        <v>280384</v>
      </c>
      <c r="N360" s="168" t="s">
        <v>1143</v>
      </c>
      <c r="O360" s="455" t="s">
        <v>1553</v>
      </c>
      <c r="P360" s="455" t="s">
        <v>612</v>
      </c>
      <c r="Q360" s="455">
        <v>33873</v>
      </c>
      <c r="R360" s="455">
        <v>10000</v>
      </c>
      <c r="S360" s="168">
        <v>166</v>
      </c>
      <c r="T360" s="523">
        <v>167</v>
      </c>
    </row>
    <row r="361" spans="1:20">
      <c r="A361" s="168" t="s">
        <v>1144</v>
      </c>
      <c r="B361" s="455" t="s">
        <v>1553</v>
      </c>
      <c r="C361" s="455" t="s">
        <v>99</v>
      </c>
      <c r="D361" s="168" t="s">
        <v>1568</v>
      </c>
      <c r="E361" s="150">
        <v>862585.77</v>
      </c>
      <c r="F361" s="456">
        <v>1196366</v>
      </c>
      <c r="G361" s="168">
        <v>275560.19</v>
      </c>
      <c r="H361" s="168">
        <v>179980</v>
      </c>
      <c r="N361" s="168" t="s">
        <v>1144</v>
      </c>
      <c r="O361" s="455" t="s">
        <v>1553</v>
      </c>
      <c r="P361" s="455" t="s">
        <v>99</v>
      </c>
      <c r="Q361" s="455">
        <v>767336</v>
      </c>
      <c r="R361" s="455">
        <v>300000</v>
      </c>
      <c r="S361" s="168">
        <v>443424.65</v>
      </c>
      <c r="T361" s="523">
        <v>443424</v>
      </c>
    </row>
    <row r="362" spans="1:20">
      <c r="A362" s="168" t="s">
        <v>1145</v>
      </c>
      <c r="B362" s="455" t="s">
        <v>1553</v>
      </c>
      <c r="C362" s="455" t="s">
        <v>190</v>
      </c>
      <c r="D362" s="168" t="s">
        <v>1568</v>
      </c>
      <c r="E362" s="150">
        <v>181641.19</v>
      </c>
      <c r="F362" s="456">
        <v>182000</v>
      </c>
      <c r="G362" s="168">
        <v>289115.05</v>
      </c>
      <c r="H362" s="168">
        <v>289115</v>
      </c>
      <c r="N362" s="168" t="s">
        <v>1145</v>
      </c>
      <c r="O362" s="455" t="s">
        <v>1553</v>
      </c>
      <c r="P362" s="455" t="s">
        <v>190</v>
      </c>
      <c r="Q362" s="455">
        <v>144181</v>
      </c>
      <c r="R362" s="455">
        <v>87000</v>
      </c>
      <c r="S362" s="168">
        <v>95438.49</v>
      </c>
      <c r="T362" s="523">
        <v>95438</v>
      </c>
    </row>
    <row r="363" spans="1:20">
      <c r="A363" s="168" t="s">
        <v>1146</v>
      </c>
      <c r="B363" s="455" t="s">
        <v>1553</v>
      </c>
      <c r="C363" s="455" t="s">
        <v>1147</v>
      </c>
      <c r="D363" s="168" t="s">
        <v>1568</v>
      </c>
      <c r="E363" s="150">
        <v>0</v>
      </c>
      <c r="F363" s="456">
        <v>0</v>
      </c>
      <c r="G363" s="168">
        <v>1401.84</v>
      </c>
      <c r="H363" s="168">
        <v>1401</v>
      </c>
      <c r="N363" s="168" t="s">
        <v>1146</v>
      </c>
      <c r="O363" s="455" t="s">
        <v>1553</v>
      </c>
      <c r="P363" s="455" t="s">
        <v>1147</v>
      </c>
      <c r="Q363" s="455">
        <v>22860</v>
      </c>
      <c r="R363" s="455">
        <v>22860</v>
      </c>
      <c r="S363" s="168">
        <v>511862.74</v>
      </c>
      <c r="T363" s="523">
        <v>511862</v>
      </c>
    </row>
    <row r="364" spans="1:20">
      <c r="A364" s="168" t="s">
        <v>1148</v>
      </c>
      <c r="B364" s="455" t="s">
        <v>1553</v>
      </c>
      <c r="C364" s="455" t="s">
        <v>1149</v>
      </c>
      <c r="D364" s="168" t="s">
        <v>1568</v>
      </c>
      <c r="E364" s="150">
        <v>105213.69</v>
      </c>
      <c r="F364" s="456">
        <v>106000</v>
      </c>
      <c r="G364" s="168">
        <v>172786.65</v>
      </c>
      <c r="H364" s="168">
        <v>172787</v>
      </c>
      <c r="N364" s="168" t="s">
        <v>1148</v>
      </c>
      <c r="O364" s="455" t="s">
        <v>1553</v>
      </c>
      <c r="P364" s="455" t="s">
        <v>1149</v>
      </c>
      <c r="Q364" s="455">
        <v>1413947</v>
      </c>
      <c r="R364" s="455">
        <v>1413947</v>
      </c>
      <c r="S364" s="168">
        <v>783340.4</v>
      </c>
      <c r="T364" s="523">
        <v>783341</v>
      </c>
    </row>
    <row r="365" spans="1:20">
      <c r="A365" s="168" t="s">
        <v>1150</v>
      </c>
      <c r="B365" s="455" t="s">
        <v>1553</v>
      </c>
      <c r="C365" s="455" t="s">
        <v>50</v>
      </c>
      <c r="D365" s="168" t="s">
        <v>1568</v>
      </c>
      <c r="E365" s="150">
        <v>15385.03</v>
      </c>
      <c r="F365" s="456">
        <v>18750</v>
      </c>
      <c r="G365" s="168">
        <v>15200.25</v>
      </c>
      <c r="H365" s="168">
        <v>15200</v>
      </c>
      <c r="N365" s="168" t="s">
        <v>1150</v>
      </c>
      <c r="O365" s="455" t="s">
        <v>1553</v>
      </c>
      <c r="P365" s="455" t="s">
        <v>50</v>
      </c>
      <c r="Q365" s="455">
        <v>25000</v>
      </c>
      <c r="R365" s="455">
        <v>5000</v>
      </c>
      <c r="S365" s="168">
        <v>1195.33</v>
      </c>
      <c r="T365" s="523">
        <v>1196</v>
      </c>
    </row>
    <row r="366" spans="1:20">
      <c r="A366" s="168" t="s">
        <v>1151</v>
      </c>
      <c r="B366" s="455" t="s">
        <v>1553</v>
      </c>
      <c r="C366" s="455" t="s">
        <v>52</v>
      </c>
      <c r="D366" s="168" t="s">
        <v>1568</v>
      </c>
      <c r="E366" s="150">
        <v>9097.61</v>
      </c>
      <c r="F366" s="456">
        <v>16000</v>
      </c>
      <c r="G366" s="168">
        <v>0</v>
      </c>
      <c r="H366" s="168">
        <v>0</v>
      </c>
      <c r="N366" s="168" t="s">
        <v>1151</v>
      </c>
      <c r="O366" s="455" t="s">
        <v>1553</v>
      </c>
      <c r="P366" s="455" t="s">
        <v>52</v>
      </c>
      <c r="Q366" s="455">
        <v>29796</v>
      </c>
      <c r="R366" s="455">
        <v>3708</v>
      </c>
      <c r="S366" s="168">
        <v>0</v>
      </c>
      <c r="T366" s="523">
        <v>0</v>
      </c>
    </row>
    <row r="367" spans="1:20">
      <c r="B367" s="455"/>
      <c r="E367" s="150"/>
      <c r="N367" s="168" t="s">
        <v>3726</v>
      </c>
      <c r="O367" s="455"/>
      <c r="P367" s="455"/>
      <c r="Q367" s="455">
        <v>3708</v>
      </c>
      <c r="R367" s="455">
        <v>5000</v>
      </c>
      <c r="T367" s="523"/>
    </row>
    <row r="368" spans="1:20">
      <c r="A368" s="168" t="s">
        <v>2704</v>
      </c>
      <c r="B368" s="455"/>
      <c r="E368" s="150"/>
      <c r="G368" s="168">
        <v>22.06</v>
      </c>
      <c r="H368" s="168">
        <v>23</v>
      </c>
      <c r="N368" s="168" t="s">
        <v>2704</v>
      </c>
      <c r="O368" s="455"/>
      <c r="P368" s="455"/>
      <c r="Q368" s="455"/>
      <c r="R368" s="455"/>
      <c r="S368" s="168">
        <v>20386.37</v>
      </c>
      <c r="T368" s="523">
        <v>20386</v>
      </c>
    </row>
    <row r="369" spans="1:24">
      <c r="A369" s="168" t="s">
        <v>2705</v>
      </c>
      <c r="B369" s="455"/>
      <c r="E369" s="150"/>
      <c r="G369" s="168">
        <v>735000</v>
      </c>
      <c r="H369" s="168">
        <v>735000</v>
      </c>
      <c r="N369" s="168" t="s">
        <v>2705</v>
      </c>
      <c r="O369" s="455"/>
      <c r="P369" s="455"/>
      <c r="Q369" s="455"/>
      <c r="R369" s="455"/>
      <c r="S369" s="168">
        <v>735000</v>
      </c>
      <c r="T369" s="523">
        <v>735000</v>
      </c>
    </row>
    <row r="370" spans="1:24" ht="15.75" thickBot="1">
      <c r="A370" s="168" t="s">
        <v>1152</v>
      </c>
      <c r="B370" s="455" t="s">
        <v>1553</v>
      </c>
      <c r="C370" s="455" t="s">
        <v>1153</v>
      </c>
      <c r="D370" s="168" t="s">
        <v>1568</v>
      </c>
      <c r="E370" s="150">
        <v>0</v>
      </c>
      <c r="F370" s="456">
        <v>0</v>
      </c>
      <c r="G370" s="168">
        <v>0</v>
      </c>
      <c r="H370" s="168">
        <v>0</v>
      </c>
      <c r="N370" s="168" t="s">
        <v>1152</v>
      </c>
      <c r="O370" s="455" t="s">
        <v>1553</v>
      </c>
      <c r="P370" s="455" t="s">
        <v>1153</v>
      </c>
      <c r="Q370" s="455"/>
      <c r="R370" s="455"/>
      <c r="S370" s="168">
        <v>0</v>
      </c>
      <c r="T370" s="523">
        <v>0</v>
      </c>
    </row>
    <row r="371" spans="1:24" ht="16.5" thickTop="1" thickBot="1">
      <c r="A371" s="554" t="s">
        <v>2668</v>
      </c>
      <c r="B371" s="555"/>
      <c r="C371" s="555"/>
      <c r="D371" s="556"/>
      <c r="E371" s="560">
        <f>SUM(E347:E370)</f>
        <v>1433110.47</v>
      </c>
      <c r="F371" s="560">
        <f>SUM(F347:F370)</f>
        <v>1782860</v>
      </c>
      <c r="G371" s="560">
        <f>SUM(G347:G370)</f>
        <v>2053426.78</v>
      </c>
      <c r="H371" s="560">
        <f>SUM(H347:H370)</f>
        <v>1957845</v>
      </c>
      <c r="N371" s="554" t="s">
        <v>2668</v>
      </c>
      <c r="O371" s="555"/>
      <c r="P371" s="555"/>
      <c r="Q371" s="555">
        <f>SUM(Q347:Q370)</f>
        <v>3285543</v>
      </c>
      <c r="R371" s="555">
        <f>SUM(R347:R370)</f>
        <v>2681214</v>
      </c>
      <c r="S371" s="560">
        <f>SUM(S347:S370)</f>
        <v>3039538.74</v>
      </c>
      <c r="T371" s="558">
        <f>SUM(T347:T370)</f>
        <v>3408646</v>
      </c>
      <c r="U371" s="168">
        <f>SUM(S371)</f>
        <v>3039538.74</v>
      </c>
      <c r="V371" s="168">
        <f>SUM(T371)</f>
        <v>3408646</v>
      </c>
    </row>
    <row r="372" spans="1:24" ht="15.75" thickTop="1">
      <c r="B372" s="455"/>
      <c r="E372" s="150"/>
      <c r="O372" s="455"/>
      <c r="P372" s="455"/>
      <c r="Q372" s="455"/>
      <c r="R372" s="455"/>
      <c r="T372" s="523"/>
      <c r="U372" s="462">
        <f>SUM(U345:U371)</f>
        <v>2304538.7400000002</v>
      </c>
      <c r="V372" s="168">
        <f>SUM(V345:V371)</f>
        <v>2673646</v>
      </c>
      <c r="X372" s="168">
        <f>2304538.74-2304351.48</f>
        <v>187.26000000024214</v>
      </c>
    </row>
    <row r="373" spans="1:24">
      <c r="A373" s="168" t="s">
        <v>1154</v>
      </c>
      <c r="B373" s="455" t="s">
        <v>1549</v>
      </c>
      <c r="C373" s="455" t="s">
        <v>75</v>
      </c>
      <c r="D373" s="168" t="s">
        <v>1229</v>
      </c>
      <c r="E373" s="150">
        <v>176421.36</v>
      </c>
      <c r="F373" s="456">
        <v>177000</v>
      </c>
      <c r="G373" s="168">
        <v>31853.26</v>
      </c>
      <c r="H373" s="168">
        <v>31853</v>
      </c>
      <c r="N373" s="168" t="s">
        <v>1154</v>
      </c>
      <c r="O373" s="455" t="s">
        <v>1549</v>
      </c>
      <c r="P373" s="455" t="s">
        <v>75</v>
      </c>
      <c r="Q373" s="455">
        <v>134181</v>
      </c>
      <c r="R373" s="455"/>
      <c r="S373" s="168">
        <v>0</v>
      </c>
      <c r="T373" s="523">
        <v>0</v>
      </c>
    </row>
    <row r="374" spans="1:24">
      <c r="A374" s="168" t="s">
        <v>1155</v>
      </c>
      <c r="B374" s="455" t="s">
        <v>1549</v>
      </c>
      <c r="C374" s="455" t="s">
        <v>60</v>
      </c>
      <c r="D374" s="168" t="s">
        <v>1229</v>
      </c>
      <c r="E374" s="150">
        <v>14706.03</v>
      </c>
      <c r="F374" s="456">
        <v>14806</v>
      </c>
      <c r="G374" s="168">
        <v>15926.63</v>
      </c>
      <c r="H374" s="168">
        <v>15927</v>
      </c>
      <c r="N374" s="168" t="s">
        <v>1155</v>
      </c>
      <c r="O374" s="455" t="s">
        <v>1549</v>
      </c>
      <c r="P374" s="455" t="s">
        <v>60</v>
      </c>
      <c r="Q374" s="455">
        <v>23749</v>
      </c>
      <c r="R374" s="455"/>
      <c r="S374" s="168">
        <v>0</v>
      </c>
      <c r="T374" s="523">
        <v>0</v>
      </c>
    </row>
    <row r="375" spans="1:24">
      <c r="A375" s="168" t="s">
        <v>1156</v>
      </c>
      <c r="B375" s="455" t="s">
        <v>1549</v>
      </c>
      <c r="C375" s="455" t="s">
        <v>515</v>
      </c>
      <c r="D375" s="168" t="s">
        <v>1229</v>
      </c>
      <c r="E375" s="150">
        <v>24504.48</v>
      </c>
      <c r="F375" s="456">
        <v>24604</v>
      </c>
      <c r="G375" s="168">
        <v>4084.08</v>
      </c>
      <c r="H375" s="168">
        <v>4084</v>
      </c>
      <c r="N375" s="168" t="s">
        <v>1156</v>
      </c>
      <c r="O375" s="455" t="s">
        <v>1549</v>
      </c>
      <c r="P375" s="455" t="s">
        <v>515</v>
      </c>
      <c r="Q375" s="455"/>
      <c r="R375" s="455"/>
      <c r="S375" s="168">
        <v>0</v>
      </c>
      <c r="T375" s="523">
        <v>0</v>
      </c>
    </row>
    <row r="376" spans="1:24">
      <c r="A376" s="168" t="s">
        <v>1157</v>
      </c>
      <c r="B376" s="455" t="s">
        <v>1549</v>
      </c>
      <c r="C376" s="455" t="s">
        <v>660</v>
      </c>
      <c r="D376" s="168" t="s">
        <v>1229</v>
      </c>
      <c r="E376" s="150">
        <v>0</v>
      </c>
      <c r="F376" s="456">
        <v>0</v>
      </c>
      <c r="G376" s="168">
        <v>0</v>
      </c>
      <c r="H376" s="168">
        <v>0</v>
      </c>
      <c r="N376" s="168" t="s">
        <v>1157</v>
      </c>
      <c r="O376" s="455" t="s">
        <v>1549</v>
      </c>
      <c r="P376" s="455" t="s">
        <v>660</v>
      </c>
      <c r="Q376" s="455"/>
      <c r="R376" s="455"/>
      <c r="S376" s="168">
        <v>0</v>
      </c>
      <c r="T376" s="523">
        <v>0</v>
      </c>
    </row>
    <row r="377" spans="1:24">
      <c r="A377" s="168" t="s">
        <v>1158</v>
      </c>
      <c r="B377" s="455" t="s">
        <v>1549</v>
      </c>
      <c r="C377" s="455" t="s">
        <v>767</v>
      </c>
      <c r="D377" s="168" t="s">
        <v>1229</v>
      </c>
      <c r="E377" s="150">
        <v>7068</v>
      </c>
      <c r="F377" s="456">
        <v>7000</v>
      </c>
      <c r="G377" s="168">
        <v>1248</v>
      </c>
      <c r="H377" s="168">
        <v>1248</v>
      </c>
      <c r="N377" s="168" t="s">
        <v>1158</v>
      </c>
      <c r="O377" s="455" t="s">
        <v>1549</v>
      </c>
      <c r="P377" s="455" t="s">
        <v>767</v>
      </c>
      <c r="Q377" s="455">
        <v>16488</v>
      </c>
      <c r="R377" s="455"/>
      <c r="S377" s="168">
        <v>0</v>
      </c>
      <c r="T377" s="523">
        <v>0</v>
      </c>
    </row>
    <row r="378" spans="1:24">
      <c r="A378" s="168" t="s">
        <v>1159</v>
      </c>
      <c r="B378" s="455" t="s">
        <v>1549</v>
      </c>
      <c r="C378" s="455" t="s">
        <v>84</v>
      </c>
      <c r="D378" s="168" t="s">
        <v>1229</v>
      </c>
      <c r="E378" s="150">
        <v>75065.759999999995</v>
      </c>
      <c r="F378" s="456">
        <v>75800</v>
      </c>
      <c r="G378" s="168">
        <v>12510.96</v>
      </c>
      <c r="H378" s="168">
        <v>12511</v>
      </c>
      <c r="N378" s="168" t="s">
        <v>1159</v>
      </c>
      <c r="O378" s="455" t="s">
        <v>1549</v>
      </c>
      <c r="P378" s="455" t="s">
        <v>84</v>
      </c>
      <c r="Q378" s="455">
        <v>60000</v>
      </c>
      <c r="R378" s="455"/>
      <c r="S378" s="168">
        <v>0</v>
      </c>
      <c r="T378" s="523">
        <v>0</v>
      </c>
    </row>
    <row r="379" spans="1:24">
      <c r="A379" s="168" t="s">
        <v>1160</v>
      </c>
      <c r="B379" s="455" t="s">
        <v>1549</v>
      </c>
      <c r="C379" s="455" t="s">
        <v>590</v>
      </c>
      <c r="D379" s="168" t="s">
        <v>1229</v>
      </c>
      <c r="E379" s="150">
        <v>22868.15</v>
      </c>
      <c r="F379" s="456">
        <v>22900</v>
      </c>
      <c r="G379" s="168">
        <v>4994.3999999999996</v>
      </c>
      <c r="H379" s="168">
        <v>4994</v>
      </c>
      <c r="N379" s="168" t="s">
        <v>1160</v>
      </c>
      <c r="O379" s="455" t="s">
        <v>1549</v>
      </c>
      <c r="P379" s="455" t="s">
        <v>590</v>
      </c>
      <c r="Q379" s="455">
        <v>29684</v>
      </c>
      <c r="R379" s="455"/>
      <c r="S379" s="168">
        <v>0</v>
      </c>
      <c r="T379" s="523">
        <v>0</v>
      </c>
    </row>
    <row r="380" spans="1:24">
      <c r="A380" s="168" t="s">
        <v>1161</v>
      </c>
      <c r="B380" s="455" t="s">
        <v>1549</v>
      </c>
      <c r="C380" s="455" t="s">
        <v>590</v>
      </c>
      <c r="D380" s="168" t="s">
        <v>1229</v>
      </c>
      <c r="E380" s="150">
        <v>38823.96</v>
      </c>
      <c r="F380" s="456">
        <v>39000</v>
      </c>
      <c r="G380" s="168">
        <v>7007.72</v>
      </c>
      <c r="H380" s="168">
        <v>7008</v>
      </c>
      <c r="N380" s="168" t="s">
        <v>1161</v>
      </c>
      <c r="O380" s="455" t="s">
        <v>1549</v>
      </c>
      <c r="P380" s="455" t="s">
        <v>590</v>
      </c>
      <c r="Q380" s="455">
        <v>42697</v>
      </c>
      <c r="R380" s="455"/>
      <c r="S380" s="168">
        <v>0</v>
      </c>
      <c r="T380" s="523">
        <v>0</v>
      </c>
    </row>
    <row r="381" spans="1:24">
      <c r="A381" s="168" t="s">
        <v>1162</v>
      </c>
      <c r="B381" s="455" t="s">
        <v>1549</v>
      </c>
      <c r="C381" s="455" t="s">
        <v>590</v>
      </c>
      <c r="D381" s="168" t="s">
        <v>1229</v>
      </c>
      <c r="E381" s="150">
        <v>1472.88</v>
      </c>
      <c r="F381" s="456">
        <v>1500</v>
      </c>
      <c r="G381" s="168">
        <v>249.56</v>
      </c>
      <c r="H381" s="168">
        <v>250</v>
      </c>
      <c r="N381" s="168" t="s">
        <v>1162</v>
      </c>
      <c r="O381" s="455" t="s">
        <v>1549</v>
      </c>
      <c r="P381" s="455" t="s">
        <v>590</v>
      </c>
      <c r="Q381" s="455">
        <v>2850</v>
      </c>
      <c r="R381" s="455"/>
      <c r="S381" s="168">
        <v>0</v>
      </c>
      <c r="T381" s="523">
        <v>0</v>
      </c>
    </row>
    <row r="382" spans="1:24">
      <c r="A382" s="168" t="s">
        <v>1306</v>
      </c>
      <c r="B382" s="455" t="s">
        <v>1549</v>
      </c>
      <c r="C382" s="455" t="s">
        <v>575</v>
      </c>
      <c r="D382" s="168" t="s">
        <v>1229</v>
      </c>
      <c r="E382" s="150">
        <v>4464.72</v>
      </c>
      <c r="F382" s="456">
        <v>4500</v>
      </c>
      <c r="G382" s="168">
        <v>805.88</v>
      </c>
      <c r="H382" s="168">
        <v>806</v>
      </c>
      <c r="N382" s="168" t="s">
        <v>1306</v>
      </c>
      <c r="O382" s="455" t="s">
        <v>1549</v>
      </c>
      <c r="P382" s="455" t="s">
        <v>575</v>
      </c>
      <c r="Q382" s="455">
        <v>4360</v>
      </c>
      <c r="R382" s="455"/>
      <c r="S382" s="168">
        <v>0</v>
      </c>
      <c r="T382" s="523">
        <v>0</v>
      </c>
    </row>
    <row r="383" spans="1:24">
      <c r="A383" s="168" t="s">
        <v>1307</v>
      </c>
      <c r="B383" s="455" t="s">
        <v>1549</v>
      </c>
      <c r="C383" s="455" t="s">
        <v>1807</v>
      </c>
      <c r="D383" s="168" t="s">
        <v>1229</v>
      </c>
      <c r="E383" s="150">
        <v>38.4</v>
      </c>
      <c r="F383" s="456">
        <v>40</v>
      </c>
      <c r="G383" s="168">
        <v>6.9</v>
      </c>
      <c r="H383" s="168">
        <v>7</v>
      </c>
      <c r="N383" s="168" t="s">
        <v>1307</v>
      </c>
      <c r="O383" s="455" t="s">
        <v>1549</v>
      </c>
      <c r="P383" s="455" t="s">
        <v>1807</v>
      </c>
      <c r="Q383" s="455">
        <v>83</v>
      </c>
      <c r="R383" s="455"/>
      <c r="S383" s="168">
        <v>0</v>
      </c>
      <c r="T383" s="523">
        <v>0</v>
      </c>
    </row>
    <row r="384" spans="1:24">
      <c r="A384" s="168" t="s">
        <v>1308</v>
      </c>
      <c r="B384" s="455" t="s">
        <v>1551</v>
      </c>
      <c r="C384" s="455" t="s">
        <v>592</v>
      </c>
      <c r="D384" s="168" t="s">
        <v>1229</v>
      </c>
      <c r="E384" s="150">
        <v>0</v>
      </c>
      <c r="F384" s="456">
        <v>5519</v>
      </c>
      <c r="G384" s="168">
        <v>21042</v>
      </c>
      <c r="H384" s="168">
        <v>13658</v>
      </c>
      <c r="N384" s="168" t="s">
        <v>1308</v>
      </c>
      <c r="O384" s="455" t="s">
        <v>1551</v>
      </c>
      <c r="P384" s="455" t="s">
        <v>592</v>
      </c>
      <c r="Q384" s="455">
        <v>11612</v>
      </c>
      <c r="R384" s="455">
        <v>11612</v>
      </c>
      <c r="S384" s="168">
        <v>12560.94</v>
      </c>
      <c r="T384" s="523">
        <v>11612</v>
      </c>
    </row>
    <row r="385" spans="1:20">
      <c r="A385" s="168" t="s">
        <v>1309</v>
      </c>
      <c r="B385" s="455" t="s">
        <v>1552</v>
      </c>
      <c r="C385" s="455" t="s">
        <v>595</v>
      </c>
      <c r="D385" s="168" t="s">
        <v>1229</v>
      </c>
      <c r="E385" s="150">
        <v>0</v>
      </c>
      <c r="F385" s="456">
        <v>0</v>
      </c>
      <c r="G385" s="168">
        <v>0</v>
      </c>
      <c r="H385" s="168">
        <v>0</v>
      </c>
      <c r="N385" s="168" t="s">
        <v>1309</v>
      </c>
      <c r="O385" s="455" t="s">
        <v>1552</v>
      </c>
      <c r="P385" s="455" t="s">
        <v>595</v>
      </c>
      <c r="Q385" s="455">
        <v>4883</v>
      </c>
      <c r="R385" s="455">
        <v>4883</v>
      </c>
      <c r="S385" s="168">
        <v>0</v>
      </c>
      <c r="T385" s="523">
        <v>0</v>
      </c>
    </row>
    <row r="386" spans="1:20">
      <c r="A386" s="168" t="s">
        <v>1310</v>
      </c>
      <c r="B386" s="455" t="s">
        <v>1552</v>
      </c>
      <c r="C386" s="455" t="s">
        <v>545</v>
      </c>
      <c r="D386" s="168" t="s">
        <v>1229</v>
      </c>
      <c r="E386" s="150">
        <v>0</v>
      </c>
      <c r="F386" s="456">
        <v>0</v>
      </c>
      <c r="G386" s="168">
        <v>0</v>
      </c>
      <c r="H386" s="168">
        <v>0</v>
      </c>
      <c r="N386" s="168" t="s">
        <v>1310</v>
      </c>
      <c r="O386" s="455" t="s">
        <v>1552</v>
      </c>
      <c r="P386" s="455" t="s">
        <v>545</v>
      </c>
      <c r="Q386" s="455">
        <v>270</v>
      </c>
      <c r="R386" s="455">
        <v>270</v>
      </c>
      <c r="S386" s="168">
        <v>0</v>
      </c>
      <c r="T386" s="523">
        <v>0</v>
      </c>
    </row>
    <row r="387" spans="1:20">
      <c r="B387" s="455"/>
      <c r="E387" s="150"/>
      <c r="N387" s="168" t="s">
        <v>3727</v>
      </c>
      <c r="O387" s="455"/>
      <c r="P387" s="455"/>
      <c r="Q387" s="455">
        <v>2625</v>
      </c>
      <c r="R387" s="455">
        <v>2000</v>
      </c>
      <c r="T387" s="523"/>
    </row>
    <row r="388" spans="1:20">
      <c r="A388" s="168" t="s">
        <v>1311</v>
      </c>
      <c r="B388" s="455" t="s">
        <v>1553</v>
      </c>
      <c r="C388" s="455" t="s">
        <v>612</v>
      </c>
      <c r="D388" s="168" t="s">
        <v>1229</v>
      </c>
      <c r="E388" s="150">
        <v>0</v>
      </c>
      <c r="F388" s="456">
        <v>0</v>
      </c>
      <c r="G388" s="168">
        <v>1099.3</v>
      </c>
      <c r="H388" s="168">
        <v>1100</v>
      </c>
      <c r="N388" s="168" t="s">
        <v>1311</v>
      </c>
      <c r="O388" s="455" t="s">
        <v>1553</v>
      </c>
      <c r="P388" s="455" t="s">
        <v>612</v>
      </c>
      <c r="Q388" s="455">
        <v>3043</v>
      </c>
      <c r="R388" s="455"/>
      <c r="S388" s="168">
        <v>0</v>
      </c>
      <c r="T388" s="523">
        <v>0</v>
      </c>
    </row>
    <row r="389" spans="1:20">
      <c r="A389" s="168" t="s">
        <v>1312</v>
      </c>
      <c r="B389" s="455" t="s">
        <v>1553</v>
      </c>
      <c r="C389" s="455" t="s">
        <v>616</v>
      </c>
      <c r="D389" s="168" t="s">
        <v>1229</v>
      </c>
      <c r="E389" s="150">
        <v>0</v>
      </c>
      <c r="F389" s="456">
        <v>0</v>
      </c>
      <c r="G389" s="168">
        <v>0</v>
      </c>
      <c r="H389" s="168">
        <v>0</v>
      </c>
      <c r="N389" s="168" t="s">
        <v>1312</v>
      </c>
      <c r="O389" s="455" t="s">
        <v>1553</v>
      </c>
      <c r="P389" s="455" t="s">
        <v>616</v>
      </c>
      <c r="Q389" s="455">
        <v>32584</v>
      </c>
      <c r="R389" s="455">
        <v>7500</v>
      </c>
      <c r="S389" s="168">
        <v>0</v>
      </c>
      <c r="T389" s="523">
        <v>0</v>
      </c>
    </row>
    <row r="390" spans="1:20">
      <c r="A390" s="168" t="s">
        <v>1313</v>
      </c>
      <c r="B390" s="455" t="s">
        <v>1553</v>
      </c>
      <c r="C390" s="455" t="s">
        <v>1314</v>
      </c>
      <c r="D390" s="168" t="s">
        <v>1229</v>
      </c>
      <c r="E390" s="150">
        <v>6430</v>
      </c>
      <c r="F390" s="456">
        <v>6450</v>
      </c>
      <c r="G390" s="168">
        <v>33951.17</v>
      </c>
      <c r="H390" s="168">
        <v>33951</v>
      </c>
      <c r="N390" s="168" t="s">
        <v>1313</v>
      </c>
      <c r="O390" s="455" t="s">
        <v>1553</v>
      </c>
      <c r="P390" s="455" t="s">
        <v>1314</v>
      </c>
      <c r="Q390" s="455">
        <v>39060</v>
      </c>
      <c r="R390" s="455">
        <v>39060</v>
      </c>
      <c r="S390" s="168">
        <v>4640.01</v>
      </c>
      <c r="T390" s="523">
        <v>4641</v>
      </c>
    </row>
    <row r="391" spans="1:20">
      <c r="A391" s="168" t="s">
        <v>1315</v>
      </c>
      <c r="B391" s="455" t="s">
        <v>1553</v>
      </c>
      <c r="C391" s="455" t="s">
        <v>1316</v>
      </c>
      <c r="D391" s="168" t="s">
        <v>1229</v>
      </c>
      <c r="E391" s="150">
        <v>43.98</v>
      </c>
      <c r="F391" s="456">
        <v>60</v>
      </c>
      <c r="G391" s="168">
        <v>0</v>
      </c>
      <c r="H391" s="168">
        <v>0</v>
      </c>
      <c r="N391" s="168" t="s">
        <v>1315</v>
      </c>
      <c r="O391" s="455" t="s">
        <v>1553</v>
      </c>
      <c r="P391" s="455" t="s">
        <v>1316</v>
      </c>
      <c r="Q391" s="455">
        <v>4650</v>
      </c>
      <c r="R391" s="455">
        <v>2000</v>
      </c>
      <c r="S391" s="168">
        <v>0</v>
      </c>
      <c r="T391" s="523">
        <v>0</v>
      </c>
    </row>
    <row r="392" spans="1:20">
      <c r="A392" s="168" t="s">
        <v>1317</v>
      </c>
      <c r="B392" s="455" t="s">
        <v>1553</v>
      </c>
      <c r="C392" s="455" t="s">
        <v>1318</v>
      </c>
      <c r="D392" s="168" t="s">
        <v>1229</v>
      </c>
      <c r="E392" s="150">
        <v>0</v>
      </c>
      <c r="F392" s="456">
        <v>0</v>
      </c>
      <c r="G392" s="168">
        <v>0</v>
      </c>
      <c r="H392" s="168">
        <v>0</v>
      </c>
      <c r="N392" s="168" t="s">
        <v>1317</v>
      </c>
      <c r="O392" s="455" t="s">
        <v>1553</v>
      </c>
      <c r="P392" s="455" t="s">
        <v>1318</v>
      </c>
      <c r="Q392" s="455">
        <v>383</v>
      </c>
      <c r="R392" s="455">
        <v>211</v>
      </c>
      <c r="S392" s="168">
        <v>0</v>
      </c>
      <c r="T392" s="523">
        <v>0</v>
      </c>
    </row>
    <row r="393" spans="1:20">
      <c r="A393" s="168" t="s">
        <v>1319</v>
      </c>
      <c r="B393" s="455" t="s">
        <v>1553</v>
      </c>
      <c r="C393" s="455" t="s">
        <v>1320</v>
      </c>
      <c r="D393" s="168" t="s">
        <v>1229</v>
      </c>
      <c r="E393" s="150">
        <v>8026.36</v>
      </c>
      <c r="F393" s="456">
        <v>8100</v>
      </c>
      <c r="G393" s="168">
        <v>2950</v>
      </c>
      <c r="H393" s="168">
        <v>2950</v>
      </c>
      <c r="N393" s="168" t="s">
        <v>1319</v>
      </c>
      <c r="O393" s="455" t="s">
        <v>1553</v>
      </c>
      <c r="P393" s="455" t="s">
        <v>1320</v>
      </c>
      <c r="Q393" s="455">
        <v>4724</v>
      </c>
      <c r="R393" s="455">
        <v>2604</v>
      </c>
      <c r="S393" s="168">
        <v>0</v>
      </c>
      <c r="T393" s="523">
        <v>0</v>
      </c>
    </row>
    <row r="394" spans="1:20">
      <c r="A394" s="168" t="s">
        <v>1322</v>
      </c>
      <c r="B394" s="455" t="s">
        <v>1553</v>
      </c>
      <c r="C394" s="455" t="s">
        <v>1323</v>
      </c>
      <c r="D394" s="168" t="s">
        <v>1229</v>
      </c>
      <c r="E394" s="150">
        <v>0</v>
      </c>
      <c r="F394" s="456">
        <v>0</v>
      </c>
      <c r="G394" s="168">
        <v>0</v>
      </c>
      <c r="H394" s="168">
        <v>0</v>
      </c>
      <c r="N394" s="168" t="s">
        <v>1322</v>
      </c>
      <c r="O394" s="455" t="s">
        <v>1553</v>
      </c>
      <c r="P394" s="455" t="s">
        <v>1323</v>
      </c>
      <c r="Q394" s="455">
        <v>4883</v>
      </c>
      <c r="R394" s="455"/>
      <c r="S394" s="168">
        <v>0</v>
      </c>
      <c r="T394" s="523">
        <v>0</v>
      </c>
    </row>
    <row r="395" spans="1:20">
      <c r="A395" s="168" t="s">
        <v>1324</v>
      </c>
      <c r="B395" s="455" t="s">
        <v>1553</v>
      </c>
      <c r="C395" s="455" t="s">
        <v>1325</v>
      </c>
      <c r="D395" s="168" t="s">
        <v>1229</v>
      </c>
      <c r="E395" s="150">
        <v>0</v>
      </c>
      <c r="F395" s="456">
        <v>0</v>
      </c>
      <c r="G395" s="168">
        <v>0</v>
      </c>
      <c r="H395" s="168">
        <v>0</v>
      </c>
      <c r="N395" s="168" t="s">
        <v>1324</v>
      </c>
      <c r="O395" s="455" t="s">
        <v>1553</v>
      </c>
      <c r="P395" s="455" t="s">
        <v>1325</v>
      </c>
      <c r="Q395" s="455">
        <v>7116</v>
      </c>
      <c r="R395" s="455"/>
      <c r="S395" s="168">
        <v>0</v>
      </c>
      <c r="T395" s="523">
        <v>0</v>
      </c>
    </row>
    <row r="396" spans="1:20">
      <c r="A396" s="168" t="s">
        <v>1326</v>
      </c>
      <c r="B396" s="455" t="s">
        <v>1553</v>
      </c>
      <c r="C396" s="455" t="s">
        <v>2322</v>
      </c>
      <c r="D396" s="168" t="s">
        <v>1229</v>
      </c>
      <c r="E396" s="150">
        <v>39615.4</v>
      </c>
      <c r="F396" s="456">
        <v>39650</v>
      </c>
      <c r="G396" s="168">
        <v>0</v>
      </c>
      <c r="H396" s="168">
        <v>0</v>
      </c>
      <c r="N396" s="168" t="s">
        <v>1326</v>
      </c>
      <c r="O396" s="455" t="s">
        <v>1553</v>
      </c>
      <c r="P396" s="455" t="s">
        <v>2322</v>
      </c>
      <c r="Q396" s="455">
        <v>43577</v>
      </c>
      <c r="R396" s="455">
        <v>43577</v>
      </c>
      <c r="S396" s="168">
        <v>0</v>
      </c>
      <c r="T396" s="523">
        <v>0</v>
      </c>
    </row>
    <row r="397" spans="1:20">
      <c r="A397" s="168" t="s">
        <v>1327</v>
      </c>
      <c r="B397" s="455" t="s">
        <v>1553</v>
      </c>
      <c r="C397" s="455" t="s">
        <v>631</v>
      </c>
      <c r="D397" s="168" t="s">
        <v>1229</v>
      </c>
      <c r="E397" s="150">
        <v>0</v>
      </c>
      <c r="F397" s="456">
        <v>0</v>
      </c>
      <c r="G397" s="168">
        <v>0</v>
      </c>
      <c r="H397" s="168">
        <v>0</v>
      </c>
      <c r="N397" s="168" t="s">
        <v>1327</v>
      </c>
      <c r="O397" s="455" t="s">
        <v>1553</v>
      </c>
      <c r="P397" s="455" t="s">
        <v>631</v>
      </c>
      <c r="Q397" s="455">
        <v>721</v>
      </c>
      <c r="R397" s="455">
        <v>721</v>
      </c>
      <c r="S397" s="168">
        <v>0</v>
      </c>
      <c r="T397" s="523">
        <v>0</v>
      </c>
    </row>
    <row r="398" spans="1:20">
      <c r="A398" s="168" t="s">
        <v>1328</v>
      </c>
      <c r="B398" s="455" t="s">
        <v>1553</v>
      </c>
      <c r="C398" s="455" t="s">
        <v>633</v>
      </c>
      <c r="D398" s="168" t="s">
        <v>1229</v>
      </c>
      <c r="E398" s="150">
        <v>4168.29</v>
      </c>
      <c r="F398" s="456">
        <v>4200</v>
      </c>
      <c r="G398" s="168">
        <v>1476.3</v>
      </c>
      <c r="H398" s="168">
        <v>1476</v>
      </c>
      <c r="N398" s="168" t="s">
        <v>1328</v>
      </c>
      <c r="O398" s="455" t="s">
        <v>1553</v>
      </c>
      <c r="P398" s="455" t="s">
        <v>633</v>
      </c>
      <c r="Q398" s="455">
        <v>5039</v>
      </c>
      <c r="R398" s="455">
        <v>1500</v>
      </c>
      <c r="S398" s="168">
        <v>0</v>
      </c>
      <c r="T398" s="523">
        <v>0</v>
      </c>
    </row>
    <row r="399" spans="1:20">
      <c r="A399" s="168" t="s">
        <v>1329</v>
      </c>
      <c r="B399" s="455" t="s">
        <v>1553</v>
      </c>
      <c r="C399" s="455" t="s">
        <v>253</v>
      </c>
      <c r="D399" s="168" t="s">
        <v>1229</v>
      </c>
      <c r="E399" s="150">
        <v>295.8</v>
      </c>
      <c r="F399" s="456">
        <v>400</v>
      </c>
      <c r="G399" s="168">
        <v>0</v>
      </c>
      <c r="H399" s="168">
        <v>0</v>
      </c>
      <c r="N399" s="168" t="s">
        <v>1329</v>
      </c>
      <c r="O399" s="455" t="s">
        <v>1553</v>
      </c>
      <c r="P399" s="455" t="s">
        <v>253</v>
      </c>
      <c r="Q399" s="455">
        <v>977</v>
      </c>
      <c r="R399" s="455"/>
      <c r="S399" s="168">
        <v>0</v>
      </c>
      <c r="T399" s="523">
        <v>0</v>
      </c>
    </row>
    <row r="400" spans="1:20">
      <c r="A400" s="168" t="s">
        <v>1330</v>
      </c>
      <c r="B400" s="455" t="s">
        <v>1553</v>
      </c>
      <c r="C400" s="455" t="s">
        <v>50</v>
      </c>
      <c r="D400" s="168" t="s">
        <v>1229</v>
      </c>
      <c r="E400" s="150">
        <v>30840.7</v>
      </c>
      <c r="F400" s="456">
        <v>30900</v>
      </c>
      <c r="G400" s="168">
        <v>4596.6899999999996</v>
      </c>
      <c r="H400" s="168">
        <v>4597</v>
      </c>
      <c r="N400" s="168" t="s">
        <v>1330</v>
      </c>
      <c r="O400" s="455" t="s">
        <v>1553</v>
      </c>
      <c r="P400" s="455" t="s">
        <v>50</v>
      </c>
      <c r="Q400" s="455">
        <v>30841</v>
      </c>
      <c r="R400" s="455"/>
      <c r="S400" s="168">
        <v>0</v>
      </c>
      <c r="T400" s="523">
        <v>0</v>
      </c>
    </row>
    <row r="401" spans="1:22">
      <c r="A401" s="168" t="s">
        <v>1331</v>
      </c>
      <c r="B401" s="455" t="s">
        <v>1553</v>
      </c>
      <c r="C401" s="455" t="s">
        <v>52</v>
      </c>
      <c r="D401" s="168" t="s">
        <v>1229</v>
      </c>
      <c r="E401" s="150">
        <v>0</v>
      </c>
      <c r="F401" s="456">
        <v>1300</v>
      </c>
      <c r="G401" s="168">
        <v>0</v>
      </c>
      <c r="H401" s="168">
        <v>0</v>
      </c>
      <c r="N401" s="168" t="s">
        <v>1331</v>
      </c>
      <c r="O401" s="455" t="s">
        <v>1553</v>
      </c>
      <c r="P401" s="455" t="s">
        <v>52</v>
      </c>
      <c r="Q401" s="455">
        <v>3465</v>
      </c>
      <c r="R401" s="455">
        <v>800</v>
      </c>
      <c r="S401" s="168">
        <v>0</v>
      </c>
      <c r="T401" s="523">
        <v>0</v>
      </c>
    </row>
    <row r="402" spans="1:22">
      <c r="A402" s="168" t="s">
        <v>1332</v>
      </c>
      <c r="B402" s="455" t="s">
        <v>1553</v>
      </c>
      <c r="C402" s="455" t="s">
        <v>52</v>
      </c>
      <c r="D402" s="168" t="s">
        <v>1229</v>
      </c>
      <c r="E402" s="150">
        <v>9628.0499999999993</v>
      </c>
      <c r="F402" s="456">
        <v>9924</v>
      </c>
      <c r="G402" s="168">
        <v>1727.93</v>
      </c>
      <c r="H402" s="168">
        <v>1727</v>
      </c>
      <c r="N402" s="168" t="s">
        <v>1332</v>
      </c>
      <c r="O402" s="455" t="s">
        <v>1553</v>
      </c>
      <c r="P402" s="455" t="s">
        <v>52</v>
      </c>
      <c r="Q402" s="455">
        <v>7861</v>
      </c>
      <c r="R402" s="455"/>
      <c r="S402" s="168">
        <v>0</v>
      </c>
      <c r="T402" s="523">
        <v>0</v>
      </c>
    </row>
    <row r="403" spans="1:22">
      <c r="A403" s="168" t="s">
        <v>1333</v>
      </c>
      <c r="B403" s="455" t="s">
        <v>1553</v>
      </c>
      <c r="C403" s="455" t="s">
        <v>60</v>
      </c>
      <c r="D403" s="168" t="s">
        <v>1229</v>
      </c>
      <c r="E403" s="150">
        <v>0</v>
      </c>
      <c r="F403" s="456">
        <v>0</v>
      </c>
      <c r="G403" s="168">
        <v>0</v>
      </c>
      <c r="H403" s="168">
        <v>0</v>
      </c>
      <c r="N403" s="168" t="s">
        <v>1333</v>
      </c>
      <c r="O403" s="455" t="s">
        <v>1553</v>
      </c>
      <c r="P403" s="455" t="s">
        <v>60</v>
      </c>
      <c r="Q403" s="455"/>
      <c r="R403" s="455"/>
      <c r="S403" s="168">
        <v>0</v>
      </c>
      <c r="T403" s="523">
        <v>0</v>
      </c>
    </row>
    <row r="404" spans="1:22">
      <c r="A404" s="168" t="s">
        <v>1334</v>
      </c>
      <c r="B404" s="455" t="s">
        <v>1553</v>
      </c>
      <c r="C404" s="455" t="s">
        <v>1335</v>
      </c>
      <c r="D404" s="168" t="s">
        <v>1229</v>
      </c>
      <c r="E404" s="150">
        <v>1255.3</v>
      </c>
      <c r="F404" s="456">
        <v>1300</v>
      </c>
      <c r="G404" s="168">
        <v>0</v>
      </c>
      <c r="H404" s="168">
        <v>0</v>
      </c>
      <c r="N404" s="168" t="s">
        <v>1334</v>
      </c>
      <c r="O404" s="455" t="s">
        <v>1553</v>
      </c>
      <c r="P404" s="455" t="s">
        <v>1335</v>
      </c>
      <c r="Q404" s="455">
        <v>739</v>
      </c>
      <c r="R404" s="455">
        <v>407</v>
      </c>
      <c r="S404" s="168">
        <v>0</v>
      </c>
      <c r="T404" s="523">
        <v>0</v>
      </c>
    </row>
    <row r="405" spans="1:22">
      <c r="A405" s="168" t="s">
        <v>1336</v>
      </c>
      <c r="B405" s="455" t="s">
        <v>1553</v>
      </c>
      <c r="C405" s="455" t="s">
        <v>1337</v>
      </c>
      <c r="D405" s="168" t="s">
        <v>1229</v>
      </c>
      <c r="E405" s="150">
        <v>3226</v>
      </c>
      <c r="F405" s="456">
        <v>3300</v>
      </c>
      <c r="G405" s="168">
        <v>0</v>
      </c>
      <c r="H405" s="168">
        <v>0</v>
      </c>
      <c r="N405" s="168" t="s">
        <v>1336</v>
      </c>
      <c r="O405" s="455" t="s">
        <v>1553</v>
      </c>
      <c r="P405" s="455" t="s">
        <v>1337</v>
      </c>
      <c r="Q405" s="455">
        <v>9300</v>
      </c>
      <c r="R405" s="455"/>
      <c r="S405" s="168">
        <v>750</v>
      </c>
      <c r="T405" s="523">
        <v>750</v>
      </c>
    </row>
    <row r="406" spans="1:22">
      <c r="A406" s="168" t="s">
        <v>1338</v>
      </c>
      <c r="B406" s="455" t="s">
        <v>1553</v>
      </c>
      <c r="C406" s="455" t="s">
        <v>1339</v>
      </c>
      <c r="D406" s="168" t="s">
        <v>1229</v>
      </c>
      <c r="E406" s="150">
        <v>0</v>
      </c>
      <c r="F406" s="456">
        <v>0</v>
      </c>
      <c r="G406" s="168">
        <v>0</v>
      </c>
      <c r="H406" s="168">
        <v>0</v>
      </c>
      <c r="N406" s="168" t="s">
        <v>1338</v>
      </c>
      <c r="O406" s="455" t="s">
        <v>1553</v>
      </c>
      <c r="P406" s="455" t="s">
        <v>1339</v>
      </c>
      <c r="Q406" s="455">
        <v>4883</v>
      </c>
      <c r="R406" s="455"/>
      <c r="S406" s="168">
        <v>0</v>
      </c>
      <c r="T406" s="523">
        <v>0</v>
      </c>
    </row>
    <row r="407" spans="1:22" ht="15.75" thickBot="1">
      <c r="A407" s="168" t="s">
        <v>1340</v>
      </c>
      <c r="B407" s="455" t="s">
        <v>1553</v>
      </c>
      <c r="C407" s="455" t="s">
        <v>62</v>
      </c>
      <c r="D407" s="168" t="s">
        <v>1229</v>
      </c>
      <c r="E407" s="150">
        <v>0</v>
      </c>
      <c r="F407" s="456">
        <v>0</v>
      </c>
      <c r="G407" s="168">
        <v>0</v>
      </c>
      <c r="H407" s="168">
        <v>0</v>
      </c>
      <c r="N407" s="168" t="s">
        <v>1340</v>
      </c>
      <c r="O407" s="455" t="s">
        <v>1553</v>
      </c>
      <c r="P407" s="455" t="s">
        <v>62</v>
      </c>
      <c r="Q407" s="455">
        <v>14648</v>
      </c>
      <c r="R407" s="455">
        <v>4000</v>
      </c>
      <c r="S407" s="168">
        <v>3325</v>
      </c>
      <c r="T407" s="523">
        <v>3325</v>
      </c>
    </row>
    <row r="408" spans="1:22" ht="16.5" thickTop="1" thickBot="1">
      <c r="A408" s="554" t="s">
        <v>2668</v>
      </c>
      <c r="B408" s="555"/>
      <c r="C408" s="555"/>
      <c r="D408" s="556"/>
      <c r="E408" s="560">
        <f>SUM(E373:E407)</f>
        <v>468963.62</v>
      </c>
      <c r="F408" s="560">
        <f>SUM(F373:F407)</f>
        <v>478253</v>
      </c>
      <c r="G408" s="560">
        <f>SUM(G373:G407)</f>
        <v>145530.77999999997</v>
      </c>
      <c r="H408" s="560">
        <f>SUM(H373:H407)</f>
        <v>138147</v>
      </c>
      <c r="N408" s="554" t="s">
        <v>2668</v>
      </c>
      <c r="O408" s="555"/>
      <c r="P408" s="555"/>
      <c r="Q408" s="555">
        <f>SUM(Q373:Q407)</f>
        <v>551976</v>
      </c>
      <c r="R408" s="555">
        <f>SUM(R373:R407)</f>
        <v>121145</v>
      </c>
      <c r="S408" s="560">
        <f>SUM(S373:S407)</f>
        <v>21275.95</v>
      </c>
      <c r="T408" s="558">
        <f>SUM(T373:T407)</f>
        <v>20328</v>
      </c>
      <c r="U408" s="603">
        <f>SUM(S408)</f>
        <v>21275.95</v>
      </c>
      <c r="V408" s="603">
        <f>SUM(T408)</f>
        <v>20328</v>
      </c>
    </row>
    <row r="409" spans="1:22" ht="15.75" thickTop="1">
      <c r="B409" s="455"/>
      <c r="E409" s="150"/>
      <c r="O409" s="455"/>
      <c r="P409" s="455"/>
      <c r="Q409" s="455"/>
      <c r="R409" s="455"/>
      <c r="T409" s="523"/>
    </row>
    <row r="410" spans="1:22" ht="15.75" thickBot="1">
      <c r="A410" s="168" t="s">
        <v>1342</v>
      </c>
      <c r="B410" s="455" t="s">
        <v>1179</v>
      </c>
      <c r="C410" s="455" t="s">
        <v>1147</v>
      </c>
      <c r="D410" s="168" t="s">
        <v>1569</v>
      </c>
      <c r="E410" s="150">
        <v>-32312.2</v>
      </c>
      <c r="F410" s="456">
        <v>-30324</v>
      </c>
      <c r="G410" s="168">
        <v>0</v>
      </c>
      <c r="H410" s="168">
        <v>-16951</v>
      </c>
      <c r="I410" s="168">
        <v>16951</v>
      </c>
      <c r="N410" s="168" t="s">
        <v>1342</v>
      </c>
      <c r="O410" s="455" t="s">
        <v>1179</v>
      </c>
      <c r="P410" s="455" t="s">
        <v>1147</v>
      </c>
      <c r="Q410" s="455">
        <v>-23715</v>
      </c>
      <c r="R410" s="455">
        <v>-17786</v>
      </c>
      <c r="S410" s="168">
        <v>0</v>
      </c>
      <c r="T410" s="523">
        <v>-17786</v>
      </c>
    </row>
    <row r="411" spans="1:22" ht="16.5" thickTop="1" thickBot="1">
      <c r="A411" s="554" t="s">
        <v>2668</v>
      </c>
      <c r="B411" s="555"/>
      <c r="C411" s="555"/>
      <c r="D411" s="556"/>
      <c r="E411" s="560">
        <f>SUM(E410:E410)</f>
        <v>-32312.2</v>
      </c>
      <c r="F411" s="560">
        <f>SUM(F410:F410)</f>
        <v>-30324</v>
      </c>
      <c r="G411" s="560">
        <f>SUM(G410:G410)</f>
        <v>0</v>
      </c>
      <c r="H411" s="560">
        <f>SUM(H410:H410)</f>
        <v>-16951</v>
      </c>
      <c r="N411" s="554" t="s">
        <v>2668</v>
      </c>
      <c r="O411" s="555"/>
      <c r="P411" s="555"/>
      <c r="Q411" s="555">
        <f>SUM(Q410)</f>
        <v>-23715</v>
      </c>
      <c r="R411" s="555">
        <f>SUM(R410)</f>
        <v>-17786</v>
      </c>
      <c r="S411" s="560">
        <f>SUM(S410:S410)</f>
        <v>0</v>
      </c>
      <c r="T411" s="558">
        <f>SUM(T410:T410)</f>
        <v>-17786</v>
      </c>
      <c r="V411" s="168">
        <f>SUM(T411)</f>
        <v>-17786</v>
      </c>
    </row>
    <row r="412" spans="1:22" ht="15.75" thickTop="1">
      <c r="B412" s="455"/>
      <c r="E412" s="150"/>
      <c r="O412" s="455"/>
      <c r="P412" s="455"/>
      <c r="Q412" s="455"/>
      <c r="R412" s="455"/>
      <c r="T412" s="523"/>
    </row>
    <row r="413" spans="1:22">
      <c r="A413" s="168" t="s">
        <v>1343</v>
      </c>
      <c r="B413" s="455" t="s">
        <v>1549</v>
      </c>
      <c r="C413" s="455" t="s">
        <v>75</v>
      </c>
      <c r="D413" s="168" t="s">
        <v>1569</v>
      </c>
      <c r="E413" s="150">
        <v>1205204.58</v>
      </c>
      <c r="F413" s="456">
        <v>1243100</v>
      </c>
      <c r="G413" s="168">
        <v>1479666.04</v>
      </c>
      <c r="H413" s="168">
        <v>1479666</v>
      </c>
      <c r="N413" s="168" t="s">
        <v>1343</v>
      </c>
      <c r="O413" s="455" t="s">
        <v>1549</v>
      </c>
      <c r="P413" s="455" t="s">
        <v>75</v>
      </c>
      <c r="Q413" s="455">
        <v>1614175</v>
      </c>
      <c r="R413" s="455">
        <v>1614175</v>
      </c>
      <c r="S413" s="168">
        <v>1544001.96</v>
      </c>
      <c r="T413" s="523">
        <v>1544002</v>
      </c>
    </row>
    <row r="414" spans="1:22">
      <c r="A414" s="168" t="s">
        <v>1344</v>
      </c>
      <c r="B414" s="455" t="s">
        <v>1549</v>
      </c>
      <c r="C414" s="455" t="s">
        <v>77</v>
      </c>
      <c r="D414" s="168" t="s">
        <v>1569</v>
      </c>
      <c r="E414" s="150">
        <v>161632.22</v>
      </c>
      <c r="F414" s="456">
        <v>161700</v>
      </c>
      <c r="G414" s="168">
        <v>516692.56</v>
      </c>
      <c r="H414" s="168">
        <v>516692</v>
      </c>
      <c r="N414" s="168" t="s">
        <v>1344</v>
      </c>
      <c r="O414" s="455" t="s">
        <v>1549</v>
      </c>
      <c r="P414" s="455" t="s">
        <v>77</v>
      </c>
      <c r="Q414" s="455">
        <v>310000</v>
      </c>
      <c r="R414" s="455">
        <v>310000</v>
      </c>
      <c r="S414" s="168">
        <v>360589.21</v>
      </c>
      <c r="T414" s="523">
        <v>360589</v>
      </c>
    </row>
    <row r="415" spans="1:22">
      <c r="A415" s="168" t="s">
        <v>1345</v>
      </c>
      <c r="B415" s="455" t="s">
        <v>1549</v>
      </c>
      <c r="C415" s="455" t="s">
        <v>60</v>
      </c>
      <c r="D415" s="168" t="s">
        <v>1569</v>
      </c>
      <c r="E415" s="150">
        <v>90946.44</v>
      </c>
      <c r="F415" s="456">
        <v>105156</v>
      </c>
      <c r="G415" s="168">
        <v>125141.05</v>
      </c>
      <c r="H415" s="168">
        <v>125142</v>
      </c>
      <c r="N415" s="168" t="s">
        <v>1345</v>
      </c>
      <c r="O415" s="455" t="s">
        <v>1549</v>
      </c>
      <c r="P415" s="455" t="s">
        <v>60</v>
      </c>
      <c r="Q415" s="455">
        <v>134516</v>
      </c>
      <c r="R415" s="455">
        <v>134516</v>
      </c>
      <c r="S415" s="168">
        <v>132661.6</v>
      </c>
      <c r="T415" s="523">
        <v>132662</v>
      </c>
    </row>
    <row r="416" spans="1:22">
      <c r="A416" s="168" t="s">
        <v>1346</v>
      </c>
      <c r="B416" s="455" t="s">
        <v>1549</v>
      </c>
      <c r="C416" s="455" t="s">
        <v>515</v>
      </c>
      <c r="D416" s="168" t="s">
        <v>1569</v>
      </c>
      <c r="E416" s="150">
        <v>0</v>
      </c>
      <c r="F416" s="456">
        <v>0</v>
      </c>
      <c r="G416" s="168">
        <v>0</v>
      </c>
      <c r="H416" s="168">
        <v>0</v>
      </c>
      <c r="N416" s="168" t="s">
        <v>1346</v>
      </c>
      <c r="O416" s="455" t="s">
        <v>1549</v>
      </c>
      <c r="P416" s="455" t="s">
        <v>515</v>
      </c>
      <c r="Q416" s="455"/>
      <c r="R416" s="455"/>
      <c r="S416" s="168">
        <v>13621.57</v>
      </c>
      <c r="T416" s="523">
        <v>13621</v>
      </c>
    </row>
    <row r="417" spans="1:20">
      <c r="A417" s="168" t="s">
        <v>1347</v>
      </c>
      <c r="B417" s="455" t="s">
        <v>1549</v>
      </c>
      <c r="C417" s="455" t="s">
        <v>660</v>
      </c>
      <c r="D417" s="168" t="s">
        <v>1569</v>
      </c>
      <c r="E417" s="150">
        <v>0</v>
      </c>
      <c r="F417" s="456">
        <v>0</v>
      </c>
      <c r="G417" s="168">
        <v>0</v>
      </c>
      <c r="H417" s="168">
        <v>0</v>
      </c>
      <c r="N417" s="168" t="s">
        <v>1347</v>
      </c>
      <c r="O417" s="455" t="s">
        <v>1549</v>
      </c>
      <c r="P417" s="455" t="s">
        <v>660</v>
      </c>
      <c r="Q417" s="455"/>
      <c r="R417" s="455"/>
      <c r="S417" s="168">
        <v>0</v>
      </c>
      <c r="T417" s="523">
        <v>0</v>
      </c>
    </row>
    <row r="418" spans="1:20">
      <c r="A418" s="168" t="s">
        <v>1348</v>
      </c>
      <c r="B418" s="455" t="s">
        <v>1549</v>
      </c>
      <c r="C418" s="455" t="s">
        <v>767</v>
      </c>
      <c r="D418" s="168" t="s">
        <v>1569</v>
      </c>
      <c r="E418" s="150">
        <v>0</v>
      </c>
      <c r="F418" s="456">
        <v>0</v>
      </c>
      <c r="G418" s="168">
        <v>0</v>
      </c>
      <c r="H418" s="168">
        <v>0</v>
      </c>
      <c r="N418" s="168" t="s">
        <v>1348</v>
      </c>
      <c r="O418" s="455" t="s">
        <v>1549</v>
      </c>
      <c r="P418" s="455" t="s">
        <v>767</v>
      </c>
      <c r="Q418" s="455">
        <v>22140</v>
      </c>
      <c r="R418" s="455">
        <v>22140</v>
      </c>
      <c r="S418" s="168">
        <v>0</v>
      </c>
      <c r="T418" s="523">
        <v>0</v>
      </c>
    </row>
    <row r="419" spans="1:20">
      <c r="B419" s="455"/>
      <c r="E419" s="150"/>
      <c r="N419" s="168" t="s">
        <v>3470</v>
      </c>
      <c r="O419" s="455"/>
      <c r="P419" s="455"/>
      <c r="Q419" s="455"/>
      <c r="R419" s="455"/>
      <c r="S419" s="168">
        <v>1260.8</v>
      </c>
      <c r="T419" s="523">
        <v>1260</v>
      </c>
    </row>
    <row r="420" spans="1:20">
      <c r="A420" s="168" t="s">
        <v>1349</v>
      </c>
      <c r="B420" s="455" t="s">
        <v>1549</v>
      </c>
      <c r="C420" s="455" t="s">
        <v>575</v>
      </c>
      <c r="D420" s="168" t="s">
        <v>1569</v>
      </c>
      <c r="E420" s="150">
        <v>0</v>
      </c>
      <c r="F420" s="456">
        <v>0</v>
      </c>
      <c r="G420" s="168">
        <v>0</v>
      </c>
      <c r="H420" s="168">
        <v>0</v>
      </c>
      <c r="N420" s="168" t="s">
        <v>1349</v>
      </c>
      <c r="O420" s="455" t="s">
        <v>1549</v>
      </c>
      <c r="P420" s="455" t="s">
        <v>575</v>
      </c>
      <c r="Q420" s="455">
        <v>124211</v>
      </c>
      <c r="R420" s="455">
        <v>124211</v>
      </c>
      <c r="S420" s="168">
        <v>0</v>
      </c>
      <c r="T420" s="523">
        <v>0</v>
      </c>
    </row>
    <row r="421" spans="1:20">
      <c r="A421" s="168" t="s">
        <v>1350</v>
      </c>
      <c r="B421" s="455" t="s">
        <v>1549</v>
      </c>
      <c r="C421" s="455" t="s">
        <v>590</v>
      </c>
      <c r="D421" s="168" t="s">
        <v>1569</v>
      </c>
      <c r="E421" s="150">
        <v>263461.74</v>
      </c>
      <c r="F421" s="456">
        <v>263500</v>
      </c>
      <c r="G421" s="168">
        <v>317698.2</v>
      </c>
      <c r="H421" s="168">
        <v>317698</v>
      </c>
      <c r="N421" s="168" t="s">
        <v>1350</v>
      </c>
      <c r="O421" s="455" t="s">
        <v>1549</v>
      </c>
      <c r="P421" s="455" t="s">
        <v>590</v>
      </c>
      <c r="Q421" s="455">
        <v>355122</v>
      </c>
      <c r="R421" s="455">
        <v>355122</v>
      </c>
      <c r="S421" s="168">
        <v>339329.58</v>
      </c>
      <c r="T421" s="523">
        <v>339330</v>
      </c>
    </row>
    <row r="422" spans="1:20">
      <c r="A422" s="168" t="s">
        <v>1351</v>
      </c>
      <c r="B422" s="455" t="s">
        <v>1549</v>
      </c>
      <c r="C422" s="455" t="s">
        <v>590</v>
      </c>
      <c r="D422" s="168" t="s">
        <v>1569</v>
      </c>
      <c r="E422" s="150">
        <v>14673.55</v>
      </c>
      <c r="F422" s="456">
        <v>15000</v>
      </c>
      <c r="G422" s="168">
        <v>20239.91</v>
      </c>
      <c r="H422" s="168">
        <v>20232</v>
      </c>
      <c r="N422" s="168" t="s">
        <v>1351</v>
      </c>
      <c r="O422" s="455" t="s">
        <v>1549</v>
      </c>
      <c r="P422" s="455" t="s">
        <v>590</v>
      </c>
      <c r="Q422" s="455">
        <v>16142</v>
      </c>
      <c r="R422" s="455">
        <v>16142</v>
      </c>
      <c r="S422" s="168">
        <v>20180.32</v>
      </c>
      <c r="T422" s="523">
        <v>20180</v>
      </c>
    </row>
    <row r="423" spans="1:20">
      <c r="A423" s="168" t="s">
        <v>1352</v>
      </c>
      <c r="B423" s="455" t="s">
        <v>1549</v>
      </c>
      <c r="C423" s="455" t="s">
        <v>575</v>
      </c>
      <c r="D423" s="168" t="s">
        <v>1569</v>
      </c>
      <c r="E423" s="150">
        <v>4534.01</v>
      </c>
      <c r="F423" s="456">
        <v>5000</v>
      </c>
      <c r="G423" s="168">
        <v>6591.24</v>
      </c>
      <c r="H423" s="168">
        <v>6591</v>
      </c>
      <c r="N423" s="168" t="s">
        <v>1352</v>
      </c>
      <c r="O423" s="455" t="s">
        <v>1549</v>
      </c>
      <c r="P423" s="455" t="s">
        <v>575</v>
      </c>
      <c r="Q423" s="455">
        <v>24697</v>
      </c>
      <c r="R423" s="455">
        <v>24697</v>
      </c>
      <c r="S423" s="168">
        <v>7212.02</v>
      </c>
      <c r="T423" s="523">
        <v>7213</v>
      </c>
    </row>
    <row r="424" spans="1:20">
      <c r="A424" s="168" t="s">
        <v>1353</v>
      </c>
      <c r="B424" s="455" t="s">
        <v>1549</v>
      </c>
      <c r="C424" s="455" t="s">
        <v>1807</v>
      </c>
      <c r="D424" s="168" t="s">
        <v>1569</v>
      </c>
      <c r="E424" s="150">
        <v>1129.5999999999999</v>
      </c>
      <c r="F424" s="456">
        <v>1150</v>
      </c>
      <c r="G424" s="168">
        <v>1366.2</v>
      </c>
      <c r="H424" s="168">
        <v>1366</v>
      </c>
      <c r="N424" s="168" t="s">
        <v>1353</v>
      </c>
      <c r="O424" s="455" t="s">
        <v>1549</v>
      </c>
      <c r="P424" s="455" t="s">
        <v>1807</v>
      </c>
      <c r="Q424" s="455">
        <v>1366</v>
      </c>
      <c r="R424" s="455">
        <v>1366</v>
      </c>
      <c r="S424" s="168">
        <v>1421.25</v>
      </c>
      <c r="T424" s="523">
        <v>1421</v>
      </c>
    </row>
    <row r="425" spans="1:20">
      <c r="A425" s="168" t="s">
        <v>1354</v>
      </c>
      <c r="B425" s="455" t="s">
        <v>1551</v>
      </c>
      <c r="C425" s="455" t="s">
        <v>592</v>
      </c>
      <c r="D425" s="168" t="s">
        <v>1569</v>
      </c>
      <c r="E425" s="150">
        <v>0</v>
      </c>
      <c r="F425" s="456">
        <v>2934</v>
      </c>
      <c r="G425" s="168">
        <v>73150</v>
      </c>
      <c r="H425" s="168">
        <v>0</v>
      </c>
      <c r="N425" s="168" t="s">
        <v>1354</v>
      </c>
      <c r="O425" s="455" t="s">
        <v>1551</v>
      </c>
      <c r="P425" s="455" t="s">
        <v>592</v>
      </c>
      <c r="Q425" s="455">
        <v>51763</v>
      </c>
      <c r="R425" s="455">
        <v>51763</v>
      </c>
      <c r="S425" s="168">
        <v>44911.49</v>
      </c>
      <c r="T425" s="523">
        <v>51763</v>
      </c>
    </row>
    <row r="426" spans="1:20">
      <c r="A426" s="168" t="s">
        <v>1355</v>
      </c>
      <c r="B426" s="455" t="s">
        <v>1552</v>
      </c>
      <c r="C426" s="455" t="s">
        <v>595</v>
      </c>
      <c r="D426" s="168" t="s">
        <v>1569</v>
      </c>
      <c r="E426" s="150">
        <v>10717.83</v>
      </c>
      <c r="F426" s="456">
        <v>12300</v>
      </c>
      <c r="G426" s="168">
        <v>43117.08</v>
      </c>
      <c r="H426" s="168">
        <v>43117</v>
      </c>
      <c r="N426" s="168" t="s">
        <v>1355</v>
      </c>
      <c r="O426" s="455" t="s">
        <v>1552</v>
      </c>
      <c r="P426" s="455" t="s">
        <v>595</v>
      </c>
      <c r="Q426" s="455">
        <v>95000</v>
      </c>
      <c r="R426" s="455">
        <v>10718</v>
      </c>
      <c r="S426" s="168">
        <v>13992.77</v>
      </c>
      <c r="T426" s="523">
        <v>13992</v>
      </c>
    </row>
    <row r="427" spans="1:20">
      <c r="A427" s="168" t="s">
        <v>1356</v>
      </c>
      <c r="B427" s="455" t="s">
        <v>1552</v>
      </c>
      <c r="C427" s="455" t="s">
        <v>545</v>
      </c>
      <c r="D427" s="168" t="s">
        <v>1569</v>
      </c>
      <c r="E427" s="150">
        <v>761.95</v>
      </c>
      <c r="F427" s="456">
        <v>765</v>
      </c>
      <c r="G427" s="168">
        <v>0</v>
      </c>
      <c r="H427" s="168">
        <v>0</v>
      </c>
      <c r="N427" s="168" t="s">
        <v>1356</v>
      </c>
      <c r="O427" s="455" t="s">
        <v>1552</v>
      </c>
      <c r="P427" s="455" t="s">
        <v>545</v>
      </c>
      <c r="Q427" s="455">
        <v>15000</v>
      </c>
      <c r="R427" s="455">
        <v>1000</v>
      </c>
      <c r="S427" s="168">
        <v>0</v>
      </c>
      <c r="T427" s="523">
        <v>0</v>
      </c>
    </row>
    <row r="428" spans="1:20">
      <c r="A428" s="168" t="s">
        <v>1357</v>
      </c>
      <c r="B428" s="455" t="s">
        <v>1552</v>
      </c>
      <c r="C428" s="455" t="s">
        <v>545</v>
      </c>
      <c r="D428" s="168" t="s">
        <v>1569</v>
      </c>
      <c r="E428" s="150">
        <v>2501.7800000000002</v>
      </c>
      <c r="F428" s="456">
        <v>3400</v>
      </c>
      <c r="G428" s="168">
        <v>0</v>
      </c>
      <c r="H428" s="168">
        <v>0</v>
      </c>
      <c r="N428" s="168" t="s">
        <v>1357</v>
      </c>
      <c r="O428" s="455" t="s">
        <v>1552</v>
      </c>
      <c r="P428" s="455" t="s">
        <v>545</v>
      </c>
      <c r="Q428" s="455">
        <v>37500</v>
      </c>
      <c r="R428" s="455">
        <v>5000</v>
      </c>
      <c r="S428" s="168">
        <v>320</v>
      </c>
      <c r="T428" s="523">
        <v>320</v>
      </c>
    </row>
    <row r="429" spans="1:20">
      <c r="A429" s="168" t="s">
        <v>1358</v>
      </c>
      <c r="B429" s="455" t="s">
        <v>1553</v>
      </c>
      <c r="C429" s="455" t="s">
        <v>616</v>
      </c>
      <c r="D429" s="168" t="s">
        <v>1569</v>
      </c>
      <c r="E429" s="150">
        <v>4386.16</v>
      </c>
      <c r="F429" s="456">
        <v>4400</v>
      </c>
      <c r="G429" s="168">
        <v>737.58</v>
      </c>
      <c r="H429" s="168">
        <v>737</v>
      </c>
      <c r="N429" s="168" t="s">
        <v>1358</v>
      </c>
      <c r="O429" s="455" t="s">
        <v>1553</v>
      </c>
      <c r="P429" s="455" t="s">
        <v>616</v>
      </c>
      <c r="Q429" s="455">
        <v>4605</v>
      </c>
      <c r="R429" s="455">
        <v>3000</v>
      </c>
      <c r="S429" s="168">
        <v>1161.56</v>
      </c>
      <c r="T429" s="523">
        <v>1162</v>
      </c>
    </row>
    <row r="430" spans="1:20">
      <c r="A430" s="168" t="s">
        <v>1359</v>
      </c>
      <c r="B430" s="455" t="s">
        <v>1553</v>
      </c>
      <c r="C430" s="455" t="s">
        <v>622</v>
      </c>
      <c r="D430" s="168" t="s">
        <v>1569</v>
      </c>
      <c r="E430" s="150">
        <v>24648.79</v>
      </c>
      <c r="F430" s="456">
        <v>25000</v>
      </c>
      <c r="G430" s="168">
        <v>32500.32</v>
      </c>
      <c r="H430" s="168">
        <v>32500</v>
      </c>
      <c r="N430" s="168" t="s">
        <v>1359</v>
      </c>
      <c r="O430" s="455" t="s">
        <v>1553</v>
      </c>
      <c r="P430" s="455" t="s">
        <v>622</v>
      </c>
      <c r="Q430" s="455">
        <v>14509</v>
      </c>
      <c r="R430" s="455">
        <v>8000</v>
      </c>
      <c r="S430" s="168">
        <v>4594.92</v>
      </c>
      <c r="T430" s="523">
        <v>4595</v>
      </c>
    </row>
    <row r="431" spans="1:20">
      <c r="A431" s="168" t="s">
        <v>1360</v>
      </c>
      <c r="B431" s="455" t="s">
        <v>1553</v>
      </c>
      <c r="C431" s="455" t="s">
        <v>2322</v>
      </c>
      <c r="D431" s="168" t="s">
        <v>1569</v>
      </c>
      <c r="E431" s="150">
        <v>19924.759999999998</v>
      </c>
      <c r="F431" s="456">
        <v>20000</v>
      </c>
      <c r="G431" s="168">
        <v>0</v>
      </c>
      <c r="H431" s="168">
        <v>0</v>
      </c>
      <c r="N431" s="168" t="s">
        <v>1360</v>
      </c>
      <c r="O431" s="455" t="s">
        <v>1553</v>
      </c>
      <c r="P431" s="455" t="s">
        <v>2322</v>
      </c>
      <c r="Q431" s="455">
        <v>21917</v>
      </c>
      <c r="R431" s="455">
        <v>21917</v>
      </c>
      <c r="S431" s="168">
        <v>0</v>
      </c>
      <c r="T431" s="523">
        <v>0</v>
      </c>
    </row>
    <row r="432" spans="1:20">
      <c r="A432" s="168" t="s">
        <v>1361</v>
      </c>
      <c r="B432" s="455" t="s">
        <v>1553</v>
      </c>
      <c r="C432" s="455" t="s">
        <v>253</v>
      </c>
      <c r="D432" s="168" t="s">
        <v>1569</v>
      </c>
      <c r="E432" s="150">
        <v>2105.12</v>
      </c>
      <c r="F432" s="456">
        <v>2600</v>
      </c>
      <c r="G432" s="168">
        <v>0</v>
      </c>
      <c r="H432" s="168">
        <v>0</v>
      </c>
      <c r="N432" s="168" t="s">
        <v>1361</v>
      </c>
      <c r="O432" s="455" t="s">
        <v>1553</v>
      </c>
      <c r="P432" s="455" t="s">
        <v>253</v>
      </c>
      <c r="Q432" s="455">
        <v>1719</v>
      </c>
      <c r="R432" s="455">
        <v>948</v>
      </c>
      <c r="S432" s="168">
        <v>0</v>
      </c>
      <c r="T432" s="523">
        <v>0</v>
      </c>
    </row>
    <row r="433" spans="1:22">
      <c r="A433" s="168" t="s">
        <v>1362</v>
      </c>
      <c r="B433" s="455" t="s">
        <v>1553</v>
      </c>
      <c r="C433" s="455" t="s">
        <v>50</v>
      </c>
      <c r="D433" s="168" t="s">
        <v>1569</v>
      </c>
      <c r="E433" s="150">
        <v>38860.379999999997</v>
      </c>
      <c r="F433" s="456">
        <v>38900</v>
      </c>
      <c r="G433" s="168">
        <v>4719.62</v>
      </c>
      <c r="H433" s="168">
        <v>4720</v>
      </c>
      <c r="N433" s="168" t="s">
        <v>1362</v>
      </c>
      <c r="O433" s="455" t="s">
        <v>1553</v>
      </c>
      <c r="P433" s="455" t="s">
        <v>50</v>
      </c>
      <c r="Q433" s="455">
        <v>38860</v>
      </c>
      <c r="R433" s="455">
        <v>4790</v>
      </c>
      <c r="S433" s="168">
        <v>966.28</v>
      </c>
      <c r="T433" s="523">
        <v>967</v>
      </c>
    </row>
    <row r="434" spans="1:22">
      <c r="B434" s="455"/>
      <c r="E434" s="150"/>
      <c r="N434" s="168" t="s">
        <v>3731</v>
      </c>
      <c r="O434" s="455"/>
      <c r="P434" s="455" t="s">
        <v>3732</v>
      </c>
      <c r="Q434" s="455">
        <v>2772</v>
      </c>
      <c r="R434" s="455"/>
      <c r="T434" s="523"/>
    </row>
    <row r="435" spans="1:22">
      <c r="A435" s="168" t="s">
        <v>1363</v>
      </c>
      <c r="B435" s="455" t="s">
        <v>1553</v>
      </c>
      <c r="C435" s="455" t="s">
        <v>1364</v>
      </c>
      <c r="D435" s="168" t="s">
        <v>1569</v>
      </c>
      <c r="E435" s="150">
        <v>0</v>
      </c>
      <c r="F435" s="456">
        <v>0</v>
      </c>
      <c r="G435" s="168">
        <v>0</v>
      </c>
      <c r="H435" s="168">
        <v>0</v>
      </c>
      <c r="N435" s="168" t="s">
        <v>1363</v>
      </c>
      <c r="O435" s="455" t="s">
        <v>1553</v>
      </c>
      <c r="P435" s="455" t="s">
        <v>1364</v>
      </c>
      <c r="Q435" s="455"/>
      <c r="R435" s="455"/>
      <c r="S435" s="168">
        <v>0</v>
      </c>
      <c r="T435" s="523">
        <v>0</v>
      </c>
    </row>
    <row r="436" spans="1:22">
      <c r="A436" s="168" t="s">
        <v>1365</v>
      </c>
      <c r="B436" s="455" t="s">
        <v>1553</v>
      </c>
      <c r="C436" s="455" t="s">
        <v>273</v>
      </c>
      <c r="D436" s="168" t="s">
        <v>1569</v>
      </c>
      <c r="E436" s="150">
        <v>0</v>
      </c>
      <c r="F436" s="456">
        <v>0</v>
      </c>
      <c r="G436" s="168">
        <v>0</v>
      </c>
      <c r="H436" s="168">
        <v>0</v>
      </c>
      <c r="N436" s="168" t="s">
        <v>1365</v>
      </c>
      <c r="O436" s="455" t="s">
        <v>1553</v>
      </c>
      <c r="P436" s="455" t="s">
        <v>273</v>
      </c>
      <c r="Q436" s="455"/>
      <c r="R436" s="455"/>
      <c r="S436" s="168">
        <v>0</v>
      </c>
      <c r="T436" s="523">
        <v>0</v>
      </c>
    </row>
    <row r="437" spans="1:22" ht="15.75" thickBot="1">
      <c r="A437" s="168" t="s">
        <v>1366</v>
      </c>
      <c r="B437" s="455" t="s">
        <v>1553</v>
      </c>
      <c r="C437" s="455">
        <v>2</v>
      </c>
      <c r="D437" s="168" t="s">
        <v>1569</v>
      </c>
      <c r="E437" s="150">
        <v>0</v>
      </c>
      <c r="F437" s="456">
        <v>0</v>
      </c>
      <c r="G437" s="168">
        <v>0</v>
      </c>
      <c r="H437" s="168">
        <v>0</v>
      </c>
      <c r="N437" s="168" t="s">
        <v>1366</v>
      </c>
      <c r="O437" s="455" t="s">
        <v>1553</v>
      </c>
      <c r="P437" s="455">
        <v>2</v>
      </c>
      <c r="Q437" s="455"/>
      <c r="R437" s="455"/>
      <c r="S437" s="168">
        <v>0</v>
      </c>
      <c r="T437" s="523">
        <v>0</v>
      </c>
    </row>
    <row r="438" spans="1:22" ht="16.5" thickTop="1" thickBot="1">
      <c r="A438" s="554" t="s">
        <v>2668</v>
      </c>
      <c r="B438" s="555"/>
      <c r="C438" s="555"/>
      <c r="D438" s="556"/>
      <c r="E438" s="560">
        <f>SUM(E413:E437)</f>
        <v>1845488.9100000001</v>
      </c>
      <c r="F438" s="560">
        <f>SUM(F413:F437)</f>
        <v>1904905</v>
      </c>
      <c r="G438" s="560">
        <f>SUM(G413:G437)</f>
        <v>2621619.8000000007</v>
      </c>
      <c r="H438" s="560">
        <f>SUM(H413:H437)</f>
        <v>2548461</v>
      </c>
      <c r="N438" s="554" t="s">
        <v>2668</v>
      </c>
      <c r="O438" s="555"/>
      <c r="P438" s="555"/>
      <c r="Q438" s="555">
        <f>SUM(Q413:Q437)</f>
        <v>2886014</v>
      </c>
      <c r="R438" s="555">
        <f>SUM(R413:R437)</f>
        <v>2709505</v>
      </c>
      <c r="S438" s="560">
        <f>SUM(S413:S437)</f>
        <v>2486225.33</v>
      </c>
      <c r="T438" s="558">
        <f>SUM(T413:T437)</f>
        <v>2493077</v>
      </c>
      <c r="U438" s="603">
        <f>SUM(S438)</f>
        <v>2486225.33</v>
      </c>
      <c r="V438" s="168">
        <f>SUM(T438)</f>
        <v>2493077</v>
      </c>
    </row>
    <row r="439" spans="1:22" ht="15.75" thickTop="1">
      <c r="B439" s="455"/>
      <c r="E439" s="150"/>
      <c r="O439" s="455"/>
      <c r="P439" s="455"/>
      <c r="Q439" s="455"/>
      <c r="R439" s="455"/>
      <c r="T439" s="523"/>
      <c r="V439" s="603">
        <f>SUM(V410:V438)</f>
        <v>2475291</v>
      </c>
    </row>
    <row r="440" spans="1:22">
      <c r="A440" s="168" t="s">
        <v>2706</v>
      </c>
      <c r="B440" s="455" t="s">
        <v>431</v>
      </c>
      <c r="C440" s="455" t="s">
        <v>1368</v>
      </c>
      <c r="D440" s="168" t="s">
        <v>1570</v>
      </c>
      <c r="E440" s="150">
        <v>-81850.44</v>
      </c>
      <c r="F440" s="456">
        <v>-85049</v>
      </c>
      <c r="G440" s="168">
        <v>-94387.76</v>
      </c>
      <c r="H440" s="168">
        <v>-106081</v>
      </c>
      <c r="N440" s="168" t="s">
        <v>2706</v>
      </c>
      <c r="O440" s="455" t="s">
        <v>431</v>
      </c>
      <c r="P440" s="455" t="s">
        <v>1368</v>
      </c>
      <c r="Q440" s="455">
        <v>-94860</v>
      </c>
      <c r="R440" s="455">
        <v>-80000</v>
      </c>
      <c r="S440" s="168">
        <v>-104622.56</v>
      </c>
      <c r="T440" s="523">
        <v>-80000</v>
      </c>
    </row>
    <row r="441" spans="1:22" ht="15.75" thickBot="1">
      <c r="A441" s="168" t="s">
        <v>1367</v>
      </c>
      <c r="B441" s="455" t="s">
        <v>1730</v>
      </c>
      <c r="C441" s="455" t="s">
        <v>2707</v>
      </c>
      <c r="D441" s="168" t="s">
        <v>1570</v>
      </c>
      <c r="E441" s="150">
        <v>-556645.17000000004</v>
      </c>
      <c r="F441" s="456">
        <v>0</v>
      </c>
      <c r="G441" s="168">
        <v>0</v>
      </c>
      <c r="H441" s="168">
        <v>-1500000</v>
      </c>
      <c r="N441" s="168" t="s">
        <v>1367</v>
      </c>
      <c r="O441" s="455" t="s">
        <v>1730</v>
      </c>
      <c r="P441" s="455" t="s">
        <v>2707</v>
      </c>
      <c r="Q441" s="455">
        <v>-2500000</v>
      </c>
      <c r="R441" s="455">
        <v>-2500000</v>
      </c>
      <c r="S441" s="168">
        <v>0</v>
      </c>
      <c r="T441" s="523">
        <v>-2500000</v>
      </c>
    </row>
    <row r="442" spans="1:22" ht="16.5" thickTop="1" thickBot="1">
      <c r="A442" s="554" t="s">
        <v>2668</v>
      </c>
      <c r="B442" s="555"/>
      <c r="C442" s="555"/>
      <c r="D442" s="556"/>
      <c r="E442" s="560">
        <f>SUM(E440:E441)</f>
        <v>-638495.6100000001</v>
      </c>
      <c r="F442" s="560">
        <f>SUM(F440:F441)</f>
        <v>-85049</v>
      </c>
      <c r="G442" s="560">
        <f>SUM(G440:G441)</f>
        <v>-94387.76</v>
      </c>
      <c r="H442" s="560">
        <f>SUM(H440:H441)</f>
        <v>-1606081</v>
      </c>
      <c r="I442" s="168">
        <v>1606081</v>
      </c>
      <c r="N442" s="554" t="s">
        <v>2668</v>
      </c>
      <c r="O442" s="555"/>
      <c r="P442" s="555"/>
      <c r="Q442" s="555">
        <f>SUM(Q440:Q441)</f>
        <v>-2594860</v>
      </c>
      <c r="R442" s="555">
        <f>SUM(R440:R441)</f>
        <v>-2580000</v>
      </c>
      <c r="S442" s="560">
        <f>SUM(S440:S441)</f>
        <v>-104622.56</v>
      </c>
      <c r="T442" s="558">
        <f>SUM(T440:T441)</f>
        <v>-2580000</v>
      </c>
      <c r="U442" s="168">
        <f>SUM(S442)</f>
        <v>-104622.56</v>
      </c>
      <c r="V442" s="168">
        <f>SUM(T442)</f>
        <v>-2580000</v>
      </c>
    </row>
    <row r="443" spans="1:22" ht="15.75" thickTop="1">
      <c r="B443" s="455"/>
      <c r="E443" s="150"/>
      <c r="O443" s="455"/>
      <c r="P443" s="455"/>
      <c r="Q443" s="455"/>
      <c r="R443" s="455"/>
      <c r="T443" s="523"/>
    </row>
    <row r="444" spans="1:22">
      <c r="A444" s="168" t="s">
        <v>1369</v>
      </c>
      <c r="B444" s="455" t="s">
        <v>1549</v>
      </c>
      <c r="C444" s="455" t="s">
        <v>75</v>
      </c>
      <c r="D444" s="168" t="s">
        <v>1570</v>
      </c>
      <c r="E444" s="150">
        <v>114792.12</v>
      </c>
      <c r="F444" s="456">
        <v>115000</v>
      </c>
      <c r="G444" s="168">
        <v>124987.48</v>
      </c>
      <c r="H444" s="168">
        <v>124987</v>
      </c>
      <c r="N444" s="168" t="s">
        <v>1369</v>
      </c>
      <c r="O444" s="455" t="s">
        <v>1549</v>
      </c>
      <c r="P444" s="455" t="s">
        <v>75</v>
      </c>
      <c r="Q444" s="455">
        <v>363781</v>
      </c>
      <c r="R444" s="455">
        <v>363781</v>
      </c>
      <c r="S444" s="168">
        <v>135026.79999999999</v>
      </c>
      <c r="T444" s="523">
        <v>135027</v>
      </c>
    </row>
    <row r="445" spans="1:22">
      <c r="A445" s="168" t="s">
        <v>1370</v>
      </c>
      <c r="B445" s="455" t="s">
        <v>1549</v>
      </c>
      <c r="C445" s="455" t="s">
        <v>77</v>
      </c>
      <c r="D445" s="168" t="s">
        <v>1570</v>
      </c>
      <c r="E445" s="150">
        <v>3466.8</v>
      </c>
      <c r="F445" s="456">
        <v>3500</v>
      </c>
      <c r="G445" s="168">
        <v>13715.45</v>
      </c>
      <c r="H445" s="168">
        <v>13715</v>
      </c>
      <c r="N445" s="168" t="s">
        <v>1370</v>
      </c>
      <c r="O445" s="455" t="s">
        <v>1549</v>
      </c>
      <c r="P445" s="455" t="s">
        <v>77</v>
      </c>
      <c r="Q445" s="455">
        <v>10000</v>
      </c>
      <c r="R445" s="455">
        <v>10000</v>
      </c>
      <c r="S445" s="168">
        <v>13840.2</v>
      </c>
      <c r="T445" s="523">
        <v>13840</v>
      </c>
    </row>
    <row r="446" spans="1:22">
      <c r="A446" s="168" t="s">
        <v>1371</v>
      </c>
      <c r="B446" s="455" t="s">
        <v>1549</v>
      </c>
      <c r="C446" s="455" t="s">
        <v>60</v>
      </c>
      <c r="D446" s="168" t="s">
        <v>1570</v>
      </c>
      <c r="E446" s="150">
        <v>9630.2099999999991</v>
      </c>
      <c r="F446" s="456">
        <v>9730</v>
      </c>
      <c r="G446" s="168">
        <v>10429.530000000001</v>
      </c>
      <c r="H446" s="168">
        <v>10430</v>
      </c>
      <c r="N446" s="168" t="s">
        <v>1371</v>
      </c>
      <c r="O446" s="455" t="s">
        <v>1549</v>
      </c>
      <c r="P446" s="455" t="s">
        <v>60</v>
      </c>
      <c r="Q446" s="455">
        <v>30315</v>
      </c>
      <c r="R446" s="455">
        <v>30315</v>
      </c>
      <c r="S446" s="168">
        <v>11889.65</v>
      </c>
      <c r="T446" s="523">
        <v>11890</v>
      </c>
    </row>
    <row r="447" spans="1:22">
      <c r="B447" s="455"/>
      <c r="E447" s="150"/>
      <c r="N447" s="168" t="s">
        <v>3729</v>
      </c>
      <c r="O447" s="455"/>
      <c r="P447" s="455" t="s">
        <v>3730</v>
      </c>
      <c r="Q447" s="455">
        <v>16488</v>
      </c>
      <c r="R447" s="455">
        <v>16488</v>
      </c>
      <c r="T447" s="523"/>
    </row>
    <row r="448" spans="1:22">
      <c r="A448" s="168" t="s">
        <v>1372</v>
      </c>
      <c r="B448" s="455" t="s">
        <v>1549</v>
      </c>
      <c r="C448" s="455" t="s">
        <v>575</v>
      </c>
      <c r="D448" s="168" t="s">
        <v>1570</v>
      </c>
      <c r="E448" s="150">
        <v>0</v>
      </c>
      <c r="F448" s="456">
        <v>0</v>
      </c>
      <c r="G448" s="168">
        <v>0</v>
      </c>
      <c r="H448" s="168">
        <v>0</v>
      </c>
      <c r="N448" s="168" t="s">
        <v>1372</v>
      </c>
      <c r="O448" s="455" t="s">
        <v>1549</v>
      </c>
      <c r="P448" s="455" t="s">
        <v>575</v>
      </c>
      <c r="Q448" s="455">
        <v>24842</v>
      </c>
      <c r="R448" s="455">
        <v>24842</v>
      </c>
      <c r="S448" s="168">
        <v>0</v>
      </c>
      <c r="T448" s="523">
        <v>0</v>
      </c>
    </row>
    <row r="449" spans="1:22">
      <c r="A449" s="168" t="s">
        <v>1373</v>
      </c>
      <c r="B449" s="455" t="s">
        <v>1549</v>
      </c>
      <c r="C449" s="455" t="s">
        <v>590</v>
      </c>
      <c r="D449" s="168" t="s">
        <v>1570</v>
      </c>
      <c r="E449" s="150">
        <v>23439.96</v>
      </c>
      <c r="F449" s="456">
        <v>24000</v>
      </c>
      <c r="G449" s="168">
        <v>25385.52</v>
      </c>
      <c r="H449" s="168">
        <v>25386</v>
      </c>
      <c r="N449" s="168" t="s">
        <v>1373</v>
      </c>
      <c r="O449" s="455" t="s">
        <v>1549</v>
      </c>
      <c r="P449" s="455" t="s">
        <v>590</v>
      </c>
      <c r="Q449" s="455">
        <v>80032</v>
      </c>
      <c r="R449" s="455">
        <v>80032</v>
      </c>
      <c r="S449" s="168">
        <v>28312.21</v>
      </c>
      <c r="T449" s="523">
        <v>28313</v>
      </c>
    </row>
    <row r="450" spans="1:22">
      <c r="A450" s="168" t="s">
        <v>1374</v>
      </c>
      <c r="B450" s="455" t="s">
        <v>1549</v>
      </c>
      <c r="C450" s="455" t="s">
        <v>590</v>
      </c>
      <c r="D450" s="168" t="s">
        <v>1570</v>
      </c>
      <c r="E450" s="150">
        <v>1310.67</v>
      </c>
      <c r="F450" s="456">
        <v>1400</v>
      </c>
      <c r="G450" s="168">
        <v>1491.42</v>
      </c>
      <c r="H450" s="168">
        <v>1497</v>
      </c>
      <c r="N450" s="168" t="s">
        <v>1374</v>
      </c>
      <c r="O450" s="455" t="s">
        <v>1549</v>
      </c>
      <c r="P450" s="455" t="s">
        <v>590</v>
      </c>
      <c r="Q450" s="455">
        <v>3638</v>
      </c>
      <c r="R450" s="455">
        <v>3638</v>
      </c>
      <c r="S450" s="168">
        <v>1681.24</v>
      </c>
      <c r="T450" s="523">
        <v>1682</v>
      </c>
    </row>
    <row r="451" spans="1:22">
      <c r="A451" s="168" t="s">
        <v>1375</v>
      </c>
      <c r="B451" s="455" t="s">
        <v>1549</v>
      </c>
      <c r="C451" s="455" t="s">
        <v>590</v>
      </c>
      <c r="D451" s="168" t="s">
        <v>1570</v>
      </c>
      <c r="E451" s="150">
        <v>0</v>
      </c>
      <c r="F451" s="456">
        <v>0</v>
      </c>
      <c r="G451" s="168">
        <v>0</v>
      </c>
      <c r="H451" s="168">
        <v>0</v>
      </c>
      <c r="N451" s="168" t="s">
        <v>1375</v>
      </c>
      <c r="O451" s="455" t="s">
        <v>1549</v>
      </c>
      <c r="P451" s="455" t="s">
        <v>590</v>
      </c>
      <c r="Q451" s="455">
        <v>5566</v>
      </c>
      <c r="R451" s="455">
        <v>5566</v>
      </c>
      <c r="S451" s="168">
        <v>0</v>
      </c>
      <c r="T451" s="523">
        <v>0</v>
      </c>
    </row>
    <row r="452" spans="1:22">
      <c r="A452" s="168" t="s">
        <v>1376</v>
      </c>
      <c r="B452" s="455" t="s">
        <v>1549</v>
      </c>
      <c r="C452" s="455" t="s">
        <v>1807</v>
      </c>
      <c r="D452" s="168" t="s">
        <v>1570</v>
      </c>
      <c r="E452" s="150">
        <v>115.2</v>
      </c>
      <c r="F452" s="456">
        <v>120</v>
      </c>
      <c r="G452" s="168">
        <v>124.2</v>
      </c>
      <c r="H452" s="168">
        <v>124</v>
      </c>
      <c r="N452" s="168" t="s">
        <v>1376</v>
      </c>
      <c r="O452" s="455" t="s">
        <v>1549</v>
      </c>
      <c r="P452" s="455" t="s">
        <v>1807</v>
      </c>
      <c r="Q452" s="455">
        <v>331</v>
      </c>
      <c r="R452" s="455">
        <v>331</v>
      </c>
      <c r="S452" s="168">
        <v>135</v>
      </c>
      <c r="T452" s="523">
        <v>135</v>
      </c>
    </row>
    <row r="453" spans="1:22">
      <c r="A453" s="168" t="s">
        <v>1377</v>
      </c>
      <c r="B453" s="455" t="s">
        <v>1551</v>
      </c>
      <c r="C453" s="455" t="s">
        <v>592</v>
      </c>
      <c r="D453" s="168" t="s">
        <v>1570</v>
      </c>
      <c r="E453" s="150">
        <v>0</v>
      </c>
      <c r="F453" s="456">
        <v>1729</v>
      </c>
      <c r="G453" s="168">
        <v>0</v>
      </c>
      <c r="H453" s="168">
        <v>10242</v>
      </c>
      <c r="N453" s="168" t="s">
        <v>1377</v>
      </c>
      <c r="O453" s="455" t="s">
        <v>1551</v>
      </c>
      <c r="P453" s="455" t="s">
        <v>592</v>
      </c>
      <c r="Q453" s="455">
        <v>10857</v>
      </c>
      <c r="R453" s="455">
        <v>10857</v>
      </c>
      <c r="S453" s="168">
        <v>0</v>
      </c>
      <c r="T453" s="523">
        <v>10857</v>
      </c>
    </row>
    <row r="454" spans="1:22">
      <c r="A454" s="168" t="s">
        <v>1378</v>
      </c>
      <c r="B454" s="455" t="s">
        <v>1552</v>
      </c>
      <c r="C454" s="455" t="s">
        <v>545</v>
      </c>
      <c r="D454" s="168" t="s">
        <v>1570</v>
      </c>
      <c r="E454" s="150">
        <v>2671.35</v>
      </c>
      <c r="F454" s="456">
        <v>3500</v>
      </c>
      <c r="G454" s="168">
        <v>27.53</v>
      </c>
      <c r="H454" s="168">
        <v>28</v>
      </c>
      <c r="N454" s="168" t="s">
        <v>1378</v>
      </c>
      <c r="O454" s="455" t="s">
        <v>1552</v>
      </c>
      <c r="P454" s="455" t="s">
        <v>545</v>
      </c>
      <c r="Q454" s="455">
        <v>2671</v>
      </c>
      <c r="R454" s="455">
        <v>2671</v>
      </c>
      <c r="S454" s="168">
        <v>0</v>
      </c>
      <c r="T454" s="523">
        <v>0</v>
      </c>
    </row>
    <row r="455" spans="1:22">
      <c r="A455" s="168" t="s">
        <v>1379</v>
      </c>
      <c r="B455" s="455" t="s">
        <v>1553</v>
      </c>
      <c r="C455" s="455" t="s">
        <v>616</v>
      </c>
      <c r="D455" s="168" t="s">
        <v>1570</v>
      </c>
      <c r="E455" s="150">
        <v>1531.53</v>
      </c>
      <c r="F455" s="456">
        <v>1600</v>
      </c>
      <c r="G455" s="168">
        <v>1810.65</v>
      </c>
      <c r="H455" s="168">
        <v>1810</v>
      </c>
      <c r="N455" s="168" t="s">
        <v>1379</v>
      </c>
      <c r="O455" s="455" t="s">
        <v>1553</v>
      </c>
      <c r="P455" s="455" t="s">
        <v>616</v>
      </c>
      <c r="Q455" s="455">
        <v>2161</v>
      </c>
      <c r="R455" s="455">
        <v>3000</v>
      </c>
      <c r="S455" s="168">
        <v>2704.05</v>
      </c>
      <c r="T455" s="523">
        <v>2705</v>
      </c>
    </row>
    <row r="456" spans="1:22">
      <c r="A456" s="168" t="s">
        <v>1380</v>
      </c>
      <c r="B456" s="455" t="s">
        <v>1553</v>
      </c>
      <c r="C456" s="455" t="s">
        <v>2322</v>
      </c>
      <c r="D456" s="168" t="s">
        <v>1570</v>
      </c>
      <c r="E456" s="150">
        <v>3993.12</v>
      </c>
      <c r="F456" s="456">
        <v>4000</v>
      </c>
      <c r="G456" s="168">
        <v>0</v>
      </c>
      <c r="H456" s="168">
        <v>0</v>
      </c>
      <c r="N456" s="168" t="s">
        <v>1380</v>
      </c>
      <c r="O456" s="455" t="s">
        <v>1553</v>
      </c>
      <c r="P456" s="455" t="s">
        <v>2322</v>
      </c>
      <c r="Q456" s="455">
        <v>4392</v>
      </c>
      <c r="R456" s="455">
        <v>4392</v>
      </c>
      <c r="S456" s="168">
        <v>0</v>
      </c>
      <c r="T456" s="523">
        <v>0</v>
      </c>
    </row>
    <row r="457" spans="1:22">
      <c r="A457" s="168" t="s">
        <v>1381</v>
      </c>
      <c r="B457" s="455" t="s">
        <v>1553</v>
      </c>
      <c r="C457" s="455" t="s">
        <v>253</v>
      </c>
      <c r="D457" s="168" t="s">
        <v>1570</v>
      </c>
      <c r="E457" s="150">
        <v>0</v>
      </c>
      <c r="F457" s="456">
        <v>0</v>
      </c>
      <c r="G457" s="168">
        <v>0</v>
      </c>
      <c r="H457" s="168">
        <v>0</v>
      </c>
      <c r="N457" s="168" t="s">
        <v>1381</v>
      </c>
      <c r="O457" s="455" t="s">
        <v>1553</v>
      </c>
      <c r="P457" s="455" t="s">
        <v>253</v>
      </c>
      <c r="Q457" s="455">
        <v>802</v>
      </c>
      <c r="R457" s="455">
        <v>802</v>
      </c>
      <c r="S457" s="168">
        <v>0</v>
      </c>
      <c r="T457" s="523">
        <v>0</v>
      </c>
    </row>
    <row r="458" spans="1:22">
      <c r="A458" s="168" t="s">
        <v>1382</v>
      </c>
      <c r="B458" s="455" t="s">
        <v>1553</v>
      </c>
      <c r="C458" s="455" t="s">
        <v>2325</v>
      </c>
      <c r="D458" s="168" t="s">
        <v>1570</v>
      </c>
      <c r="E458" s="150">
        <v>3227.86</v>
      </c>
      <c r="F458" s="456">
        <v>4500</v>
      </c>
      <c r="G458" s="168">
        <v>0</v>
      </c>
      <c r="H458" s="168">
        <v>0</v>
      </c>
      <c r="N458" s="168" t="s">
        <v>1382</v>
      </c>
      <c r="O458" s="455" t="s">
        <v>1553</v>
      </c>
      <c r="P458" s="455" t="s">
        <v>2325</v>
      </c>
      <c r="Q458" s="455">
        <v>8456</v>
      </c>
      <c r="R458" s="455">
        <v>3228</v>
      </c>
      <c r="S458" s="168">
        <v>0</v>
      </c>
      <c r="T458" s="523">
        <v>0</v>
      </c>
    </row>
    <row r="459" spans="1:22">
      <c r="B459" s="455"/>
      <c r="E459" s="150"/>
      <c r="N459" s="561" t="s">
        <v>3471</v>
      </c>
      <c r="O459" s="455"/>
      <c r="P459" s="455"/>
      <c r="Q459" s="455">
        <v>2500000</v>
      </c>
      <c r="R459" s="455">
        <v>2500000</v>
      </c>
      <c r="S459" s="168">
        <v>0</v>
      </c>
      <c r="T459" s="523">
        <v>2500000</v>
      </c>
    </row>
    <row r="460" spans="1:22">
      <c r="A460" s="168" t="s">
        <v>1383</v>
      </c>
      <c r="B460" s="455" t="s">
        <v>1553</v>
      </c>
      <c r="C460" s="455" t="s">
        <v>2295</v>
      </c>
      <c r="D460" s="168" t="s">
        <v>1570</v>
      </c>
      <c r="E460" s="150">
        <v>0</v>
      </c>
      <c r="F460" s="456">
        <v>0</v>
      </c>
      <c r="G460" s="168">
        <v>0</v>
      </c>
      <c r="H460" s="168">
        <v>0</v>
      </c>
      <c r="N460" s="168" t="s">
        <v>1383</v>
      </c>
      <c r="O460" s="455" t="s">
        <v>1553</v>
      </c>
      <c r="P460" s="455" t="s">
        <v>2295</v>
      </c>
      <c r="Q460" s="455"/>
      <c r="R460" s="455"/>
      <c r="S460" s="168">
        <v>0</v>
      </c>
      <c r="T460" s="523">
        <v>0</v>
      </c>
    </row>
    <row r="461" spans="1:22">
      <c r="A461" s="168" t="s">
        <v>1385</v>
      </c>
      <c r="B461" s="455" t="s">
        <v>1553</v>
      </c>
      <c r="C461" s="455" t="s">
        <v>1386</v>
      </c>
      <c r="D461" s="168" t="s">
        <v>1570</v>
      </c>
      <c r="E461" s="150">
        <v>0</v>
      </c>
      <c r="F461" s="456">
        <v>1716645</v>
      </c>
      <c r="G461" s="168">
        <v>0</v>
      </c>
      <c r="H461" s="168">
        <v>0</v>
      </c>
      <c r="N461" s="168" t="s">
        <v>1385</v>
      </c>
      <c r="O461" s="455" t="s">
        <v>1553</v>
      </c>
      <c r="P461" s="455" t="s">
        <v>1386</v>
      </c>
      <c r="Q461" s="455"/>
      <c r="R461" s="455"/>
      <c r="S461" s="168">
        <v>0</v>
      </c>
      <c r="T461" s="523">
        <v>0</v>
      </c>
    </row>
    <row r="462" spans="1:22">
      <c r="A462" s="168" t="s">
        <v>1387</v>
      </c>
      <c r="B462" s="455" t="s">
        <v>1553</v>
      </c>
      <c r="C462" s="455" t="s">
        <v>2326</v>
      </c>
      <c r="D462" s="168" t="s">
        <v>1570</v>
      </c>
      <c r="E462" s="150">
        <v>0</v>
      </c>
      <c r="F462" s="456">
        <v>0</v>
      </c>
      <c r="G462" s="168">
        <v>0</v>
      </c>
      <c r="H462" s="168">
        <v>0</v>
      </c>
      <c r="N462" s="168" t="s">
        <v>1387</v>
      </c>
      <c r="O462" s="455" t="s">
        <v>1553</v>
      </c>
      <c r="P462" s="455" t="s">
        <v>2326</v>
      </c>
      <c r="Q462" s="455"/>
      <c r="R462" s="455"/>
      <c r="S462" s="168">
        <v>0</v>
      </c>
      <c r="T462" s="523">
        <v>0</v>
      </c>
    </row>
    <row r="463" spans="1:22" ht="15.75" thickBot="1">
      <c r="A463" s="168" t="s">
        <v>1388</v>
      </c>
      <c r="B463" s="455" t="s">
        <v>1553</v>
      </c>
      <c r="C463" s="455" t="s">
        <v>1386</v>
      </c>
      <c r="D463" s="168" t="s">
        <v>1570</v>
      </c>
      <c r="E463" s="150">
        <v>0</v>
      </c>
      <c r="F463" s="456">
        <v>-1716645</v>
      </c>
      <c r="N463" s="168" t="s">
        <v>1388</v>
      </c>
      <c r="O463" s="455" t="s">
        <v>1553</v>
      </c>
      <c r="P463" s="455" t="s">
        <v>1386</v>
      </c>
      <c r="Q463" s="455"/>
      <c r="R463" s="455"/>
      <c r="T463" s="523"/>
    </row>
    <row r="464" spans="1:22" ht="16.5" thickTop="1" thickBot="1">
      <c r="A464" s="554" t="s">
        <v>2668</v>
      </c>
      <c r="B464" s="555"/>
      <c r="C464" s="555"/>
      <c r="D464" s="556"/>
      <c r="E464" s="560">
        <f>SUM(E444:E463)</f>
        <v>164178.82</v>
      </c>
      <c r="F464" s="560">
        <f>SUM(F444:F463)</f>
        <v>169079</v>
      </c>
      <c r="G464" s="560">
        <f>SUM(G444:G463)</f>
        <v>177971.78</v>
      </c>
      <c r="H464" s="560">
        <f>SUM(H444:H463)</f>
        <v>188219</v>
      </c>
      <c r="N464" s="554" t="s">
        <v>2668</v>
      </c>
      <c r="O464" s="555"/>
      <c r="P464" s="555"/>
      <c r="Q464" s="555">
        <f>SUM(Q444:Q463)</f>
        <v>3064332</v>
      </c>
      <c r="R464" s="555">
        <f>SUM(R444:R463)</f>
        <v>3059943</v>
      </c>
      <c r="S464" s="560">
        <f>SUM(S444:S463)</f>
        <v>193589.14999999997</v>
      </c>
      <c r="T464" s="558">
        <f>SUM(T444:T463)</f>
        <v>2704449</v>
      </c>
      <c r="U464" s="168">
        <f>SUM(S464)</f>
        <v>193589.14999999997</v>
      </c>
      <c r="V464" s="168">
        <f>SUM(T464)</f>
        <v>2704449</v>
      </c>
    </row>
    <row r="465" spans="1:22" ht="15.75" thickTop="1">
      <c r="B465" s="455"/>
      <c r="E465" s="150"/>
      <c r="O465" s="455"/>
      <c r="P465" s="455"/>
      <c r="Q465" s="455"/>
      <c r="R465" s="455"/>
      <c r="T465" s="523"/>
      <c r="U465" s="603">
        <f>SUM(U442:U464)</f>
        <v>88966.589999999967</v>
      </c>
      <c r="V465" s="603">
        <f>SUM(V442:V464)</f>
        <v>124449</v>
      </c>
    </row>
    <row r="466" spans="1:22" ht="15.75" thickBot="1">
      <c r="A466" s="168" t="s">
        <v>1390</v>
      </c>
      <c r="B466" s="455" t="s">
        <v>29</v>
      </c>
      <c r="C466" s="455" t="s">
        <v>2328</v>
      </c>
      <c r="D466" s="168" t="s">
        <v>1571</v>
      </c>
      <c r="E466" s="150">
        <v>-3910829.34</v>
      </c>
      <c r="F466" s="456">
        <v>-4348479</v>
      </c>
      <c r="G466" s="168">
        <v>-4232136.21</v>
      </c>
      <c r="H466" s="168">
        <v>-3335595</v>
      </c>
      <c r="N466" s="168" t="s">
        <v>1390</v>
      </c>
      <c r="O466" s="455" t="s">
        <v>29</v>
      </c>
      <c r="P466" s="455" t="s">
        <v>2328</v>
      </c>
      <c r="Q466" s="455">
        <v>-3975169</v>
      </c>
      <c r="R466" s="455">
        <v>-3975169</v>
      </c>
      <c r="S466" s="168">
        <v>-5016917.6399999997</v>
      </c>
      <c r="T466" s="523">
        <v>-3975169</v>
      </c>
    </row>
    <row r="467" spans="1:22" ht="16.5" thickTop="1" thickBot="1">
      <c r="A467" s="554" t="s">
        <v>2668</v>
      </c>
      <c r="B467" s="555"/>
      <c r="C467" s="555"/>
      <c r="D467" s="556"/>
      <c r="E467" s="560">
        <f>SUM(E466:E466)</f>
        <v>-3910829.34</v>
      </c>
      <c r="F467" s="560">
        <f>SUM(F466:F466)</f>
        <v>-4348479</v>
      </c>
      <c r="G467" s="560">
        <f>SUM(G466:G466)</f>
        <v>-4232136.21</v>
      </c>
      <c r="H467" s="560">
        <f>SUM(H466:H466)</f>
        <v>-3335595</v>
      </c>
      <c r="I467" s="168">
        <v>3335595</v>
      </c>
      <c r="N467" s="554" t="s">
        <v>2668</v>
      </c>
      <c r="O467" s="555"/>
      <c r="P467" s="555"/>
      <c r="Q467" s="555">
        <f>SUM(Q466)</f>
        <v>-3975169</v>
      </c>
      <c r="R467" s="555">
        <f>SUM(R466)</f>
        <v>-3975169</v>
      </c>
      <c r="S467" s="560">
        <f>SUM(S466:S466)</f>
        <v>-5016917.6399999997</v>
      </c>
      <c r="T467" s="558">
        <f>SUM(T466:T466)</f>
        <v>-3975169</v>
      </c>
      <c r="U467" s="168">
        <f>SUM(S467)</f>
        <v>-5016917.6399999997</v>
      </c>
      <c r="V467" s="168">
        <f>SUM(T467)</f>
        <v>-3975169</v>
      </c>
    </row>
    <row r="468" spans="1:22" ht="15.75" thickTop="1">
      <c r="B468" s="455"/>
      <c r="E468" s="150"/>
      <c r="O468" s="455"/>
      <c r="P468" s="455"/>
      <c r="Q468" s="455"/>
      <c r="R468" s="455"/>
      <c r="T468" s="523"/>
    </row>
    <row r="469" spans="1:22">
      <c r="A469" s="168" t="s">
        <v>1391</v>
      </c>
      <c r="B469" s="455" t="s">
        <v>1549</v>
      </c>
      <c r="C469" s="455" t="s">
        <v>75</v>
      </c>
      <c r="D469" s="168" t="s">
        <v>1571</v>
      </c>
      <c r="E469" s="150">
        <v>1499634.28</v>
      </c>
      <c r="F469" s="456">
        <v>1500000</v>
      </c>
      <c r="G469" s="168">
        <v>1659604.99</v>
      </c>
      <c r="H469" s="168">
        <v>1659605</v>
      </c>
      <c r="N469" s="168" t="s">
        <v>1391</v>
      </c>
      <c r="O469" s="455" t="s">
        <v>1549</v>
      </c>
      <c r="P469" s="455" t="s">
        <v>75</v>
      </c>
      <c r="Q469" s="455">
        <v>2217316</v>
      </c>
      <c r="R469" s="455">
        <v>2217316</v>
      </c>
      <c r="S469" s="168">
        <v>1644066.12</v>
      </c>
      <c r="T469" s="523">
        <v>1644067</v>
      </c>
    </row>
    <row r="470" spans="1:22">
      <c r="A470" s="168" t="s">
        <v>1392</v>
      </c>
      <c r="B470" s="455" t="s">
        <v>1549</v>
      </c>
      <c r="C470" s="455" t="s">
        <v>77</v>
      </c>
      <c r="D470" s="168" t="s">
        <v>1571</v>
      </c>
      <c r="E470" s="150">
        <v>227917.51</v>
      </c>
      <c r="F470" s="456">
        <v>228000</v>
      </c>
      <c r="G470" s="168">
        <v>462512.03</v>
      </c>
      <c r="H470" s="168">
        <v>462512</v>
      </c>
      <c r="N470" s="168" t="s">
        <v>1392</v>
      </c>
      <c r="O470" s="455" t="s">
        <v>1549</v>
      </c>
      <c r="P470" s="455" t="s">
        <v>77</v>
      </c>
      <c r="Q470" s="455">
        <v>260000</v>
      </c>
      <c r="R470" s="455">
        <v>260000</v>
      </c>
      <c r="S470" s="168">
        <v>518160.92</v>
      </c>
      <c r="T470" s="523">
        <v>518160</v>
      </c>
    </row>
    <row r="471" spans="1:22">
      <c r="A471" s="168" t="s">
        <v>1393</v>
      </c>
      <c r="B471" s="455" t="s">
        <v>1549</v>
      </c>
      <c r="C471" s="455" t="s">
        <v>60</v>
      </c>
      <c r="D471" s="168" t="s">
        <v>1571</v>
      </c>
      <c r="E471" s="150">
        <v>116460.75</v>
      </c>
      <c r="F471" s="456">
        <v>126162</v>
      </c>
      <c r="G471" s="168">
        <v>140499.20000000001</v>
      </c>
      <c r="H471" s="168">
        <v>140500</v>
      </c>
      <c r="N471" s="168" t="s">
        <v>1393</v>
      </c>
      <c r="O471" s="455" t="s">
        <v>1549</v>
      </c>
      <c r="P471" s="455" t="s">
        <v>60</v>
      </c>
      <c r="Q471" s="455">
        <v>187469</v>
      </c>
      <c r="R471" s="455">
        <v>187469</v>
      </c>
      <c r="S471" s="168">
        <v>143052.15</v>
      </c>
      <c r="T471" s="523">
        <v>143053</v>
      </c>
    </row>
    <row r="472" spans="1:22">
      <c r="A472" s="168" t="s">
        <v>1394</v>
      </c>
      <c r="B472" s="455" t="s">
        <v>1549</v>
      </c>
      <c r="C472" s="455" t="s">
        <v>1395</v>
      </c>
      <c r="D472" s="168" t="s">
        <v>1571</v>
      </c>
      <c r="E472" s="150">
        <v>0</v>
      </c>
      <c r="F472" s="456">
        <v>0</v>
      </c>
      <c r="G472" s="168">
        <v>781.19</v>
      </c>
      <c r="H472" s="168">
        <v>781</v>
      </c>
      <c r="N472" s="168" t="s">
        <v>1394</v>
      </c>
      <c r="O472" s="455" t="s">
        <v>1549</v>
      </c>
      <c r="P472" s="455" t="s">
        <v>1395</v>
      </c>
      <c r="Q472" s="455"/>
      <c r="R472" s="455"/>
      <c r="S472" s="168">
        <v>0</v>
      </c>
      <c r="T472" s="523">
        <v>0</v>
      </c>
    </row>
    <row r="473" spans="1:22">
      <c r="A473" s="168" t="s">
        <v>1396</v>
      </c>
      <c r="B473" s="455" t="s">
        <v>1549</v>
      </c>
      <c r="C473" s="455" t="s">
        <v>515</v>
      </c>
      <c r="D473" s="168" t="s">
        <v>1571</v>
      </c>
      <c r="E473" s="150">
        <v>0</v>
      </c>
      <c r="F473" s="456">
        <v>0</v>
      </c>
      <c r="G473" s="168">
        <v>0</v>
      </c>
      <c r="H473" s="168">
        <v>0</v>
      </c>
      <c r="N473" s="168" t="s">
        <v>1396</v>
      </c>
      <c r="O473" s="455" t="s">
        <v>1549</v>
      </c>
      <c r="P473" s="455" t="s">
        <v>515</v>
      </c>
      <c r="Q473" s="455"/>
      <c r="R473" s="455"/>
      <c r="S473" s="168">
        <v>0</v>
      </c>
      <c r="T473" s="523">
        <v>0</v>
      </c>
    </row>
    <row r="474" spans="1:22">
      <c r="A474" s="168" t="s">
        <v>1397</v>
      </c>
      <c r="B474" s="455" t="s">
        <v>1549</v>
      </c>
      <c r="C474" s="455" t="s">
        <v>660</v>
      </c>
      <c r="D474" s="168" t="s">
        <v>1571</v>
      </c>
      <c r="E474" s="150">
        <v>0</v>
      </c>
      <c r="F474" s="456">
        <v>0</v>
      </c>
      <c r="G474" s="168">
        <v>0</v>
      </c>
      <c r="H474" s="168">
        <v>0</v>
      </c>
      <c r="N474" s="168" t="s">
        <v>1397</v>
      </c>
      <c r="O474" s="455" t="s">
        <v>1549</v>
      </c>
      <c r="P474" s="455" t="s">
        <v>660</v>
      </c>
      <c r="Q474" s="455"/>
      <c r="R474" s="455"/>
      <c r="S474" s="168">
        <v>0</v>
      </c>
      <c r="T474" s="523">
        <v>0</v>
      </c>
    </row>
    <row r="475" spans="1:22">
      <c r="A475" s="168" t="s">
        <v>1398</v>
      </c>
      <c r="B475" s="455" t="s">
        <v>1549</v>
      </c>
      <c r="C475" s="455" t="s">
        <v>767</v>
      </c>
      <c r="D475" s="168" t="s">
        <v>1571</v>
      </c>
      <c r="E475" s="150">
        <v>0</v>
      </c>
      <c r="F475" s="456">
        <v>0</v>
      </c>
      <c r="G475" s="168">
        <v>0</v>
      </c>
      <c r="H475" s="168">
        <v>0</v>
      </c>
      <c r="N475" s="168" t="s">
        <v>1398</v>
      </c>
      <c r="O475" s="455" t="s">
        <v>1549</v>
      </c>
      <c r="P475" s="455" t="s">
        <v>767</v>
      </c>
      <c r="Q475" s="455"/>
      <c r="R475" s="455"/>
      <c r="S475" s="168">
        <v>0</v>
      </c>
      <c r="T475" s="523">
        <v>0</v>
      </c>
    </row>
    <row r="476" spans="1:22">
      <c r="A476" s="168" t="s">
        <v>1399</v>
      </c>
      <c r="B476" s="455" t="s">
        <v>1549</v>
      </c>
      <c r="C476" s="455" t="s">
        <v>590</v>
      </c>
      <c r="D476" s="168" t="s">
        <v>1571</v>
      </c>
      <c r="E476" s="150">
        <v>0</v>
      </c>
      <c r="F476" s="456">
        <v>0</v>
      </c>
      <c r="G476" s="168">
        <v>4749.6000000000004</v>
      </c>
      <c r="H476" s="168">
        <v>4750</v>
      </c>
      <c r="N476" s="168" t="s">
        <v>1399</v>
      </c>
      <c r="O476" s="455" t="s">
        <v>1549</v>
      </c>
      <c r="P476" s="455" t="s">
        <v>590</v>
      </c>
      <c r="Q476" s="455">
        <v>198737</v>
      </c>
      <c r="R476" s="455">
        <v>198737</v>
      </c>
      <c r="S476" s="168">
        <v>3755.4</v>
      </c>
      <c r="T476" s="523">
        <v>3756</v>
      </c>
    </row>
    <row r="477" spans="1:22">
      <c r="A477" s="168" t="s">
        <v>1400</v>
      </c>
      <c r="B477" s="455" t="s">
        <v>1549</v>
      </c>
      <c r="C477" s="455" t="s">
        <v>590</v>
      </c>
      <c r="D477" s="168" t="s">
        <v>1571</v>
      </c>
      <c r="E477" s="150">
        <v>319519.44</v>
      </c>
      <c r="F477" s="456">
        <v>319600</v>
      </c>
      <c r="G477" s="168">
        <v>355786.54</v>
      </c>
      <c r="H477" s="168">
        <v>335787</v>
      </c>
      <c r="N477" s="168" t="s">
        <v>1400</v>
      </c>
      <c r="O477" s="455" t="s">
        <v>1549</v>
      </c>
      <c r="P477" s="455" t="s">
        <v>590</v>
      </c>
      <c r="Q477" s="455">
        <v>459039</v>
      </c>
      <c r="R477" s="455">
        <v>459039</v>
      </c>
      <c r="S477" s="168">
        <v>361517.35</v>
      </c>
      <c r="T477" s="523">
        <v>361518</v>
      </c>
    </row>
    <row r="478" spans="1:22">
      <c r="A478" s="168" t="s">
        <v>1401</v>
      </c>
      <c r="B478" s="455" t="s">
        <v>1549</v>
      </c>
      <c r="C478" s="455" t="s">
        <v>590</v>
      </c>
      <c r="D478" s="168" t="s">
        <v>1571</v>
      </c>
      <c r="E478" s="150">
        <v>18689.27</v>
      </c>
      <c r="F478" s="456">
        <v>18700</v>
      </c>
      <c r="G478" s="168">
        <v>23035.85</v>
      </c>
      <c r="H478" s="168">
        <v>23035</v>
      </c>
      <c r="N478" s="168" t="s">
        <v>1401</v>
      </c>
      <c r="O478" s="455" t="s">
        <v>1549</v>
      </c>
      <c r="P478" s="455" t="s">
        <v>590</v>
      </c>
      <c r="Q478" s="455">
        <v>22173</v>
      </c>
      <c r="R478" s="455">
        <v>22173</v>
      </c>
      <c r="S478" s="168">
        <v>23729.65</v>
      </c>
      <c r="T478" s="523">
        <v>23729</v>
      </c>
    </row>
    <row r="479" spans="1:22">
      <c r="A479" s="168" t="s">
        <v>1402</v>
      </c>
      <c r="B479" s="455" t="s">
        <v>1549</v>
      </c>
      <c r="C479" s="455" t="s">
        <v>590</v>
      </c>
      <c r="D479" s="168" t="s">
        <v>1571</v>
      </c>
      <c r="E479" s="150">
        <v>4391.1000000000004</v>
      </c>
      <c r="F479" s="456">
        <v>4400</v>
      </c>
      <c r="G479" s="168">
        <v>6974.88</v>
      </c>
      <c r="H479" s="168">
        <v>6975</v>
      </c>
      <c r="N479" s="168" t="s">
        <v>1402</v>
      </c>
      <c r="O479" s="455" t="s">
        <v>1549</v>
      </c>
      <c r="P479" s="455" t="s">
        <v>590</v>
      </c>
      <c r="Q479" s="455">
        <v>33925</v>
      </c>
      <c r="R479" s="455">
        <v>33925</v>
      </c>
      <c r="S479" s="168">
        <v>7718.37</v>
      </c>
      <c r="T479" s="523">
        <v>7719</v>
      </c>
    </row>
    <row r="480" spans="1:22">
      <c r="A480" s="168" t="s">
        <v>1403</v>
      </c>
      <c r="B480" s="455" t="s">
        <v>1549</v>
      </c>
      <c r="C480" s="455" t="s">
        <v>1807</v>
      </c>
      <c r="D480" s="168" t="s">
        <v>1571</v>
      </c>
      <c r="E480" s="150">
        <v>1417.6</v>
      </c>
      <c r="F480" s="456">
        <v>1420</v>
      </c>
      <c r="G480" s="168">
        <v>1569.75</v>
      </c>
      <c r="H480" s="168">
        <v>1570</v>
      </c>
      <c r="N480" s="168" t="s">
        <v>1403</v>
      </c>
      <c r="O480" s="455" t="s">
        <v>1549</v>
      </c>
      <c r="P480" s="455" t="s">
        <v>1807</v>
      </c>
      <c r="Q480" s="455">
        <v>1656</v>
      </c>
      <c r="R480" s="455">
        <v>1656</v>
      </c>
      <c r="S480" s="168">
        <v>1567.5</v>
      </c>
      <c r="T480" s="523">
        <v>1568</v>
      </c>
    </row>
    <row r="481" spans="1:23">
      <c r="A481" s="168" t="s">
        <v>1404</v>
      </c>
      <c r="B481" s="455" t="s">
        <v>1551</v>
      </c>
      <c r="C481" s="455" t="s">
        <v>592</v>
      </c>
      <c r="D481" s="168" t="s">
        <v>1571</v>
      </c>
      <c r="E481" s="150">
        <v>0</v>
      </c>
      <c r="F481" s="456">
        <v>4072</v>
      </c>
      <c r="G481" s="168">
        <v>1595922</v>
      </c>
      <c r="H481" s="168">
        <v>146492</v>
      </c>
      <c r="N481" s="168" t="s">
        <v>1404</v>
      </c>
      <c r="O481" s="455" t="s">
        <v>1551</v>
      </c>
      <c r="P481" s="455" t="s">
        <v>592</v>
      </c>
      <c r="Q481" s="455">
        <v>162748</v>
      </c>
      <c r="R481" s="455">
        <v>162748</v>
      </c>
      <c r="S481" s="168">
        <v>76125.100000000006</v>
      </c>
      <c r="T481" s="523">
        <v>162748</v>
      </c>
    </row>
    <row r="482" spans="1:23">
      <c r="A482" s="168" t="s">
        <v>2022</v>
      </c>
      <c r="B482" s="455" t="s">
        <v>1552</v>
      </c>
      <c r="C482" s="455" t="s">
        <v>595</v>
      </c>
      <c r="D482" s="168" t="s">
        <v>1571</v>
      </c>
      <c r="E482" s="150">
        <v>5419.69</v>
      </c>
      <c r="F482" s="456">
        <v>5450</v>
      </c>
      <c r="G482" s="168">
        <v>5292.68</v>
      </c>
      <c r="H482" s="168">
        <v>5292</v>
      </c>
      <c r="N482" s="168" t="s">
        <v>2022</v>
      </c>
      <c r="O482" s="455" t="s">
        <v>1552</v>
      </c>
      <c r="P482" s="455" t="s">
        <v>595</v>
      </c>
      <c r="Q482" s="455">
        <v>11122</v>
      </c>
      <c r="R482" s="455">
        <v>11122</v>
      </c>
      <c r="S482" s="168">
        <v>13902.54</v>
      </c>
      <c r="T482" s="523">
        <v>13902</v>
      </c>
    </row>
    <row r="483" spans="1:23">
      <c r="A483" s="168" t="s">
        <v>1163</v>
      </c>
      <c r="B483" s="455" t="s">
        <v>1552</v>
      </c>
      <c r="C483" s="455" t="s">
        <v>1164</v>
      </c>
      <c r="D483" s="168" t="s">
        <v>1571</v>
      </c>
      <c r="E483" s="150">
        <v>2935.88</v>
      </c>
      <c r="F483" s="456">
        <v>2950</v>
      </c>
      <c r="G483" s="168">
        <v>2105.7399999999998</v>
      </c>
      <c r="H483" s="168">
        <v>2105</v>
      </c>
      <c r="N483" s="168" t="s">
        <v>1163</v>
      </c>
      <c r="O483" s="455" t="s">
        <v>1552</v>
      </c>
      <c r="P483" s="455" t="s">
        <v>1164</v>
      </c>
      <c r="Q483" s="455">
        <v>10058</v>
      </c>
      <c r="R483" s="455">
        <v>10058</v>
      </c>
      <c r="S483" s="168">
        <v>0</v>
      </c>
      <c r="T483" s="523">
        <v>0</v>
      </c>
    </row>
    <row r="484" spans="1:23">
      <c r="A484" s="168" t="s">
        <v>1165</v>
      </c>
      <c r="B484" s="455" t="s">
        <v>1552</v>
      </c>
      <c r="C484" s="455" t="s">
        <v>1164</v>
      </c>
      <c r="D484" s="168" t="s">
        <v>1571</v>
      </c>
      <c r="E484" s="150">
        <v>55213.84</v>
      </c>
      <c r="F484" s="456">
        <v>58000</v>
      </c>
      <c r="G484" s="168">
        <v>46288.56</v>
      </c>
      <c r="H484" s="168">
        <v>46288</v>
      </c>
      <c r="N484" s="168" t="s">
        <v>1165</v>
      </c>
      <c r="O484" s="455" t="s">
        <v>1552</v>
      </c>
      <c r="P484" s="455" t="s">
        <v>1164</v>
      </c>
      <c r="Q484" s="455">
        <v>60348</v>
      </c>
      <c r="R484" s="455">
        <v>60348</v>
      </c>
      <c r="S484" s="168">
        <v>53520.67</v>
      </c>
      <c r="T484" s="523">
        <v>53521</v>
      </c>
    </row>
    <row r="485" spans="1:23">
      <c r="B485" s="455"/>
      <c r="E485" s="150"/>
      <c r="N485" s="561" t="s">
        <v>1166</v>
      </c>
      <c r="O485" s="455"/>
      <c r="P485" s="455"/>
      <c r="Q485" s="455">
        <v>1348014</v>
      </c>
      <c r="R485" s="455">
        <v>1348014</v>
      </c>
      <c r="T485" s="523"/>
    </row>
    <row r="486" spans="1:23">
      <c r="A486" s="168" t="s">
        <v>1166</v>
      </c>
      <c r="B486" s="455" t="s">
        <v>1552</v>
      </c>
      <c r="C486" s="455" t="s">
        <v>99</v>
      </c>
      <c r="D486" s="168" t="s">
        <v>1571</v>
      </c>
      <c r="E486" s="150">
        <v>1659287.46</v>
      </c>
      <c r="F486" s="456">
        <v>1672426</v>
      </c>
      <c r="G486" s="168">
        <v>2242968.2400000002</v>
      </c>
      <c r="H486" s="168">
        <v>2242968</v>
      </c>
      <c r="N486" s="168" t="s">
        <v>3472</v>
      </c>
      <c r="O486" s="455" t="s">
        <v>1552</v>
      </c>
      <c r="P486" s="455" t="s">
        <v>99</v>
      </c>
      <c r="Q486" s="455"/>
      <c r="R486" s="455"/>
      <c r="S486" s="168">
        <v>2472733.4900000002</v>
      </c>
      <c r="T486" s="523">
        <v>2472733</v>
      </c>
      <c r="W486" s="147"/>
    </row>
    <row r="487" spans="1:23">
      <c r="A487" s="168" t="s">
        <v>1167</v>
      </c>
      <c r="B487" s="455" t="s">
        <v>2469</v>
      </c>
      <c r="C487" s="455" t="s">
        <v>2315</v>
      </c>
      <c r="D487" s="168" t="s">
        <v>1571</v>
      </c>
      <c r="E487" s="150">
        <v>57930.75</v>
      </c>
      <c r="F487" s="456">
        <v>161309</v>
      </c>
      <c r="G487" s="168">
        <v>88033.8</v>
      </c>
      <c r="H487" s="168">
        <v>88034</v>
      </c>
      <c r="N487" s="168" t="s">
        <v>1167</v>
      </c>
      <c r="O487" s="455" t="s">
        <v>2469</v>
      </c>
      <c r="P487" s="455" t="s">
        <v>2315</v>
      </c>
      <c r="Q487" s="455">
        <v>302002</v>
      </c>
      <c r="R487" s="455">
        <v>302002</v>
      </c>
      <c r="S487" s="168">
        <v>43612.21</v>
      </c>
      <c r="T487" s="523">
        <v>43613</v>
      </c>
    </row>
    <row r="488" spans="1:23" s="147" customFormat="1">
      <c r="A488" s="147" t="s">
        <v>1168</v>
      </c>
      <c r="B488" s="148" t="s">
        <v>2469</v>
      </c>
      <c r="C488" s="148" t="s">
        <v>2333</v>
      </c>
      <c r="D488" s="147" t="s">
        <v>1571</v>
      </c>
      <c r="E488" s="151">
        <v>0</v>
      </c>
      <c r="F488" s="149">
        <v>229761</v>
      </c>
      <c r="G488" s="168">
        <v>0</v>
      </c>
      <c r="H488" s="168">
        <v>0</v>
      </c>
      <c r="N488" s="147" t="s">
        <v>1168</v>
      </c>
      <c r="O488" s="148" t="s">
        <v>2469</v>
      </c>
      <c r="P488" s="148" t="s">
        <v>2333</v>
      </c>
      <c r="Q488" s="148"/>
      <c r="R488" s="148"/>
      <c r="S488" s="168">
        <v>0</v>
      </c>
      <c r="T488" s="523">
        <v>0</v>
      </c>
      <c r="W488" s="168"/>
    </row>
    <row r="489" spans="1:23">
      <c r="A489" s="168" t="s">
        <v>1169</v>
      </c>
      <c r="B489" s="455" t="s">
        <v>1553</v>
      </c>
      <c r="C489" s="455" t="s">
        <v>99</v>
      </c>
      <c r="D489" s="168" t="s">
        <v>1571</v>
      </c>
      <c r="E489" s="150">
        <v>0</v>
      </c>
      <c r="F489" s="456">
        <v>0</v>
      </c>
      <c r="G489" s="168">
        <v>0</v>
      </c>
      <c r="H489" s="168">
        <v>0</v>
      </c>
      <c r="N489" s="168" t="s">
        <v>1169</v>
      </c>
      <c r="O489" s="455" t="s">
        <v>1553</v>
      </c>
      <c r="P489" s="455" t="s">
        <v>99</v>
      </c>
      <c r="Q489" s="455"/>
      <c r="R489" s="455"/>
      <c r="S489" s="168">
        <v>0</v>
      </c>
      <c r="T489" s="523">
        <v>0</v>
      </c>
    </row>
    <row r="490" spans="1:23">
      <c r="A490" s="168" t="s">
        <v>1170</v>
      </c>
      <c r="B490" s="455" t="s">
        <v>1553</v>
      </c>
      <c r="C490" s="455" t="s">
        <v>616</v>
      </c>
      <c r="D490" s="168" t="s">
        <v>1571</v>
      </c>
      <c r="E490" s="150">
        <v>35693.089999999997</v>
      </c>
      <c r="F490" s="456">
        <v>35904</v>
      </c>
      <c r="G490" s="168">
        <v>115002.87</v>
      </c>
      <c r="H490" s="168">
        <v>115002</v>
      </c>
      <c r="N490" s="168" t="s">
        <v>1170</v>
      </c>
      <c r="O490" s="455" t="s">
        <v>1553</v>
      </c>
      <c r="P490" s="455" t="s">
        <v>616</v>
      </c>
      <c r="Q490" s="455">
        <v>37478</v>
      </c>
      <c r="R490" s="455">
        <v>55000</v>
      </c>
      <c r="S490" s="168">
        <v>134610.22</v>
      </c>
      <c r="T490" s="523">
        <v>134610</v>
      </c>
    </row>
    <row r="491" spans="1:23">
      <c r="A491" s="168" t="s">
        <v>1171</v>
      </c>
      <c r="B491" s="455" t="s">
        <v>1553</v>
      </c>
      <c r="C491" s="455" t="s">
        <v>622</v>
      </c>
      <c r="D491" s="168" t="s">
        <v>1571</v>
      </c>
      <c r="E491" s="150">
        <v>81634.75</v>
      </c>
      <c r="F491" s="456">
        <v>82000</v>
      </c>
      <c r="G491" s="168">
        <v>98533</v>
      </c>
      <c r="H491" s="168">
        <v>98533</v>
      </c>
      <c r="N491" s="168" t="s">
        <v>1171</v>
      </c>
      <c r="O491" s="455" t="s">
        <v>1553</v>
      </c>
      <c r="P491" s="455" t="s">
        <v>622</v>
      </c>
      <c r="Q491" s="455">
        <v>100580</v>
      </c>
      <c r="R491" s="455">
        <v>100580</v>
      </c>
      <c r="S491" s="168">
        <v>116532.57</v>
      </c>
      <c r="T491" s="523">
        <v>116532</v>
      </c>
    </row>
    <row r="492" spans="1:23">
      <c r="A492" s="168" t="s">
        <v>1172</v>
      </c>
      <c r="B492" s="455" t="s">
        <v>1553</v>
      </c>
      <c r="C492" s="455" t="s">
        <v>2322</v>
      </c>
      <c r="D492" s="168" t="s">
        <v>1571</v>
      </c>
      <c r="E492" s="150">
        <v>8511.2800000000007</v>
      </c>
      <c r="F492" s="456">
        <v>8511</v>
      </c>
      <c r="G492" s="168">
        <v>0</v>
      </c>
      <c r="H492" s="168">
        <v>0</v>
      </c>
      <c r="N492" s="168" t="s">
        <v>1172</v>
      </c>
      <c r="O492" s="455" t="s">
        <v>1553</v>
      </c>
      <c r="P492" s="455" t="s">
        <v>2322</v>
      </c>
      <c r="Q492" s="455">
        <v>8937</v>
      </c>
      <c r="R492" s="455">
        <v>8937</v>
      </c>
      <c r="S492" s="168">
        <v>0</v>
      </c>
      <c r="T492" s="523">
        <v>0</v>
      </c>
    </row>
    <row r="493" spans="1:23">
      <c r="A493" s="168" t="s">
        <v>1173</v>
      </c>
      <c r="B493" s="455" t="s">
        <v>1553</v>
      </c>
      <c r="C493" s="455" t="s">
        <v>624</v>
      </c>
      <c r="D493" s="168" t="s">
        <v>1571</v>
      </c>
      <c r="E493" s="150">
        <v>3763</v>
      </c>
      <c r="F493" s="456">
        <v>4326</v>
      </c>
      <c r="G493" s="168">
        <v>2243</v>
      </c>
      <c r="H493" s="168">
        <v>2243</v>
      </c>
      <c r="N493" s="168" t="s">
        <v>1173</v>
      </c>
      <c r="O493" s="455" t="s">
        <v>1553</v>
      </c>
      <c r="P493" s="455" t="s">
        <v>624</v>
      </c>
      <c r="Q493" s="455">
        <v>4351</v>
      </c>
      <c r="R493" s="455">
        <v>3000</v>
      </c>
      <c r="S493" s="168">
        <v>1134</v>
      </c>
      <c r="T493" s="523">
        <v>1134</v>
      </c>
    </row>
    <row r="494" spans="1:23">
      <c r="A494" s="168" t="s">
        <v>1174</v>
      </c>
      <c r="B494" s="455" t="s">
        <v>1553</v>
      </c>
      <c r="C494" s="455" t="s">
        <v>633</v>
      </c>
      <c r="D494" s="168" t="s">
        <v>1571</v>
      </c>
      <c r="E494" s="150">
        <v>0</v>
      </c>
      <c r="F494" s="456">
        <v>0</v>
      </c>
      <c r="G494" s="168">
        <v>126.55</v>
      </c>
      <c r="H494" s="168">
        <v>126</v>
      </c>
      <c r="N494" s="168" t="s">
        <v>1174</v>
      </c>
      <c r="O494" s="455" t="s">
        <v>1553</v>
      </c>
      <c r="P494" s="455" t="s">
        <v>633</v>
      </c>
      <c r="Q494" s="455">
        <v>209</v>
      </c>
      <c r="R494" s="455">
        <v>209</v>
      </c>
      <c r="S494" s="168">
        <v>0</v>
      </c>
      <c r="T494" s="523">
        <v>0</v>
      </c>
    </row>
    <row r="495" spans="1:23">
      <c r="A495" s="168" t="s">
        <v>1175</v>
      </c>
      <c r="B495" s="455" t="s">
        <v>1553</v>
      </c>
      <c r="C495" s="455" t="s">
        <v>253</v>
      </c>
      <c r="D495" s="168" t="s">
        <v>1571</v>
      </c>
      <c r="E495" s="150">
        <v>63885.599999999999</v>
      </c>
      <c r="F495" s="456">
        <v>85000</v>
      </c>
      <c r="G495" s="168">
        <v>72110.73</v>
      </c>
      <c r="H495" s="168">
        <v>72110</v>
      </c>
      <c r="N495" s="168" t="s">
        <v>1175</v>
      </c>
      <c r="O495" s="455" t="s">
        <v>1553</v>
      </c>
      <c r="P495" s="455" t="s">
        <v>253</v>
      </c>
      <c r="Q495" s="455">
        <v>67080</v>
      </c>
      <c r="R495" s="455">
        <v>40000</v>
      </c>
      <c r="S495" s="168">
        <v>71332.06</v>
      </c>
      <c r="T495" s="523">
        <v>71332</v>
      </c>
    </row>
    <row r="496" spans="1:23">
      <c r="A496" s="168" t="s">
        <v>2708</v>
      </c>
      <c r="B496" s="455"/>
      <c r="E496" s="150"/>
      <c r="G496" s="168">
        <v>898.87</v>
      </c>
      <c r="H496" s="168">
        <v>898</v>
      </c>
      <c r="N496" s="168" t="s">
        <v>2708</v>
      </c>
      <c r="O496" s="455"/>
      <c r="P496" s="455"/>
      <c r="Q496" s="455"/>
      <c r="R496" s="455"/>
      <c r="S496" s="168">
        <v>985.7</v>
      </c>
      <c r="T496" s="523">
        <v>985</v>
      </c>
    </row>
    <row r="497" spans="1:22">
      <c r="A497" s="168" t="s">
        <v>1176</v>
      </c>
      <c r="B497" s="455" t="s">
        <v>1553</v>
      </c>
      <c r="C497" s="455" t="s">
        <v>52</v>
      </c>
      <c r="D497" s="168" t="s">
        <v>1571</v>
      </c>
      <c r="E497" s="150">
        <v>0</v>
      </c>
      <c r="F497" s="456">
        <v>0</v>
      </c>
      <c r="G497" s="168">
        <v>0</v>
      </c>
      <c r="H497" s="168">
        <v>0</v>
      </c>
      <c r="N497" s="168" t="s">
        <v>1176</v>
      </c>
      <c r="O497" s="455" t="s">
        <v>1553</v>
      </c>
      <c r="P497" s="455" t="s">
        <v>52</v>
      </c>
      <c r="Q497" s="455">
        <v>1351</v>
      </c>
      <c r="R497" s="455"/>
      <c r="S497" s="168">
        <v>0</v>
      </c>
      <c r="T497" s="523">
        <v>0</v>
      </c>
    </row>
    <row r="498" spans="1:22">
      <c r="A498" s="168" t="s">
        <v>1177</v>
      </c>
      <c r="B498" s="455" t="s">
        <v>1553</v>
      </c>
      <c r="C498" s="455" t="s">
        <v>52</v>
      </c>
      <c r="D498" s="168" t="s">
        <v>1571</v>
      </c>
      <c r="E498" s="150">
        <v>6511.03</v>
      </c>
      <c r="F498" s="456">
        <v>6600</v>
      </c>
      <c r="G498" s="168">
        <v>702.05</v>
      </c>
      <c r="H498" s="168">
        <v>702</v>
      </c>
      <c r="N498" s="168" t="s">
        <v>1177</v>
      </c>
      <c r="O498" s="455" t="s">
        <v>1553</v>
      </c>
      <c r="P498" s="455" t="s">
        <v>52</v>
      </c>
      <c r="Q498" s="455">
        <v>6837</v>
      </c>
      <c r="R498" s="455">
        <v>6837</v>
      </c>
      <c r="S498" s="168">
        <v>0</v>
      </c>
      <c r="T498" s="523">
        <v>0</v>
      </c>
    </row>
    <row r="499" spans="1:22">
      <c r="A499" s="168" t="s">
        <v>1178</v>
      </c>
      <c r="B499" s="455" t="s">
        <v>1553</v>
      </c>
      <c r="C499" s="455" t="s">
        <v>1179</v>
      </c>
      <c r="D499" s="168" t="s">
        <v>1571</v>
      </c>
      <c r="E499" s="150">
        <v>0</v>
      </c>
      <c r="F499" s="456">
        <v>0</v>
      </c>
      <c r="G499" s="168">
        <v>0</v>
      </c>
      <c r="H499" s="168">
        <v>0</v>
      </c>
      <c r="N499" s="168" t="s">
        <v>1178</v>
      </c>
      <c r="O499" s="455" t="s">
        <v>1553</v>
      </c>
      <c r="P499" s="455" t="s">
        <v>1179</v>
      </c>
      <c r="Q499" s="455"/>
      <c r="R499" s="455"/>
      <c r="S499" s="168">
        <v>0</v>
      </c>
      <c r="T499" s="523">
        <v>0</v>
      </c>
    </row>
    <row r="500" spans="1:22">
      <c r="A500" s="168" t="s">
        <v>1180</v>
      </c>
      <c r="B500" s="455" t="s">
        <v>1553</v>
      </c>
      <c r="C500" s="455" t="s">
        <v>461</v>
      </c>
      <c r="D500" s="168" t="s">
        <v>1571</v>
      </c>
      <c r="E500" s="150">
        <v>0</v>
      </c>
      <c r="F500" s="456">
        <v>0</v>
      </c>
      <c r="G500" s="168">
        <v>0</v>
      </c>
      <c r="H500" s="168">
        <v>0</v>
      </c>
      <c r="N500" s="168" t="s">
        <v>1180</v>
      </c>
      <c r="O500" s="455" t="s">
        <v>1553</v>
      </c>
      <c r="P500" s="455" t="s">
        <v>461</v>
      </c>
      <c r="Q500" s="455"/>
      <c r="R500" s="455"/>
      <c r="S500" s="168">
        <v>0</v>
      </c>
      <c r="T500" s="523">
        <v>0</v>
      </c>
    </row>
    <row r="501" spans="1:22" ht="15.75" thickBot="1">
      <c r="A501" s="168" t="s">
        <v>1181</v>
      </c>
      <c r="B501" s="455" t="s">
        <v>1553</v>
      </c>
      <c r="C501" s="455" t="s">
        <v>1389</v>
      </c>
      <c r="D501" s="168" t="s">
        <v>1571</v>
      </c>
      <c r="E501" s="150">
        <v>0</v>
      </c>
      <c r="F501" s="456">
        <v>0</v>
      </c>
      <c r="G501" s="168">
        <v>0</v>
      </c>
      <c r="H501" s="168">
        <v>0</v>
      </c>
      <c r="K501" s="168" t="s">
        <v>45</v>
      </c>
      <c r="N501" s="168" t="s">
        <v>1181</v>
      </c>
      <c r="O501" s="455" t="s">
        <v>1553</v>
      </c>
      <c r="P501" s="455" t="s">
        <v>1389</v>
      </c>
      <c r="Q501" s="455"/>
      <c r="R501" s="455"/>
      <c r="S501" s="168">
        <v>0</v>
      </c>
      <c r="T501" s="523">
        <v>0</v>
      </c>
      <c r="U501" s="168" t="s">
        <v>45</v>
      </c>
    </row>
    <row r="502" spans="1:22" ht="16.5" thickTop="1" thickBot="1">
      <c r="A502" s="554" t="s">
        <v>2668</v>
      </c>
      <c r="B502" s="555"/>
      <c r="C502" s="555"/>
      <c r="D502" s="556"/>
      <c r="E502" s="560">
        <f>SUM(E469:E501)</f>
        <v>4168816.3199999994</v>
      </c>
      <c r="F502" s="560">
        <f>SUM(F469:F501)</f>
        <v>4554591</v>
      </c>
      <c r="G502" s="560">
        <f>SUM(G469:G501)</f>
        <v>6925742.1200000001</v>
      </c>
      <c r="H502" s="560">
        <f>SUM(H469:H501)</f>
        <v>5456308</v>
      </c>
      <c r="K502" s="168" t="s">
        <v>45</v>
      </c>
      <c r="N502" s="554" t="s">
        <v>2668</v>
      </c>
      <c r="O502" s="555"/>
      <c r="P502" s="555"/>
      <c r="Q502" s="555">
        <f>SUM(Q469:Q501)</f>
        <v>5501430</v>
      </c>
      <c r="R502" s="555">
        <f>SUM(R469:R501)</f>
        <v>5489170</v>
      </c>
      <c r="S502" s="560">
        <f>SUM(S469:S501)</f>
        <v>5688056.0199999996</v>
      </c>
      <c r="T502" s="558">
        <f>SUM(T469:T501)</f>
        <v>5774680</v>
      </c>
      <c r="U502" s="168">
        <f>SUM(S502)</f>
        <v>5688056.0199999996</v>
      </c>
      <c r="V502" s="168">
        <f>SUM(T502)</f>
        <v>5774680</v>
      </c>
    </row>
    <row r="503" spans="1:22" ht="15.75" thickTop="1">
      <c r="B503" s="455"/>
      <c r="E503" s="150"/>
      <c r="K503" s="168" t="s">
        <v>45</v>
      </c>
      <c r="O503" s="455"/>
      <c r="P503" s="455"/>
      <c r="Q503" s="455"/>
      <c r="R503" s="455"/>
      <c r="T503" s="523"/>
      <c r="U503" s="603">
        <f>SUM(U467:U502)</f>
        <v>671138.37999999989</v>
      </c>
      <c r="V503" s="603">
        <f>SUM(V467:V502)</f>
        <v>1799511</v>
      </c>
    </row>
    <row r="504" spans="1:22">
      <c r="A504" s="168" t="s">
        <v>1182</v>
      </c>
      <c r="B504" s="455" t="s">
        <v>1549</v>
      </c>
      <c r="C504" s="455" t="s">
        <v>75</v>
      </c>
      <c r="D504" s="168" t="s">
        <v>1572</v>
      </c>
      <c r="E504" s="150">
        <v>305431.32</v>
      </c>
      <c r="F504" s="456">
        <v>643587</v>
      </c>
      <c r="G504" s="168">
        <v>411376.33</v>
      </c>
      <c r="H504" s="168">
        <v>411377</v>
      </c>
      <c r="N504" s="168" t="s">
        <v>1182</v>
      </c>
      <c r="O504" s="455" t="s">
        <v>1549</v>
      </c>
      <c r="P504" s="455" t="s">
        <v>75</v>
      </c>
      <c r="Q504" s="455">
        <v>1373700</v>
      </c>
      <c r="R504" s="455">
        <v>1373700</v>
      </c>
      <c r="S504" s="168">
        <v>547393.18999999994</v>
      </c>
      <c r="T504" s="523">
        <v>547394</v>
      </c>
    </row>
    <row r="505" spans="1:22">
      <c r="A505" s="168" t="s">
        <v>1183</v>
      </c>
      <c r="B505" s="455" t="s">
        <v>1549</v>
      </c>
      <c r="C505" s="455" t="s">
        <v>77</v>
      </c>
      <c r="D505" s="168" t="s">
        <v>1572</v>
      </c>
      <c r="E505" s="150">
        <v>381.93</v>
      </c>
      <c r="F505" s="456">
        <v>400</v>
      </c>
      <c r="G505" s="168">
        <v>7671.38</v>
      </c>
      <c r="H505" s="168">
        <v>7671</v>
      </c>
      <c r="N505" s="168" t="s">
        <v>1183</v>
      </c>
      <c r="O505" s="455" t="s">
        <v>1549</v>
      </c>
      <c r="P505" s="455" t="s">
        <v>77</v>
      </c>
      <c r="Q505" s="455">
        <v>18000</v>
      </c>
      <c r="R505" s="455">
        <v>18000</v>
      </c>
      <c r="S505" s="168">
        <v>2754.34</v>
      </c>
      <c r="T505" s="523">
        <v>2755</v>
      </c>
    </row>
    <row r="506" spans="1:22">
      <c r="A506" s="168" t="s">
        <v>1184</v>
      </c>
      <c r="B506" s="455" t="s">
        <v>1549</v>
      </c>
      <c r="C506" s="455" t="s">
        <v>60</v>
      </c>
      <c r="D506" s="168" t="s">
        <v>1572</v>
      </c>
      <c r="E506" s="150">
        <v>41614.32</v>
      </c>
      <c r="F506" s="456">
        <v>102891</v>
      </c>
      <c r="G506" s="168">
        <v>40410.730000000003</v>
      </c>
      <c r="H506" s="168">
        <v>40411</v>
      </c>
      <c r="N506" s="168" t="s">
        <v>1184</v>
      </c>
      <c r="O506" s="455" t="s">
        <v>1549</v>
      </c>
      <c r="P506" s="455" t="s">
        <v>60</v>
      </c>
      <c r="Q506" s="455">
        <v>44733</v>
      </c>
      <c r="R506" s="455">
        <v>44733</v>
      </c>
      <c r="S506" s="168">
        <v>51951.23</v>
      </c>
      <c r="T506" s="523">
        <v>51951</v>
      </c>
    </row>
    <row r="507" spans="1:22">
      <c r="B507" s="455"/>
      <c r="E507" s="150"/>
      <c r="N507" s="168" t="s">
        <v>3735</v>
      </c>
      <c r="O507" s="455"/>
      <c r="P507" s="455"/>
      <c r="Q507" s="455">
        <v>50000</v>
      </c>
      <c r="R507" s="455">
        <v>50000</v>
      </c>
      <c r="T507" s="523"/>
    </row>
    <row r="508" spans="1:22">
      <c r="A508" s="168" t="s">
        <v>1185</v>
      </c>
      <c r="B508" s="455" t="s">
        <v>1549</v>
      </c>
      <c r="C508" s="455" t="s">
        <v>515</v>
      </c>
      <c r="D508" s="168" t="s">
        <v>1572</v>
      </c>
      <c r="E508" s="150">
        <v>40854.54</v>
      </c>
      <c r="F508" s="456">
        <v>40855</v>
      </c>
      <c r="G508" s="168">
        <v>45946.14</v>
      </c>
      <c r="H508" s="168">
        <v>45947</v>
      </c>
      <c r="N508" s="168" t="s">
        <v>1185</v>
      </c>
      <c r="O508" s="455" t="s">
        <v>1549</v>
      </c>
      <c r="P508" s="455" t="s">
        <v>515</v>
      </c>
      <c r="Q508" s="455"/>
      <c r="R508" s="455"/>
      <c r="S508" s="168">
        <v>31715.599999999999</v>
      </c>
      <c r="T508" s="523">
        <v>31716</v>
      </c>
    </row>
    <row r="509" spans="1:22">
      <c r="A509" s="168" t="s">
        <v>1186</v>
      </c>
      <c r="B509" s="455" t="s">
        <v>1549</v>
      </c>
      <c r="C509" s="455" t="s">
        <v>660</v>
      </c>
      <c r="D509" s="168" t="s">
        <v>1572</v>
      </c>
      <c r="E509" s="150">
        <v>0</v>
      </c>
      <c r="F509" s="456">
        <v>0</v>
      </c>
      <c r="G509" s="168">
        <v>0</v>
      </c>
      <c r="H509" s="168">
        <v>0</v>
      </c>
      <c r="N509" s="168" t="s">
        <v>1186</v>
      </c>
      <c r="O509" s="455" t="s">
        <v>1549</v>
      </c>
      <c r="P509" s="455" t="s">
        <v>660</v>
      </c>
      <c r="Q509" s="455"/>
      <c r="R509" s="455"/>
      <c r="S509" s="168">
        <v>0</v>
      </c>
      <c r="T509" s="523">
        <v>0</v>
      </c>
    </row>
    <row r="510" spans="1:22">
      <c r="A510" s="168" t="s">
        <v>1187</v>
      </c>
      <c r="B510" s="455" t="s">
        <v>1549</v>
      </c>
      <c r="C510" s="455" t="s">
        <v>767</v>
      </c>
      <c r="D510" s="168" t="s">
        <v>1572</v>
      </c>
      <c r="E510" s="150">
        <v>7068</v>
      </c>
      <c r="F510" s="456">
        <v>7100</v>
      </c>
      <c r="G510" s="168">
        <v>8244</v>
      </c>
      <c r="H510" s="168">
        <v>8244</v>
      </c>
      <c r="N510" s="168" t="s">
        <v>1187</v>
      </c>
      <c r="O510" s="455" t="s">
        <v>1549</v>
      </c>
      <c r="P510" s="455" t="s">
        <v>767</v>
      </c>
      <c r="Q510" s="455">
        <v>24732</v>
      </c>
      <c r="R510" s="455">
        <v>24732</v>
      </c>
      <c r="S510" s="168">
        <v>6867</v>
      </c>
      <c r="T510" s="523">
        <v>6867</v>
      </c>
    </row>
    <row r="511" spans="1:22">
      <c r="A511" s="168" t="s">
        <v>1188</v>
      </c>
      <c r="B511" s="455" t="s">
        <v>1549</v>
      </c>
      <c r="C511" s="455" t="s">
        <v>84</v>
      </c>
      <c r="D511" s="168" t="s">
        <v>1572</v>
      </c>
      <c r="E511" s="150">
        <v>190579.08</v>
      </c>
      <c r="F511" s="456">
        <v>200000</v>
      </c>
      <c r="G511" s="168">
        <v>176657.59</v>
      </c>
      <c r="H511" s="168">
        <v>176657</v>
      </c>
      <c r="N511" s="168" t="s">
        <v>1188</v>
      </c>
      <c r="O511" s="455" t="s">
        <v>1549</v>
      </c>
      <c r="P511" s="455" t="s">
        <v>84</v>
      </c>
      <c r="Q511" s="455">
        <v>200108</v>
      </c>
      <c r="R511" s="455">
        <v>200108</v>
      </c>
      <c r="S511" s="168">
        <v>181259.48</v>
      </c>
      <c r="T511" s="523">
        <v>181260</v>
      </c>
    </row>
    <row r="512" spans="1:22">
      <c r="B512" s="455"/>
      <c r="E512" s="150"/>
      <c r="N512" s="168" t="s">
        <v>3473</v>
      </c>
      <c r="O512" s="455"/>
      <c r="P512" s="455"/>
      <c r="Q512" s="455"/>
      <c r="R512" s="455"/>
      <c r="S512" s="168">
        <v>1306.25</v>
      </c>
      <c r="T512" s="523">
        <v>1306</v>
      </c>
    </row>
    <row r="513" spans="1:20">
      <c r="A513" s="168" t="s">
        <v>2542</v>
      </c>
      <c r="B513" s="455" t="s">
        <v>1549</v>
      </c>
      <c r="C513" s="455" t="s">
        <v>590</v>
      </c>
      <c r="D513" s="168" t="s">
        <v>1572</v>
      </c>
      <c r="E513" s="150">
        <v>26149.39</v>
      </c>
      <c r="F513" s="456">
        <v>26200</v>
      </c>
      <c r="G513" s="168">
        <v>34797.410000000003</v>
      </c>
      <c r="H513" s="168">
        <v>34798</v>
      </c>
      <c r="N513" s="168" t="s">
        <v>2542</v>
      </c>
      <c r="O513" s="455" t="s">
        <v>1549</v>
      </c>
      <c r="P513" s="455" t="s">
        <v>590</v>
      </c>
      <c r="Q513" s="455">
        <v>76948</v>
      </c>
      <c r="R513" s="455">
        <v>76948</v>
      </c>
      <c r="S513" s="168">
        <v>59591.35</v>
      </c>
      <c r="T513" s="523">
        <v>59592</v>
      </c>
    </row>
    <row r="514" spans="1:20">
      <c r="A514" s="168" t="s">
        <v>2543</v>
      </c>
      <c r="B514" s="455" t="s">
        <v>1549</v>
      </c>
      <c r="C514" s="455" t="s">
        <v>590</v>
      </c>
      <c r="D514" s="168" t="s">
        <v>1572</v>
      </c>
      <c r="E514" s="150">
        <v>63148.2</v>
      </c>
      <c r="F514" s="456">
        <v>63200</v>
      </c>
      <c r="G514" s="168">
        <v>58343.94</v>
      </c>
      <c r="H514" s="168">
        <v>58344</v>
      </c>
      <c r="N514" s="168" t="s">
        <v>2543</v>
      </c>
      <c r="O514" s="455" t="s">
        <v>1549</v>
      </c>
      <c r="P514" s="455" t="s">
        <v>590</v>
      </c>
      <c r="Q514" s="455">
        <v>118096</v>
      </c>
      <c r="R514" s="455">
        <v>118096</v>
      </c>
      <c r="S514" s="168">
        <v>73418.05</v>
      </c>
      <c r="T514" s="523">
        <v>73419</v>
      </c>
    </row>
    <row r="515" spans="1:20">
      <c r="A515" s="168" t="s">
        <v>2544</v>
      </c>
      <c r="B515" s="455" t="s">
        <v>1549</v>
      </c>
      <c r="C515" s="455" t="s">
        <v>590</v>
      </c>
      <c r="D515" s="168" t="s">
        <v>1572</v>
      </c>
      <c r="E515" s="150">
        <v>3798.2</v>
      </c>
      <c r="F515" s="456">
        <v>3800</v>
      </c>
      <c r="G515" s="168">
        <v>458.73</v>
      </c>
      <c r="H515" s="168">
        <v>459</v>
      </c>
      <c r="N515" s="168" t="s">
        <v>2544</v>
      </c>
      <c r="O515" s="455" t="s">
        <v>1549</v>
      </c>
      <c r="P515" s="455" t="s">
        <v>590</v>
      </c>
      <c r="Q515" s="455">
        <v>5368</v>
      </c>
      <c r="R515" s="455">
        <v>5368</v>
      </c>
      <c r="S515" s="168">
        <v>715.32</v>
      </c>
      <c r="T515" s="523">
        <v>716</v>
      </c>
    </row>
    <row r="516" spans="1:20">
      <c r="A516" s="168" t="s">
        <v>2545</v>
      </c>
      <c r="B516" s="455" t="s">
        <v>1549</v>
      </c>
      <c r="C516" s="455" t="s">
        <v>590</v>
      </c>
      <c r="D516" s="168" t="s">
        <v>1572</v>
      </c>
      <c r="E516" s="150">
        <v>4362.93</v>
      </c>
      <c r="F516" s="456">
        <v>4400</v>
      </c>
      <c r="G516" s="168">
        <v>317.76</v>
      </c>
      <c r="H516" s="168">
        <v>318</v>
      </c>
      <c r="N516" s="168" t="s">
        <v>2545</v>
      </c>
      <c r="O516" s="455" t="s">
        <v>1549</v>
      </c>
      <c r="P516" s="455" t="s">
        <v>590</v>
      </c>
      <c r="Q516" s="455">
        <v>2765</v>
      </c>
      <c r="R516" s="455">
        <v>2765</v>
      </c>
      <c r="S516" s="168">
        <v>1165.75</v>
      </c>
      <c r="T516" s="523">
        <v>1166</v>
      </c>
    </row>
    <row r="517" spans="1:20">
      <c r="A517" s="168" t="s">
        <v>2546</v>
      </c>
      <c r="B517" s="455" t="s">
        <v>1549</v>
      </c>
      <c r="C517" s="455" t="s">
        <v>1807</v>
      </c>
      <c r="D517" s="168" t="s">
        <v>1572</v>
      </c>
      <c r="E517" s="150">
        <v>118.4</v>
      </c>
      <c r="F517" s="456">
        <v>210</v>
      </c>
      <c r="G517" s="168">
        <v>117.99</v>
      </c>
      <c r="H517" s="168">
        <v>118</v>
      </c>
      <c r="N517" s="168" t="s">
        <v>2546</v>
      </c>
      <c r="O517" s="455" t="s">
        <v>1549</v>
      </c>
      <c r="P517" s="455" t="s">
        <v>1807</v>
      </c>
      <c r="Q517" s="455">
        <v>248</v>
      </c>
      <c r="R517" s="455">
        <v>248</v>
      </c>
      <c r="S517" s="168">
        <v>142.74</v>
      </c>
      <c r="T517" s="523">
        <v>143</v>
      </c>
    </row>
    <row r="518" spans="1:20">
      <c r="A518" s="168" t="s">
        <v>2547</v>
      </c>
      <c r="B518" s="455" t="s">
        <v>1551</v>
      </c>
      <c r="C518" s="455" t="s">
        <v>592</v>
      </c>
      <c r="D518" s="168" t="s">
        <v>1572</v>
      </c>
      <c r="E518" s="150">
        <v>0</v>
      </c>
      <c r="F518" s="456">
        <v>9383</v>
      </c>
      <c r="G518" s="168">
        <v>0</v>
      </c>
      <c r="H518" s="168">
        <v>0</v>
      </c>
      <c r="N518" s="168" t="s">
        <v>2547</v>
      </c>
      <c r="O518" s="455" t="s">
        <v>1551</v>
      </c>
      <c r="P518" s="455" t="s">
        <v>592</v>
      </c>
      <c r="Q518" s="455">
        <v>33928</v>
      </c>
      <c r="R518" s="455">
        <v>33928</v>
      </c>
      <c r="S518" s="168">
        <v>117055.69</v>
      </c>
      <c r="T518" s="523">
        <v>33928</v>
      </c>
    </row>
    <row r="519" spans="1:20">
      <c r="A519" s="168" t="s">
        <v>2548</v>
      </c>
      <c r="B519" s="455" t="s">
        <v>1552</v>
      </c>
      <c r="C519" s="455" t="s">
        <v>2326</v>
      </c>
      <c r="D519" s="168" t="s">
        <v>1572</v>
      </c>
      <c r="E519" s="150">
        <v>0</v>
      </c>
      <c r="F519" s="456">
        <v>0</v>
      </c>
      <c r="G519" s="168">
        <v>0</v>
      </c>
      <c r="H519" s="168">
        <v>0</v>
      </c>
      <c r="N519" s="168" t="s">
        <v>2548</v>
      </c>
      <c r="O519" s="455" t="s">
        <v>1552</v>
      </c>
      <c r="P519" s="455" t="s">
        <v>2326</v>
      </c>
      <c r="Q519" s="455">
        <v>9679</v>
      </c>
      <c r="R519" s="455">
        <v>500</v>
      </c>
      <c r="S519" s="168">
        <v>0</v>
      </c>
      <c r="T519" s="523">
        <v>0</v>
      </c>
    </row>
    <row r="520" spans="1:20">
      <c r="A520" s="168" t="s">
        <v>2549</v>
      </c>
      <c r="B520" s="455" t="s">
        <v>1552</v>
      </c>
      <c r="C520" s="455" t="s">
        <v>595</v>
      </c>
      <c r="D520" s="168" t="s">
        <v>1572</v>
      </c>
      <c r="E520" s="150">
        <v>9218.16</v>
      </c>
      <c r="F520" s="456">
        <v>9300</v>
      </c>
      <c r="G520" s="168">
        <v>125.43</v>
      </c>
      <c r="H520" s="168">
        <v>125</v>
      </c>
      <c r="N520" s="168" t="s">
        <v>2549</v>
      </c>
      <c r="O520" s="455" t="s">
        <v>1552</v>
      </c>
      <c r="P520" s="455" t="s">
        <v>595</v>
      </c>
      <c r="Q520" s="455">
        <v>3444</v>
      </c>
      <c r="R520" s="455">
        <v>3444</v>
      </c>
      <c r="S520" s="168">
        <v>132.53</v>
      </c>
      <c r="T520" s="523">
        <v>133</v>
      </c>
    </row>
    <row r="521" spans="1:20">
      <c r="B521" s="455"/>
      <c r="E521" s="150"/>
      <c r="N521" s="561" t="s">
        <v>3738</v>
      </c>
      <c r="O521" s="455"/>
      <c r="P521" s="455"/>
      <c r="Q521" s="455">
        <v>963250</v>
      </c>
      <c r="R521" s="455">
        <v>963250</v>
      </c>
      <c r="T521" s="523"/>
    </row>
    <row r="522" spans="1:20">
      <c r="A522" s="168" t="s">
        <v>2550</v>
      </c>
      <c r="B522" s="455" t="s">
        <v>1552</v>
      </c>
      <c r="C522" s="455" t="s">
        <v>545</v>
      </c>
      <c r="D522" s="168" t="s">
        <v>1572</v>
      </c>
      <c r="E522" s="150">
        <v>10</v>
      </c>
      <c r="F522" s="456">
        <v>15</v>
      </c>
      <c r="G522" s="168">
        <v>241.35</v>
      </c>
      <c r="H522" s="168">
        <v>242</v>
      </c>
      <c r="N522" s="168" t="s">
        <v>2550</v>
      </c>
      <c r="O522" s="455" t="s">
        <v>1552</v>
      </c>
      <c r="P522" s="455" t="s">
        <v>545</v>
      </c>
      <c r="Q522" s="455">
        <v>8200</v>
      </c>
      <c r="R522" s="455">
        <v>2500</v>
      </c>
      <c r="S522" s="168">
        <v>251.73</v>
      </c>
      <c r="T522" s="523">
        <v>252</v>
      </c>
    </row>
    <row r="523" spans="1:20">
      <c r="B523" s="455"/>
      <c r="E523" s="150"/>
      <c r="N523" s="168" t="s">
        <v>3736</v>
      </c>
      <c r="O523" s="455"/>
      <c r="P523" s="455"/>
      <c r="Q523" s="455">
        <v>1472</v>
      </c>
      <c r="R523" s="455">
        <v>811</v>
      </c>
      <c r="T523" s="523"/>
    </row>
    <row r="524" spans="1:20">
      <c r="A524" s="168" t="s">
        <v>2551</v>
      </c>
      <c r="B524" s="455" t="s">
        <v>1553</v>
      </c>
      <c r="C524" s="455" t="s">
        <v>612</v>
      </c>
      <c r="D524" s="168" t="s">
        <v>1572</v>
      </c>
      <c r="E524" s="150">
        <v>11228.28</v>
      </c>
      <c r="F524" s="456">
        <v>11500</v>
      </c>
      <c r="G524" s="168">
        <v>335662.86</v>
      </c>
      <c r="H524" s="168">
        <v>335662</v>
      </c>
      <c r="N524" s="168" t="s">
        <v>2551</v>
      </c>
      <c r="O524" s="455" t="s">
        <v>1553</v>
      </c>
      <c r="P524" s="455" t="s">
        <v>612</v>
      </c>
      <c r="Q524" s="455">
        <v>11228</v>
      </c>
      <c r="R524" s="455">
        <v>5000</v>
      </c>
      <c r="S524" s="168">
        <v>0</v>
      </c>
      <c r="T524" s="523">
        <v>0</v>
      </c>
    </row>
    <row r="525" spans="1:20">
      <c r="A525" s="168" t="s">
        <v>2552</v>
      </c>
      <c r="B525" s="455" t="s">
        <v>1553</v>
      </c>
      <c r="C525" s="455" t="s">
        <v>616</v>
      </c>
      <c r="D525" s="168" t="s">
        <v>1572</v>
      </c>
      <c r="E525" s="150">
        <v>2342.3200000000002</v>
      </c>
      <c r="F525" s="456">
        <v>2400</v>
      </c>
      <c r="G525" s="168">
        <v>933.83</v>
      </c>
      <c r="H525" s="168">
        <v>933</v>
      </c>
      <c r="N525" s="168" t="s">
        <v>2552</v>
      </c>
      <c r="O525" s="455" t="s">
        <v>1553</v>
      </c>
      <c r="P525" s="455" t="s">
        <v>616</v>
      </c>
      <c r="Q525" s="455">
        <v>1379</v>
      </c>
      <c r="R525" s="455">
        <v>450</v>
      </c>
      <c r="S525" s="168">
        <v>420.29</v>
      </c>
      <c r="T525" s="523">
        <v>421</v>
      </c>
    </row>
    <row r="526" spans="1:20">
      <c r="A526" s="168" t="s">
        <v>2553</v>
      </c>
      <c r="B526" s="455" t="s">
        <v>1553</v>
      </c>
      <c r="C526" s="455" t="s">
        <v>2322</v>
      </c>
      <c r="D526" s="168" t="s">
        <v>1572</v>
      </c>
      <c r="E526" s="150">
        <v>23781.27</v>
      </c>
      <c r="F526" s="456">
        <v>23842</v>
      </c>
      <c r="G526" s="168">
        <v>0</v>
      </c>
      <c r="H526" s="168">
        <v>0</v>
      </c>
      <c r="N526" s="168" t="s">
        <v>2553</v>
      </c>
      <c r="O526" s="455" t="s">
        <v>1553</v>
      </c>
      <c r="P526" s="455" t="s">
        <v>2322</v>
      </c>
      <c r="Q526" s="455">
        <v>26159</v>
      </c>
      <c r="R526" s="455">
        <v>26159</v>
      </c>
      <c r="S526" s="168">
        <v>2296.4899999999998</v>
      </c>
      <c r="T526" s="523">
        <v>2297</v>
      </c>
    </row>
    <row r="527" spans="1:20">
      <c r="A527" s="168" t="s">
        <v>2554</v>
      </c>
      <c r="B527" s="455" t="s">
        <v>1553</v>
      </c>
      <c r="C527" s="455" t="s">
        <v>190</v>
      </c>
      <c r="D527" s="168" t="s">
        <v>1572</v>
      </c>
      <c r="E527" s="150">
        <v>0</v>
      </c>
      <c r="F527" s="456">
        <v>0</v>
      </c>
      <c r="G527" s="168">
        <v>12610.66</v>
      </c>
      <c r="H527" s="168">
        <v>12610</v>
      </c>
      <c r="N527" s="168" t="s">
        <v>2554</v>
      </c>
      <c r="O527" s="455" t="s">
        <v>1553</v>
      </c>
      <c r="P527" s="455" t="s">
        <v>190</v>
      </c>
      <c r="Q527" s="455">
        <v>324</v>
      </c>
      <c r="R527" s="455">
        <v>179</v>
      </c>
      <c r="S527" s="168">
        <v>0</v>
      </c>
      <c r="T527" s="523">
        <v>0</v>
      </c>
    </row>
    <row r="528" spans="1:20">
      <c r="B528" s="455"/>
      <c r="E528" s="150"/>
      <c r="N528" s="168" t="s">
        <v>3737</v>
      </c>
      <c r="O528" s="455"/>
      <c r="P528" s="455"/>
      <c r="Q528" s="455">
        <v>1314</v>
      </c>
      <c r="R528" s="455">
        <v>724</v>
      </c>
      <c r="T528" s="523"/>
    </row>
    <row r="529" spans="1:22">
      <c r="A529" s="168" t="s">
        <v>2555</v>
      </c>
      <c r="B529" s="455" t="s">
        <v>1553</v>
      </c>
      <c r="C529" s="455" t="s">
        <v>631</v>
      </c>
      <c r="D529" s="168" t="s">
        <v>1572</v>
      </c>
      <c r="E529" s="150">
        <v>1060.3800000000001</v>
      </c>
      <c r="F529" s="456">
        <v>1300</v>
      </c>
      <c r="G529" s="168">
        <v>5180.95</v>
      </c>
      <c r="H529" s="168">
        <v>5180</v>
      </c>
      <c r="N529" s="168" t="s">
        <v>2555</v>
      </c>
      <c r="O529" s="455" t="s">
        <v>1553</v>
      </c>
      <c r="P529" s="455" t="s">
        <v>631</v>
      </c>
      <c r="Q529" s="455">
        <v>624</v>
      </c>
      <c r="R529" s="455">
        <v>344</v>
      </c>
      <c r="S529" s="168">
        <v>1998.14</v>
      </c>
      <c r="T529" s="523">
        <v>1998</v>
      </c>
    </row>
    <row r="530" spans="1:22">
      <c r="A530" s="168" t="s">
        <v>2556</v>
      </c>
      <c r="B530" s="455" t="s">
        <v>1553</v>
      </c>
      <c r="C530" s="455" t="s">
        <v>633</v>
      </c>
      <c r="D530" s="168" t="s">
        <v>1572</v>
      </c>
      <c r="E530" s="150">
        <v>10726.04</v>
      </c>
      <c r="F530" s="456">
        <v>11000</v>
      </c>
      <c r="G530" s="168">
        <v>9263.31</v>
      </c>
      <c r="H530" s="168">
        <v>9263</v>
      </c>
      <c r="N530" s="168" t="s">
        <v>2556</v>
      </c>
      <c r="O530" s="455" t="s">
        <v>1553</v>
      </c>
      <c r="P530" s="455" t="s">
        <v>633</v>
      </c>
      <c r="Q530" s="455">
        <v>6314</v>
      </c>
      <c r="R530" s="455">
        <v>3481</v>
      </c>
      <c r="S530" s="168">
        <v>10848.05</v>
      </c>
      <c r="T530" s="523">
        <v>10848</v>
      </c>
    </row>
    <row r="531" spans="1:22">
      <c r="A531" s="168" t="s">
        <v>2557</v>
      </c>
      <c r="B531" s="455" t="s">
        <v>1553</v>
      </c>
      <c r="C531" s="455" t="s">
        <v>253</v>
      </c>
      <c r="D531" s="168" t="s">
        <v>1572</v>
      </c>
      <c r="E531" s="150">
        <v>188965.67</v>
      </c>
      <c r="F531" s="456">
        <v>189000</v>
      </c>
      <c r="G531" s="168">
        <v>111168.05</v>
      </c>
      <c r="H531" s="168">
        <v>111168</v>
      </c>
      <c r="N531" s="168" t="s">
        <v>2557</v>
      </c>
      <c r="O531" s="455" t="s">
        <v>1553</v>
      </c>
      <c r="P531" s="455" t="s">
        <v>253</v>
      </c>
      <c r="Q531" s="455">
        <v>111220</v>
      </c>
      <c r="R531" s="455">
        <v>30000</v>
      </c>
      <c r="S531" s="168">
        <v>51775.97</v>
      </c>
      <c r="T531" s="523">
        <v>51775</v>
      </c>
    </row>
    <row r="532" spans="1:22">
      <c r="A532" s="168" t="s">
        <v>2558</v>
      </c>
      <c r="B532" s="455" t="s">
        <v>1553</v>
      </c>
      <c r="C532" s="455" t="s">
        <v>50</v>
      </c>
      <c r="D532" s="168" t="s">
        <v>1572</v>
      </c>
      <c r="E532" s="150">
        <v>77160.34</v>
      </c>
      <c r="F532" s="456">
        <v>78000</v>
      </c>
      <c r="G532" s="168">
        <v>104344.98</v>
      </c>
      <c r="H532" s="168">
        <v>104344.98</v>
      </c>
      <c r="N532" s="168" t="s">
        <v>2558</v>
      </c>
      <c r="O532" s="455" t="s">
        <v>1553</v>
      </c>
      <c r="P532" s="455" t="s">
        <v>50</v>
      </c>
      <c r="Q532" s="455">
        <v>77160</v>
      </c>
      <c r="R532" s="455">
        <v>57000</v>
      </c>
      <c r="S532" s="168">
        <v>25074</v>
      </c>
      <c r="T532" s="523">
        <v>25074</v>
      </c>
    </row>
    <row r="533" spans="1:22">
      <c r="A533" s="168" t="s">
        <v>2559</v>
      </c>
      <c r="B533" s="455" t="s">
        <v>1553</v>
      </c>
      <c r="C533" s="455" t="s">
        <v>52</v>
      </c>
      <c r="D533" s="168" t="s">
        <v>1572</v>
      </c>
      <c r="E533" s="150">
        <v>0</v>
      </c>
      <c r="F533" s="456">
        <v>4260</v>
      </c>
      <c r="G533" s="168">
        <v>2254.09</v>
      </c>
      <c r="H533" s="168">
        <v>2255</v>
      </c>
      <c r="N533" s="168" t="s">
        <v>2559</v>
      </c>
      <c r="O533" s="455" t="s">
        <v>1553</v>
      </c>
      <c r="P533" s="455" t="s">
        <v>52</v>
      </c>
      <c r="Q533" s="455">
        <v>3332</v>
      </c>
      <c r="R533" s="455">
        <v>1837</v>
      </c>
      <c r="S533" s="168">
        <v>168</v>
      </c>
      <c r="T533" s="523">
        <v>168</v>
      </c>
    </row>
    <row r="534" spans="1:22">
      <c r="A534" s="168" t="s">
        <v>2560</v>
      </c>
      <c r="B534" s="455" t="s">
        <v>1553</v>
      </c>
      <c r="C534" s="455" t="s">
        <v>52</v>
      </c>
      <c r="D534" s="168" t="s">
        <v>1572</v>
      </c>
      <c r="E534" s="150">
        <v>18193.39</v>
      </c>
      <c r="F534" s="456">
        <v>18200</v>
      </c>
      <c r="G534" s="168">
        <v>3308.88</v>
      </c>
      <c r="H534" s="168">
        <v>3308</v>
      </c>
      <c r="N534" s="168" t="s">
        <v>2560</v>
      </c>
      <c r="O534" s="455" t="s">
        <v>1553</v>
      </c>
      <c r="P534" s="455" t="s">
        <v>52</v>
      </c>
      <c r="Q534" s="455">
        <v>14855</v>
      </c>
      <c r="R534" s="455">
        <v>8189</v>
      </c>
      <c r="S534" s="168">
        <v>15041.6</v>
      </c>
      <c r="T534" s="523">
        <v>15041</v>
      </c>
    </row>
    <row r="535" spans="1:22">
      <c r="A535" s="168" t="s">
        <v>2561</v>
      </c>
      <c r="B535" s="455" t="s">
        <v>1553</v>
      </c>
      <c r="C535" s="455" t="s">
        <v>2562</v>
      </c>
      <c r="D535" s="168" t="s">
        <v>1572</v>
      </c>
      <c r="E535" s="150">
        <v>0</v>
      </c>
      <c r="F535" s="456">
        <v>0</v>
      </c>
      <c r="G535" s="168">
        <v>0</v>
      </c>
      <c r="H535" s="168">
        <v>0</v>
      </c>
      <c r="N535" s="168" t="s">
        <v>2561</v>
      </c>
      <c r="O535" s="455" t="s">
        <v>1553</v>
      </c>
      <c r="P535" s="455" t="s">
        <v>2562</v>
      </c>
      <c r="Q535" s="455"/>
      <c r="R535" s="455"/>
      <c r="S535" s="168">
        <v>0</v>
      </c>
      <c r="T535" s="523">
        <v>0</v>
      </c>
    </row>
    <row r="536" spans="1:22" ht="15.75" thickBot="1">
      <c r="A536" s="168" t="s">
        <v>2563</v>
      </c>
      <c r="B536" s="455" t="s">
        <v>1553</v>
      </c>
      <c r="C536" s="455" t="s">
        <v>2564</v>
      </c>
      <c r="D536" s="168" t="s">
        <v>1572</v>
      </c>
      <c r="E536" s="150">
        <v>0</v>
      </c>
      <c r="F536" s="456">
        <v>0</v>
      </c>
      <c r="G536" s="168">
        <v>0</v>
      </c>
      <c r="H536" s="168">
        <v>0</v>
      </c>
      <c r="N536" s="168" t="s">
        <v>2563</v>
      </c>
      <c r="O536" s="455" t="s">
        <v>1553</v>
      </c>
      <c r="P536" s="455" t="s">
        <v>2564</v>
      </c>
      <c r="Q536" s="455"/>
      <c r="R536" s="455"/>
      <c r="S536" s="168">
        <v>0</v>
      </c>
      <c r="T536" s="523">
        <v>0</v>
      </c>
    </row>
    <row r="537" spans="1:22" ht="16.5" thickTop="1" thickBot="1">
      <c r="A537" s="554" t="s">
        <v>2668</v>
      </c>
      <c r="B537" s="555"/>
      <c r="C537" s="555"/>
      <c r="D537" s="556"/>
      <c r="E537" s="560">
        <f>SUM(E504:E536)</f>
        <v>1026192.16</v>
      </c>
      <c r="F537" s="560">
        <f>SUM(F504:F536)</f>
        <v>1450843</v>
      </c>
      <c r="G537" s="560">
        <f>SUM(G504:G536)</f>
        <v>1369436.3900000001</v>
      </c>
      <c r="H537" s="560">
        <f>SUM(H504:H536)</f>
        <v>1369434.98</v>
      </c>
      <c r="N537" s="554" t="s">
        <v>2668</v>
      </c>
      <c r="O537" s="555"/>
      <c r="P537" s="555"/>
      <c r="Q537" s="555">
        <f>SUM(Q504:Q536)</f>
        <v>3188580</v>
      </c>
      <c r="R537" s="555">
        <f>SUM(R504:R536)</f>
        <v>3052494</v>
      </c>
      <c r="S537" s="560">
        <f>SUM(S504:S536)</f>
        <v>1183342.7899999998</v>
      </c>
      <c r="T537" s="558">
        <f>SUM(T504:T536)</f>
        <v>1100220</v>
      </c>
      <c r="U537" s="603">
        <f>SUM(S537)</f>
        <v>1183342.7899999998</v>
      </c>
      <c r="V537" s="603">
        <f>SUM(T537)</f>
        <v>1100220</v>
      </c>
    </row>
    <row r="538" spans="1:22" ht="15.75" thickTop="1">
      <c r="B538" s="455"/>
      <c r="E538" s="150"/>
      <c r="O538" s="455"/>
      <c r="P538" s="455"/>
      <c r="Q538" s="455"/>
      <c r="R538" s="455"/>
      <c r="T538" s="523"/>
    </row>
    <row r="539" spans="1:22">
      <c r="A539" s="168" t="s">
        <v>2568</v>
      </c>
      <c r="B539" s="455" t="s">
        <v>431</v>
      </c>
      <c r="C539" s="455" t="s">
        <v>1368</v>
      </c>
      <c r="D539" s="168" t="s">
        <v>1240</v>
      </c>
      <c r="E539" s="150">
        <v>-21728153.940000001</v>
      </c>
      <c r="F539" s="456">
        <v>-24840000</v>
      </c>
      <c r="G539" s="168">
        <v>-642677.78</v>
      </c>
      <c r="H539" s="168">
        <v>-2500000</v>
      </c>
      <c r="N539" s="168" t="s">
        <v>2568</v>
      </c>
      <c r="O539" s="455" t="s">
        <v>431</v>
      </c>
      <c r="P539" s="455" t="s">
        <v>1368</v>
      </c>
      <c r="Q539" s="455">
        <v>-33696193</v>
      </c>
      <c r="R539" s="455">
        <v>-9781147</v>
      </c>
      <c r="S539" s="168">
        <v>-792062.21</v>
      </c>
      <c r="T539" s="523">
        <v>-10031397</v>
      </c>
    </row>
    <row r="540" spans="1:22">
      <c r="A540" s="168" t="s">
        <v>2709</v>
      </c>
      <c r="B540" s="455"/>
      <c r="E540" s="150"/>
      <c r="H540" s="168">
        <v>-13100000</v>
      </c>
      <c r="N540" s="168" t="s">
        <v>2709</v>
      </c>
      <c r="O540" s="455"/>
      <c r="P540" s="455"/>
      <c r="Q540" s="455"/>
      <c r="R540" s="455"/>
      <c r="T540" s="523">
        <v>0</v>
      </c>
    </row>
    <row r="541" spans="1:22">
      <c r="A541" s="168" t="s">
        <v>3545</v>
      </c>
      <c r="B541" s="455" t="s">
        <v>1179</v>
      </c>
      <c r="C541" s="455" t="s">
        <v>3546</v>
      </c>
      <c r="E541" s="150"/>
      <c r="N541" s="168" t="s">
        <v>3474</v>
      </c>
      <c r="O541" s="455"/>
      <c r="P541" s="455"/>
      <c r="Q541" s="455"/>
      <c r="R541" s="455"/>
      <c r="S541" s="168">
        <v>-1219.28</v>
      </c>
      <c r="T541" s="523">
        <v>0</v>
      </c>
    </row>
    <row r="542" spans="1:22">
      <c r="A542" s="168" t="s">
        <v>2569</v>
      </c>
      <c r="B542" s="455" t="s">
        <v>1179</v>
      </c>
      <c r="C542" s="455" t="s">
        <v>1147</v>
      </c>
      <c r="D542" s="168" t="s">
        <v>1573</v>
      </c>
      <c r="E542" s="150">
        <v>-154420.70000000001</v>
      </c>
      <c r="F542" s="456">
        <v>-140990</v>
      </c>
      <c r="G542" s="168">
        <f>-335067.5+150000</f>
        <v>-185067.5</v>
      </c>
      <c r="H542" s="168">
        <v>-8523</v>
      </c>
      <c r="N542" s="168" t="s">
        <v>2569</v>
      </c>
      <c r="O542" s="455" t="s">
        <v>1179</v>
      </c>
      <c r="P542" s="455" t="s">
        <v>1147</v>
      </c>
      <c r="Q542" s="455">
        <v>-135074</v>
      </c>
      <c r="R542" s="455">
        <v>-135074</v>
      </c>
      <c r="S542" s="168">
        <v>-225223.43</v>
      </c>
      <c r="T542" s="523">
        <v>-135074</v>
      </c>
    </row>
    <row r="543" spans="1:22">
      <c r="A543" s="168" t="s">
        <v>2711</v>
      </c>
      <c r="B543" s="455" t="s">
        <v>25</v>
      </c>
      <c r="C543" s="455" t="s">
        <v>2710</v>
      </c>
      <c r="D543" s="168" t="s">
        <v>1573</v>
      </c>
      <c r="E543" s="150">
        <v>-78426.62</v>
      </c>
      <c r="F543" s="456">
        <v>-58806</v>
      </c>
      <c r="G543" s="168">
        <v>-71235.63</v>
      </c>
      <c r="H543" s="168">
        <v>-47241</v>
      </c>
      <c r="N543" s="168" t="s">
        <v>2711</v>
      </c>
      <c r="O543" s="455" t="s">
        <v>25</v>
      </c>
      <c r="P543" s="455" t="s">
        <v>2710</v>
      </c>
      <c r="Q543" s="455">
        <v>-76752</v>
      </c>
      <c r="R543" s="455">
        <v>-76752</v>
      </c>
      <c r="S543" s="168">
        <v>-71070.2</v>
      </c>
      <c r="T543" s="523">
        <v>-76752</v>
      </c>
    </row>
    <row r="544" spans="1:22">
      <c r="B544" s="455"/>
      <c r="E544" s="150"/>
      <c r="N544" s="168" t="s">
        <v>3475</v>
      </c>
      <c r="O544" s="455" t="s">
        <v>3476</v>
      </c>
      <c r="P544" s="455"/>
      <c r="Q544" s="455">
        <v>-8722000</v>
      </c>
      <c r="R544" s="455">
        <v>-8722000</v>
      </c>
      <c r="S544" s="168">
        <v>-5905737.2699999996</v>
      </c>
      <c r="T544" s="523">
        <v>-8722000</v>
      </c>
    </row>
    <row r="545" spans="1:22">
      <c r="A545" s="561" t="s">
        <v>3529</v>
      </c>
      <c r="B545" s="455"/>
      <c r="E545" s="150"/>
      <c r="O545" s="455"/>
      <c r="P545" s="455"/>
      <c r="Q545" s="455"/>
      <c r="R545" s="455"/>
      <c r="S545" s="598">
        <v>-5496262.7300000004</v>
      </c>
      <c r="T545" s="523">
        <v>0</v>
      </c>
    </row>
    <row r="546" spans="1:22">
      <c r="A546" s="168" t="s">
        <v>2565</v>
      </c>
      <c r="B546" s="455" t="s">
        <v>1730</v>
      </c>
      <c r="C546" s="455" t="s">
        <v>1384</v>
      </c>
      <c r="D546" s="168" t="s">
        <v>1573</v>
      </c>
      <c r="E546" s="150">
        <v>-836645</v>
      </c>
      <c r="F546" s="456">
        <v>0</v>
      </c>
      <c r="G546" s="168">
        <v>0</v>
      </c>
      <c r="H546" s="168">
        <v>-409000</v>
      </c>
      <c r="N546" s="168" t="s">
        <v>2565</v>
      </c>
      <c r="O546" s="455" t="s">
        <v>1730</v>
      </c>
      <c r="P546" s="455" t="s">
        <v>1384</v>
      </c>
      <c r="Q546" s="455"/>
      <c r="R546" s="455"/>
      <c r="S546" s="168">
        <v>0</v>
      </c>
      <c r="T546" s="523">
        <v>0</v>
      </c>
    </row>
    <row r="547" spans="1:22" ht="15.75" thickBot="1">
      <c r="A547" s="168" t="s">
        <v>2566</v>
      </c>
      <c r="B547" s="455" t="s">
        <v>1730</v>
      </c>
      <c r="C547" s="455" t="s">
        <v>2567</v>
      </c>
      <c r="D547" s="168" t="s">
        <v>1573</v>
      </c>
      <c r="E547" s="150">
        <v>-650000</v>
      </c>
      <c r="F547" s="456">
        <v>0</v>
      </c>
      <c r="G547" s="168">
        <v>0</v>
      </c>
      <c r="H547" s="168">
        <v>0</v>
      </c>
      <c r="N547" s="168" t="s">
        <v>2566</v>
      </c>
      <c r="O547" s="455" t="s">
        <v>1730</v>
      </c>
      <c r="P547" s="455" t="s">
        <v>2567</v>
      </c>
      <c r="Q547" s="455"/>
      <c r="R547" s="455"/>
      <c r="S547" s="168">
        <v>0</v>
      </c>
      <c r="T547" s="523">
        <v>0</v>
      </c>
    </row>
    <row r="548" spans="1:22" ht="16.5" thickTop="1" thickBot="1">
      <c r="A548" s="554" t="s">
        <v>2668</v>
      </c>
      <c r="B548" s="555"/>
      <c r="C548" s="555"/>
      <c r="D548" s="556"/>
      <c r="E548" s="560">
        <f>SUM(E539:E547)</f>
        <v>-23447646.260000002</v>
      </c>
      <c r="F548" s="560">
        <f>SUM(F539:F547)</f>
        <v>-25039796</v>
      </c>
      <c r="G548" s="560">
        <f>SUM(G539:G547)</f>
        <v>-898980.91</v>
      </c>
      <c r="H548" s="560">
        <f>SUM(H539:H547)</f>
        <v>-16064764</v>
      </c>
      <c r="I548" s="168">
        <v>16064764</v>
      </c>
      <c r="N548" s="554" t="s">
        <v>2668</v>
      </c>
      <c r="O548" s="555"/>
      <c r="P548" s="555"/>
      <c r="Q548" s="555">
        <f>SUM(Q539:Q547)</f>
        <v>-42630019</v>
      </c>
      <c r="R548" s="555">
        <f>SUM(R539:R547)</f>
        <v>-18714973</v>
      </c>
      <c r="S548" s="560">
        <f>SUM(S539:S547)</f>
        <v>-12491575.120000001</v>
      </c>
      <c r="T548" s="558">
        <f>SUM(T539:T547)</f>
        <v>-18965223</v>
      </c>
      <c r="U548" s="168">
        <f>SUM(S548)</f>
        <v>-12491575.120000001</v>
      </c>
      <c r="V548" s="168">
        <f>SUM(T548)</f>
        <v>-18965223</v>
      </c>
    </row>
    <row r="549" spans="1:22" ht="15.75" thickTop="1">
      <c r="B549" s="455"/>
      <c r="E549" s="150"/>
      <c r="O549" s="455"/>
      <c r="P549" s="455"/>
      <c r="Q549" s="455"/>
      <c r="R549" s="455"/>
      <c r="T549" s="523"/>
    </row>
    <row r="550" spans="1:22">
      <c r="A550" s="168" t="s">
        <v>2571</v>
      </c>
      <c r="B550" s="455" t="s">
        <v>1549</v>
      </c>
      <c r="C550" s="455" t="s">
        <v>75</v>
      </c>
      <c r="D550" s="168" t="s">
        <v>1573</v>
      </c>
      <c r="E550" s="150">
        <v>1748379.14</v>
      </c>
      <c r="F550" s="456">
        <v>1748500</v>
      </c>
      <c r="G550" s="168">
        <v>1772332.1</v>
      </c>
      <c r="H550" s="168">
        <v>1772333</v>
      </c>
      <c r="N550" s="168" t="s">
        <v>2571</v>
      </c>
      <c r="O550" s="455" t="s">
        <v>1549</v>
      </c>
      <c r="P550" s="455" t="s">
        <v>75</v>
      </c>
      <c r="Q550" s="455">
        <v>2115993</v>
      </c>
      <c r="R550" s="455">
        <v>2115993</v>
      </c>
      <c r="S550" s="168">
        <v>1843107.79</v>
      </c>
      <c r="T550" s="523">
        <v>1843108</v>
      </c>
    </row>
    <row r="551" spans="1:22">
      <c r="A551" s="168" t="s">
        <v>2572</v>
      </c>
      <c r="B551" s="455" t="s">
        <v>1549</v>
      </c>
      <c r="C551" s="455" t="s">
        <v>77</v>
      </c>
      <c r="D551" s="168" t="s">
        <v>1573</v>
      </c>
      <c r="E551" s="150">
        <v>305722.94</v>
      </c>
      <c r="F551" s="456">
        <v>306000</v>
      </c>
      <c r="G551" s="168">
        <v>467848.34</v>
      </c>
      <c r="H551" s="168">
        <v>467848</v>
      </c>
      <c r="N551" s="168" t="s">
        <v>2572</v>
      </c>
      <c r="O551" s="455" t="s">
        <v>1549</v>
      </c>
      <c r="P551" s="455" t="s">
        <v>77</v>
      </c>
      <c r="Q551" s="455">
        <v>260000</v>
      </c>
      <c r="R551" s="455">
        <v>260000</v>
      </c>
      <c r="S551" s="168">
        <v>580744.66</v>
      </c>
      <c r="T551" s="523">
        <v>580744</v>
      </c>
    </row>
    <row r="552" spans="1:22">
      <c r="A552" s="168" t="s">
        <v>2573</v>
      </c>
      <c r="B552" s="455" t="s">
        <v>1549</v>
      </c>
      <c r="C552" s="455" t="s">
        <v>60</v>
      </c>
      <c r="D552" s="168" t="s">
        <v>1573</v>
      </c>
      <c r="E552" s="150">
        <v>129996.95</v>
      </c>
      <c r="F552" s="456">
        <v>163181</v>
      </c>
      <c r="G552" s="168">
        <v>141930.85999999999</v>
      </c>
      <c r="H552" s="168">
        <v>141931</v>
      </c>
      <c r="N552" s="168" t="s">
        <v>2573</v>
      </c>
      <c r="O552" s="455" t="s">
        <v>1549</v>
      </c>
      <c r="P552" s="455" t="s">
        <v>60</v>
      </c>
      <c r="Q552" s="455">
        <v>176171</v>
      </c>
      <c r="R552" s="455">
        <v>176171</v>
      </c>
      <c r="S552" s="168">
        <v>159218.63</v>
      </c>
      <c r="T552" s="523">
        <v>159219</v>
      </c>
    </row>
    <row r="553" spans="1:22">
      <c r="A553" s="168" t="s">
        <v>2574</v>
      </c>
      <c r="B553" s="455" t="s">
        <v>1549</v>
      </c>
      <c r="C553" s="455" t="s">
        <v>1395</v>
      </c>
      <c r="D553" s="168" t="s">
        <v>1573</v>
      </c>
      <c r="E553" s="150">
        <v>38755.57</v>
      </c>
      <c r="F553" s="456">
        <v>38800</v>
      </c>
      <c r="G553" s="168">
        <v>38227.480000000003</v>
      </c>
      <c r="H553" s="168">
        <v>38228</v>
      </c>
      <c r="N553" s="168" t="s">
        <v>2574</v>
      </c>
      <c r="O553" s="455" t="s">
        <v>1549</v>
      </c>
      <c r="P553" s="455" t="s">
        <v>1395</v>
      </c>
      <c r="Q553" s="455"/>
      <c r="R553" s="455"/>
      <c r="S553" s="168">
        <v>54792.19</v>
      </c>
      <c r="T553" s="523">
        <v>54792</v>
      </c>
    </row>
    <row r="554" spans="1:22">
      <c r="A554" s="168" t="s">
        <v>2575</v>
      </c>
      <c r="B554" s="455" t="s">
        <v>1549</v>
      </c>
      <c r="C554" s="455" t="s">
        <v>515</v>
      </c>
      <c r="D554" s="168" t="s">
        <v>1573</v>
      </c>
      <c r="E554" s="150">
        <v>622.49</v>
      </c>
      <c r="F554" s="456">
        <v>700</v>
      </c>
      <c r="G554" s="168">
        <v>18278.939999999999</v>
      </c>
      <c r="H554" s="168">
        <v>18278</v>
      </c>
      <c r="N554" s="168" t="s">
        <v>2575</v>
      </c>
      <c r="O554" s="455" t="s">
        <v>1549</v>
      </c>
      <c r="P554" s="455" t="s">
        <v>515</v>
      </c>
      <c r="Q554" s="455"/>
      <c r="R554" s="455"/>
      <c r="S554" s="168">
        <v>28656.36</v>
      </c>
      <c r="T554" s="523">
        <v>28656</v>
      </c>
    </row>
    <row r="555" spans="1:22">
      <c r="A555" s="168" t="s">
        <v>2576</v>
      </c>
      <c r="B555" s="455" t="s">
        <v>1549</v>
      </c>
      <c r="C555" s="455" t="s">
        <v>660</v>
      </c>
      <c r="D555" s="168" t="s">
        <v>1573</v>
      </c>
      <c r="E555" s="150">
        <v>0</v>
      </c>
      <c r="F555" s="456">
        <v>0</v>
      </c>
      <c r="G555" s="168">
        <v>0</v>
      </c>
      <c r="H555" s="168">
        <v>0</v>
      </c>
      <c r="N555" s="168" t="s">
        <v>2576</v>
      </c>
      <c r="O555" s="455" t="s">
        <v>1549</v>
      </c>
      <c r="P555" s="455" t="s">
        <v>660</v>
      </c>
      <c r="Q555" s="455"/>
      <c r="R555" s="455"/>
      <c r="S555" s="168">
        <v>0</v>
      </c>
      <c r="T555" s="523">
        <v>0</v>
      </c>
    </row>
    <row r="556" spans="1:22">
      <c r="A556" s="168" t="s">
        <v>2577</v>
      </c>
      <c r="B556" s="455" t="s">
        <v>1549</v>
      </c>
      <c r="C556" s="455" t="s">
        <v>767</v>
      </c>
      <c r="D556" s="168" t="s">
        <v>1573</v>
      </c>
      <c r="E556" s="150">
        <v>7068</v>
      </c>
      <c r="F556" s="456">
        <v>7100</v>
      </c>
      <c r="G556" s="168">
        <v>8244</v>
      </c>
      <c r="H556" s="168">
        <v>8244</v>
      </c>
      <c r="N556" s="168" t="s">
        <v>2577</v>
      </c>
      <c r="O556" s="455" t="s">
        <v>1549</v>
      </c>
      <c r="P556" s="455" t="s">
        <v>767</v>
      </c>
      <c r="Q556" s="455">
        <v>38628</v>
      </c>
      <c r="R556" s="455">
        <v>38628</v>
      </c>
      <c r="S556" s="168">
        <v>6867</v>
      </c>
      <c r="T556" s="523">
        <v>6867</v>
      </c>
    </row>
    <row r="557" spans="1:22">
      <c r="A557" s="168" t="s">
        <v>2578</v>
      </c>
      <c r="B557" s="455" t="s">
        <v>1549</v>
      </c>
      <c r="C557" s="455" t="s">
        <v>84</v>
      </c>
      <c r="D557" s="168" t="s">
        <v>1573</v>
      </c>
      <c r="E557" s="150">
        <v>45824.17</v>
      </c>
      <c r="F557" s="456">
        <v>46000</v>
      </c>
      <c r="G557" s="168">
        <v>48210.75</v>
      </c>
      <c r="H557" s="168">
        <v>48210</v>
      </c>
      <c r="N557" s="168" t="s">
        <v>2578</v>
      </c>
      <c r="O557" s="455" t="s">
        <v>1549</v>
      </c>
      <c r="P557" s="455" t="s">
        <v>84</v>
      </c>
      <c r="Q557" s="455">
        <v>43168</v>
      </c>
      <c r="R557" s="455">
        <v>43168</v>
      </c>
      <c r="S557" s="168">
        <v>60595.23</v>
      </c>
      <c r="T557" s="523">
        <v>60595</v>
      </c>
    </row>
    <row r="558" spans="1:22">
      <c r="A558" s="168" t="s">
        <v>2579</v>
      </c>
      <c r="B558" s="455" t="s">
        <v>1549</v>
      </c>
      <c r="C558" s="455" t="s">
        <v>590</v>
      </c>
      <c r="D558" s="168" t="s">
        <v>1573</v>
      </c>
      <c r="E558" s="150">
        <v>29530.799999999999</v>
      </c>
      <c r="F558" s="456">
        <v>30000</v>
      </c>
      <c r="G558" s="168">
        <v>19911.599999999999</v>
      </c>
      <c r="H558" s="168">
        <v>19911</v>
      </c>
      <c r="N558" s="168" t="s">
        <v>2579</v>
      </c>
      <c r="O558" s="455" t="s">
        <v>1549</v>
      </c>
      <c r="P558" s="455" t="s">
        <v>590</v>
      </c>
      <c r="Q558" s="455">
        <v>124211</v>
      </c>
      <c r="R558" s="455">
        <v>124211</v>
      </c>
      <c r="S558" s="168">
        <v>22734</v>
      </c>
      <c r="T558" s="523">
        <v>22734</v>
      </c>
    </row>
    <row r="559" spans="1:22">
      <c r="A559" s="168" t="s">
        <v>2580</v>
      </c>
      <c r="B559" s="455" t="s">
        <v>1549</v>
      </c>
      <c r="C559" s="455" t="s">
        <v>590</v>
      </c>
      <c r="D559" s="168" t="s">
        <v>1573</v>
      </c>
      <c r="E559" s="150">
        <v>351422.69</v>
      </c>
      <c r="F559" s="456">
        <v>351500</v>
      </c>
      <c r="G559" s="168">
        <v>368866.18</v>
      </c>
      <c r="H559" s="168">
        <v>368867</v>
      </c>
      <c r="N559" s="168" t="s">
        <v>2580</v>
      </c>
      <c r="O559" s="455" t="s">
        <v>1549</v>
      </c>
      <c r="P559" s="455" t="s">
        <v>590</v>
      </c>
      <c r="Q559" s="455">
        <v>465518</v>
      </c>
      <c r="R559" s="455">
        <v>465518</v>
      </c>
      <c r="S559" s="168">
        <v>391637.48</v>
      </c>
      <c r="T559" s="523">
        <v>391638</v>
      </c>
    </row>
    <row r="560" spans="1:22">
      <c r="A560" s="168" t="s">
        <v>2581</v>
      </c>
      <c r="B560" s="455" t="s">
        <v>1549</v>
      </c>
      <c r="C560" s="455" t="s">
        <v>590</v>
      </c>
      <c r="D560" s="168" t="s">
        <v>1573</v>
      </c>
      <c r="E560" s="150">
        <v>19890.439999999999</v>
      </c>
      <c r="F560" s="456">
        <v>20000</v>
      </c>
      <c r="G560" s="168">
        <v>23606.03</v>
      </c>
      <c r="H560" s="168">
        <v>23606</v>
      </c>
      <c r="N560" s="168" t="s">
        <v>2581</v>
      </c>
      <c r="O560" s="455" t="s">
        <v>1549</v>
      </c>
      <c r="P560" s="455" t="s">
        <v>590</v>
      </c>
      <c r="Q560" s="455">
        <v>21160</v>
      </c>
      <c r="R560" s="455">
        <v>21160</v>
      </c>
      <c r="S560" s="168">
        <v>25562.52</v>
      </c>
      <c r="T560" s="523">
        <v>25562</v>
      </c>
    </row>
    <row r="561" spans="1:20">
      <c r="A561" s="168" t="s">
        <v>2582</v>
      </c>
      <c r="B561" s="455" t="s">
        <v>1549</v>
      </c>
      <c r="C561" s="455" t="s">
        <v>590</v>
      </c>
      <c r="D561" s="168" t="s">
        <v>1573</v>
      </c>
      <c r="E561" s="150">
        <v>4935.0600000000004</v>
      </c>
      <c r="F561" s="456">
        <v>5000</v>
      </c>
      <c r="G561" s="168">
        <v>6008.2</v>
      </c>
      <c r="H561" s="168">
        <v>6006</v>
      </c>
      <c r="N561" s="168" t="s">
        <v>2582</v>
      </c>
      <c r="O561" s="455" t="s">
        <v>1549</v>
      </c>
      <c r="P561" s="455" t="s">
        <v>590</v>
      </c>
      <c r="Q561" s="455">
        <v>32375</v>
      </c>
      <c r="R561" s="455">
        <v>32375</v>
      </c>
      <c r="S561" s="168">
        <v>6696.48</v>
      </c>
      <c r="T561" s="523">
        <v>6697</v>
      </c>
    </row>
    <row r="562" spans="1:20">
      <c r="A562" s="168" t="s">
        <v>2583</v>
      </c>
      <c r="B562" s="455" t="s">
        <v>1549</v>
      </c>
      <c r="C562" s="455" t="s">
        <v>1807</v>
      </c>
      <c r="D562" s="168" t="s">
        <v>1573</v>
      </c>
      <c r="E562" s="150">
        <v>1395.2</v>
      </c>
      <c r="F562" s="456">
        <v>1400</v>
      </c>
      <c r="G562" s="168">
        <v>1555.95</v>
      </c>
      <c r="H562" s="168">
        <v>1556</v>
      </c>
      <c r="N562" s="168" t="s">
        <v>2583</v>
      </c>
      <c r="O562" s="455" t="s">
        <v>1549</v>
      </c>
      <c r="P562" s="455" t="s">
        <v>1807</v>
      </c>
      <c r="Q562" s="455">
        <v>1739</v>
      </c>
      <c r="R562" s="455">
        <v>1739</v>
      </c>
      <c r="S562" s="168">
        <v>1631.25</v>
      </c>
      <c r="T562" s="523">
        <v>1632</v>
      </c>
    </row>
    <row r="563" spans="1:20">
      <c r="A563" s="168" t="s">
        <v>2584</v>
      </c>
      <c r="B563" s="455" t="s">
        <v>1551</v>
      </c>
      <c r="C563" s="455" t="s">
        <v>592</v>
      </c>
      <c r="D563" s="168" t="s">
        <v>1573</v>
      </c>
      <c r="E563" s="150">
        <v>0</v>
      </c>
      <c r="F563" s="456">
        <v>177463</v>
      </c>
      <c r="G563" s="168">
        <v>0</v>
      </c>
      <c r="H563" s="168">
        <v>0</v>
      </c>
      <c r="N563" s="168" t="s">
        <v>2584</v>
      </c>
      <c r="O563" s="455" t="s">
        <v>1551</v>
      </c>
      <c r="P563" s="455" t="s">
        <v>592</v>
      </c>
      <c r="Q563" s="455">
        <v>665208</v>
      </c>
      <c r="R563" s="455">
        <v>665208</v>
      </c>
      <c r="S563" s="168">
        <v>713284.87</v>
      </c>
      <c r="T563" s="523">
        <v>665208</v>
      </c>
    </row>
    <row r="564" spans="1:20">
      <c r="A564" s="168" t="s">
        <v>2585</v>
      </c>
      <c r="B564" s="455" t="s">
        <v>1552</v>
      </c>
      <c r="C564" s="455" t="s">
        <v>595</v>
      </c>
      <c r="D564" s="168" t="s">
        <v>1573</v>
      </c>
      <c r="E564" s="150">
        <v>102581.56</v>
      </c>
      <c r="F564" s="456">
        <v>104000</v>
      </c>
      <c r="G564" s="168">
        <v>1693.35</v>
      </c>
      <c r="H564" s="168">
        <v>1693</v>
      </c>
      <c r="N564" s="168" t="s">
        <v>2585</v>
      </c>
      <c r="O564" s="455" t="s">
        <v>1552</v>
      </c>
      <c r="P564" s="455" t="s">
        <v>595</v>
      </c>
      <c r="Q564" s="455">
        <v>102582</v>
      </c>
      <c r="R564" s="455">
        <v>58500</v>
      </c>
      <c r="S564" s="168">
        <v>60510.53</v>
      </c>
      <c r="T564" s="523">
        <v>60510</v>
      </c>
    </row>
    <row r="565" spans="1:20">
      <c r="A565" s="168" t="s">
        <v>2586</v>
      </c>
      <c r="B565" s="455" t="s">
        <v>1552</v>
      </c>
      <c r="C565" s="455" t="s">
        <v>2587</v>
      </c>
      <c r="D565" s="168" t="s">
        <v>1573</v>
      </c>
      <c r="E565" s="150">
        <v>227639.72</v>
      </c>
      <c r="F565" s="456">
        <v>236000</v>
      </c>
      <c r="G565" s="168">
        <v>199260.17</v>
      </c>
      <c r="H565" s="168">
        <v>199260</v>
      </c>
      <c r="N565" s="168" t="s">
        <v>2586</v>
      </c>
      <c r="O565" s="455" t="s">
        <v>1552</v>
      </c>
      <c r="P565" s="455" t="s">
        <v>2587</v>
      </c>
      <c r="Q565" s="455">
        <v>227640</v>
      </c>
      <c r="R565" s="455">
        <v>227640</v>
      </c>
      <c r="S565" s="168">
        <v>128135.36</v>
      </c>
      <c r="T565" s="523">
        <v>128136</v>
      </c>
    </row>
    <row r="566" spans="1:20">
      <c r="A566" s="168" t="s">
        <v>2588</v>
      </c>
      <c r="B566" s="455" t="s">
        <v>1552</v>
      </c>
      <c r="C566" s="455" t="s">
        <v>2589</v>
      </c>
      <c r="D566" s="168" t="s">
        <v>1573</v>
      </c>
      <c r="E566" s="150">
        <v>0</v>
      </c>
      <c r="F566" s="456">
        <v>0</v>
      </c>
      <c r="G566" s="168">
        <v>4050.35</v>
      </c>
      <c r="H566" s="168">
        <v>4050</v>
      </c>
      <c r="N566" s="168" t="s">
        <v>2588</v>
      </c>
      <c r="O566" s="455" t="s">
        <v>1552</v>
      </c>
      <c r="P566" s="455" t="s">
        <v>2589</v>
      </c>
      <c r="Q566" s="455">
        <v>20618</v>
      </c>
      <c r="R566" s="455">
        <v>20618</v>
      </c>
      <c r="S566" s="168">
        <v>6641.89</v>
      </c>
      <c r="T566" s="523">
        <v>6642</v>
      </c>
    </row>
    <row r="567" spans="1:20">
      <c r="A567" s="168" t="s">
        <v>2590</v>
      </c>
      <c r="B567" s="455" t="s">
        <v>1552</v>
      </c>
      <c r="C567" s="455" t="s">
        <v>545</v>
      </c>
      <c r="D567" s="168" t="s">
        <v>1573</v>
      </c>
      <c r="E567" s="150">
        <v>3234.82</v>
      </c>
      <c r="F567" s="456">
        <v>3300</v>
      </c>
      <c r="G567" s="168">
        <v>0</v>
      </c>
      <c r="H567" s="168">
        <v>0</v>
      </c>
      <c r="N567" s="168" t="s">
        <v>2590</v>
      </c>
      <c r="O567" s="455" t="s">
        <v>1552</v>
      </c>
      <c r="P567" s="455" t="s">
        <v>545</v>
      </c>
      <c r="Q567" s="455">
        <v>5030</v>
      </c>
      <c r="R567" s="455">
        <v>5030</v>
      </c>
      <c r="S567" s="168">
        <v>0</v>
      </c>
      <c r="T567" s="523">
        <v>0</v>
      </c>
    </row>
    <row r="568" spans="1:20">
      <c r="A568" s="168" t="s">
        <v>2591</v>
      </c>
      <c r="B568" s="455" t="s">
        <v>1552</v>
      </c>
      <c r="C568" s="455" t="s">
        <v>545</v>
      </c>
      <c r="D568" s="168" t="s">
        <v>1573</v>
      </c>
      <c r="E568" s="150">
        <v>16200.31</v>
      </c>
      <c r="F568" s="456">
        <v>20000</v>
      </c>
      <c r="G568" s="168">
        <v>20107.689999999999</v>
      </c>
      <c r="H568" s="168">
        <v>20107</v>
      </c>
      <c r="N568" s="168" t="s">
        <v>2591</v>
      </c>
      <c r="O568" s="455" t="s">
        <v>1552</v>
      </c>
      <c r="P568" s="455" t="s">
        <v>545</v>
      </c>
      <c r="Q568" s="455">
        <v>17010</v>
      </c>
      <c r="R568" s="455">
        <v>17010</v>
      </c>
      <c r="S568" s="168">
        <v>8119.73</v>
      </c>
      <c r="T568" s="523">
        <v>8120</v>
      </c>
    </row>
    <row r="569" spans="1:20">
      <c r="A569" s="168" t="s">
        <v>2592</v>
      </c>
      <c r="B569" s="455" t="s">
        <v>1552</v>
      </c>
      <c r="C569" s="455" t="s">
        <v>95</v>
      </c>
      <c r="D569" s="168" t="s">
        <v>1573</v>
      </c>
      <c r="E569" s="150">
        <v>0</v>
      </c>
      <c r="F569" s="456">
        <v>0</v>
      </c>
      <c r="G569" s="168">
        <v>0</v>
      </c>
      <c r="H569" s="168">
        <v>0</v>
      </c>
      <c r="N569" s="168" t="s">
        <v>2592</v>
      </c>
      <c r="O569" s="455" t="s">
        <v>1552</v>
      </c>
      <c r="P569" s="455" t="s">
        <v>95</v>
      </c>
      <c r="Q569" s="455"/>
      <c r="R569" s="455"/>
      <c r="S569" s="168">
        <v>0</v>
      </c>
      <c r="T569" s="523">
        <v>0</v>
      </c>
    </row>
    <row r="570" spans="1:20">
      <c r="A570" s="168" t="s">
        <v>2593</v>
      </c>
      <c r="B570" s="455" t="s">
        <v>2469</v>
      </c>
      <c r="C570" s="455" t="s">
        <v>2315</v>
      </c>
      <c r="D570" s="168" t="s">
        <v>1573</v>
      </c>
      <c r="E570" s="150">
        <v>0</v>
      </c>
      <c r="F570" s="456">
        <v>103192</v>
      </c>
      <c r="G570" s="168">
        <v>45837.89</v>
      </c>
      <c r="H570" s="168">
        <v>45838</v>
      </c>
      <c r="N570" s="168" t="s">
        <v>2593</v>
      </c>
      <c r="O570" s="455" t="s">
        <v>2469</v>
      </c>
      <c r="P570" s="455" t="s">
        <v>2315</v>
      </c>
      <c r="Q570" s="455">
        <v>112028</v>
      </c>
      <c r="R570" s="455">
        <v>112028</v>
      </c>
      <c r="S570" s="168">
        <v>37309.78</v>
      </c>
      <c r="T570" s="523">
        <v>37310</v>
      </c>
    </row>
    <row r="571" spans="1:20">
      <c r="A571" s="168" t="s">
        <v>2594</v>
      </c>
      <c r="B571" s="455" t="s">
        <v>2469</v>
      </c>
      <c r="C571" s="455" t="s">
        <v>2333</v>
      </c>
      <c r="D571" s="168" t="s">
        <v>1573</v>
      </c>
      <c r="E571" s="150">
        <v>0</v>
      </c>
      <c r="F571" s="456">
        <v>74979</v>
      </c>
      <c r="G571" s="168">
        <v>0</v>
      </c>
      <c r="H571" s="168">
        <v>0</v>
      </c>
      <c r="N571" s="168" t="s">
        <v>2594</v>
      </c>
      <c r="O571" s="455" t="s">
        <v>2469</v>
      </c>
      <c r="P571" s="455" t="s">
        <v>2333</v>
      </c>
      <c r="Q571" s="455"/>
      <c r="R571" s="455"/>
      <c r="S571" s="168">
        <v>0</v>
      </c>
      <c r="T571" s="523">
        <v>0</v>
      </c>
    </row>
    <row r="572" spans="1:20">
      <c r="A572" s="168" t="s">
        <v>2595</v>
      </c>
      <c r="B572" s="455" t="s">
        <v>1553</v>
      </c>
      <c r="C572" s="455" t="s">
        <v>616</v>
      </c>
      <c r="D572" s="168" t="s">
        <v>1573</v>
      </c>
      <c r="E572" s="150">
        <v>44619.58</v>
      </c>
      <c r="F572" s="456">
        <v>44750</v>
      </c>
      <c r="G572" s="168">
        <v>1334.99</v>
      </c>
      <c r="H572" s="168">
        <v>1334</v>
      </c>
      <c r="N572" s="168" t="s">
        <v>2595</v>
      </c>
      <c r="O572" s="455" t="s">
        <v>1553</v>
      </c>
      <c r="P572" s="455" t="s">
        <v>616</v>
      </c>
      <c r="Q572" s="455">
        <v>26264</v>
      </c>
      <c r="R572" s="455">
        <v>3620</v>
      </c>
      <c r="S572" s="168">
        <v>4699.54</v>
      </c>
      <c r="T572" s="523">
        <v>4699</v>
      </c>
    </row>
    <row r="573" spans="1:20">
      <c r="A573" s="168" t="s">
        <v>2596</v>
      </c>
      <c r="B573" s="455" t="s">
        <v>1553</v>
      </c>
      <c r="C573" s="455" t="s">
        <v>622</v>
      </c>
      <c r="D573" s="168" t="s">
        <v>1573</v>
      </c>
      <c r="E573" s="150">
        <v>72970.61</v>
      </c>
      <c r="F573" s="456">
        <v>73000</v>
      </c>
      <c r="G573" s="168">
        <v>153752.48000000001</v>
      </c>
      <c r="H573" s="168">
        <v>153752</v>
      </c>
      <c r="N573" s="168" t="s">
        <v>2596</v>
      </c>
      <c r="O573" s="455" t="s">
        <v>1553</v>
      </c>
      <c r="P573" s="455" t="s">
        <v>622</v>
      </c>
      <c r="Q573" s="455">
        <v>84588</v>
      </c>
      <c r="R573" s="455">
        <v>84588</v>
      </c>
      <c r="S573" s="168">
        <v>128435.57</v>
      </c>
      <c r="T573" s="523">
        <v>128435</v>
      </c>
    </row>
    <row r="574" spans="1:20">
      <c r="A574" s="168" t="s">
        <v>690</v>
      </c>
      <c r="B574" s="455" t="s">
        <v>1553</v>
      </c>
      <c r="C574" s="455" t="s">
        <v>2322</v>
      </c>
      <c r="D574" s="168" t="s">
        <v>1573</v>
      </c>
      <c r="E574" s="150">
        <v>45113.279999999999</v>
      </c>
      <c r="F574" s="456">
        <v>45213</v>
      </c>
      <c r="G574" s="168">
        <v>0</v>
      </c>
      <c r="H574" s="168">
        <v>0</v>
      </c>
      <c r="N574" s="168" t="s">
        <v>690</v>
      </c>
      <c r="O574" s="455" t="s">
        <v>1553</v>
      </c>
      <c r="P574" s="455" t="s">
        <v>2322</v>
      </c>
      <c r="Q574" s="455">
        <v>49625</v>
      </c>
      <c r="R574" s="455">
        <v>49625</v>
      </c>
      <c r="S574" s="168">
        <v>4746.82</v>
      </c>
      <c r="T574" s="523">
        <v>4747</v>
      </c>
    </row>
    <row r="575" spans="1:20">
      <c r="A575" s="168" t="s">
        <v>691</v>
      </c>
      <c r="B575" s="455" t="s">
        <v>1553</v>
      </c>
      <c r="C575" s="455" t="s">
        <v>624</v>
      </c>
      <c r="D575" s="168" t="s">
        <v>1573</v>
      </c>
      <c r="E575" s="150">
        <v>3853.8</v>
      </c>
      <c r="F575" s="456">
        <v>5079</v>
      </c>
      <c r="G575" s="168">
        <v>2614.75</v>
      </c>
      <c r="H575" s="168">
        <v>2614</v>
      </c>
      <c r="N575" s="168" t="s">
        <v>691</v>
      </c>
      <c r="O575" s="455" t="s">
        <v>1553</v>
      </c>
      <c r="P575" s="455" t="s">
        <v>624</v>
      </c>
      <c r="Q575" s="455">
        <v>5108</v>
      </c>
      <c r="R575" s="455">
        <v>3800</v>
      </c>
      <c r="S575" s="168">
        <v>23265.7</v>
      </c>
      <c r="T575" s="523">
        <v>23265</v>
      </c>
    </row>
    <row r="576" spans="1:20">
      <c r="A576" s="168" t="s">
        <v>692</v>
      </c>
      <c r="B576" s="455" t="s">
        <v>1553</v>
      </c>
      <c r="C576" s="455" t="s">
        <v>633</v>
      </c>
      <c r="D576" s="168" t="s">
        <v>1573</v>
      </c>
      <c r="E576" s="150">
        <v>246.46</v>
      </c>
      <c r="F576" s="456">
        <v>330</v>
      </c>
      <c r="G576" s="168">
        <v>201.54</v>
      </c>
      <c r="H576" s="168">
        <v>201</v>
      </c>
      <c r="N576" s="168" t="s">
        <v>692</v>
      </c>
      <c r="O576" s="455" t="s">
        <v>1553</v>
      </c>
      <c r="P576" s="455" t="s">
        <v>633</v>
      </c>
      <c r="Q576" s="455">
        <v>378</v>
      </c>
      <c r="R576" s="455">
        <v>378</v>
      </c>
      <c r="S576" s="168">
        <v>728.62</v>
      </c>
      <c r="T576" s="523">
        <v>728</v>
      </c>
    </row>
    <row r="577" spans="1:22">
      <c r="A577" s="168" t="s">
        <v>693</v>
      </c>
      <c r="B577" s="455" t="s">
        <v>1553</v>
      </c>
      <c r="C577" s="455" t="s">
        <v>253</v>
      </c>
      <c r="D577" s="168" t="s">
        <v>1573</v>
      </c>
      <c r="E577" s="150">
        <v>17718.78</v>
      </c>
      <c r="F577" s="456">
        <v>24000</v>
      </c>
      <c r="G577" s="168">
        <v>96681.95</v>
      </c>
      <c r="H577" s="168">
        <v>96681</v>
      </c>
      <c r="N577" s="168" t="s">
        <v>693</v>
      </c>
      <c r="O577" s="455" t="s">
        <v>1553</v>
      </c>
      <c r="P577" s="455" t="s">
        <v>253</v>
      </c>
      <c r="Q577" s="455">
        <v>15505</v>
      </c>
      <c r="R577" s="455">
        <v>20000</v>
      </c>
      <c r="S577" s="168">
        <v>48599.12</v>
      </c>
      <c r="T577" s="523">
        <v>48599</v>
      </c>
    </row>
    <row r="578" spans="1:22">
      <c r="A578" s="168" t="s">
        <v>694</v>
      </c>
      <c r="B578" s="455" t="s">
        <v>1553</v>
      </c>
      <c r="C578" s="455" t="s">
        <v>50</v>
      </c>
      <c r="D578" s="168" t="s">
        <v>1573</v>
      </c>
      <c r="E578" s="150">
        <v>0</v>
      </c>
      <c r="F578" s="456">
        <v>0</v>
      </c>
      <c r="G578" s="168">
        <v>0</v>
      </c>
      <c r="H578" s="168">
        <v>0</v>
      </c>
      <c r="N578" s="168" t="s">
        <v>694</v>
      </c>
      <c r="O578" s="455" t="s">
        <v>1553</v>
      </c>
      <c r="P578" s="455" t="s">
        <v>50</v>
      </c>
      <c r="Q578" s="455"/>
      <c r="R578" s="455"/>
      <c r="S578" s="168">
        <v>2408</v>
      </c>
      <c r="T578" s="523">
        <v>2408</v>
      </c>
    </row>
    <row r="579" spans="1:22">
      <c r="A579" s="168" t="s">
        <v>695</v>
      </c>
      <c r="B579" s="455" t="s">
        <v>1553</v>
      </c>
      <c r="C579" s="455" t="s">
        <v>52</v>
      </c>
      <c r="D579" s="168" t="s">
        <v>1573</v>
      </c>
      <c r="E579" s="150">
        <v>0</v>
      </c>
      <c r="F579" s="456">
        <v>1975</v>
      </c>
      <c r="G579" s="168">
        <v>0</v>
      </c>
      <c r="H579" s="168">
        <v>0</v>
      </c>
      <c r="N579" s="168" t="s">
        <v>695</v>
      </c>
      <c r="O579" s="455" t="s">
        <v>1553</v>
      </c>
      <c r="P579" s="455" t="s">
        <v>52</v>
      </c>
      <c r="Q579" s="455">
        <v>693</v>
      </c>
      <c r="R579" s="455">
        <v>693</v>
      </c>
      <c r="S579" s="168">
        <v>0</v>
      </c>
      <c r="T579" s="523">
        <v>0</v>
      </c>
    </row>
    <row r="580" spans="1:22">
      <c r="A580" s="168" t="s">
        <v>696</v>
      </c>
      <c r="B580" s="455" t="s">
        <v>1553</v>
      </c>
      <c r="C580" s="455" t="s">
        <v>52</v>
      </c>
      <c r="D580" s="168" t="s">
        <v>1573</v>
      </c>
      <c r="E580" s="150">
        <v>6547.54</v>
      </c>
      <c r="F580" s="456">
        <v>6600</v>
      </c>
      <c r="G580" s="168">
        <v>1148.73</v>
      </c>
      <c r="H580" s="168">
        <v>1149</v>
      </c>
      <c r="N580" s="168" t="s">
        <v>696</v>
      </c>
      <c r="O580" s="455" t="s">
        <v>1553</v>
      </c>
      <c r="P580" s="455" t="s">
        <v>52</v>
      </c>
      <c r="Q580" s="455">
        <v>7560</v>
      </c>
      <c r="R580" s="455">
        <v>7200</v>
      </c>
      <c r="S580" s="168">
        <v>164.18</v>
      </c>
      <c r="T580" s="523">
        <v>164</v>
      </c>
    </row>
    <row r="581" spans="1:22">
      <c r="B581" s="455"/>
      <c r="E581" s="150"/>
      <c r="N581" s="168" t="s">
        <v>3477</v>
      </c>
      <c r="O581" s="455"/>
      <c r="P581" s="455"/>
      <c r="Q581" s="455"/>
      <c r="R581" s="455"/>
      <c r="S581" s="168">
        <v>47274.28</v>
      </c>
      <c r="T581" s="523">
        <v>47274</v>
      </c>
    </row>
    <row r="582" spans="1:22">
      <c r="A582" s="168" t="s">
        <v>3348</v>
      </c>
      <c r="B582" s="455"/>
      <c r="E582" s="150"/>
      <c r="G582" s="168">
        <v>179632</v>
      </c>
      <c r="N582" s="168" t="s">
        <v>3348</v>
      </c>
      <c r="O582" s="455"/>
      <c r="P582" s="455"/>
      <c r="Q582" s="455"/>
      <c r="R582" s="455"/>
      <c r="S582" s="168">
        <v>0</v>
      </c>
      <c r="T582" s="523"/>
    </row>
    <row r="583" spans="1:22">
      <c r="A583" s="168" t="s">
        <v>3336</v>
      </c>
      <c r="B583" s="455"/>
      <c r="E583" s="150"/>
      <c r="G583" s="168">
        <v>31182.54</v>
      </c>
      <c r="N583" s="168" t="s">
        <v>3478</v>
      </c>
      <c r="O583" s="455"/>
      <c r="P583" s="455"/>
      <c r="Q583" s="455"/>
      <c r="R583" s="455"/>
      <c r="S583" s="168">
        <v>0</v>
      </c>
      <c r="T583" s="523">
        <v>8722000</v>
      </c>
    </row>
    <row r="584" spans="1:22">
      <c r="A584" s="168" t="s">
        <v>1045</v>
      </c>
      <c r="B584" s="455" t="s">
        <v>1553</v>
      </c>
      <c r="C584" s="455" t="s">
        <v>127</v>
      </c>
      <c r="D584" s="168" t="s">
        <v>1573</v>
      </c>
      <c r="E584" s="150">
        <v>70314.44</v>
      </c>
      <c r="F584" s="456">
        <v>0</v>
      </c>
      <c r="G584" s="168">
        <v>0</v>
      </c>
      <c r="H584" s="168">
        <v>0</v>
      </c>
      <c r="N584" s="168" t="s">
        <v>1045</v>
      </c>
      <c r="O584" s="455" t="s">
        <v>1553</v>
      </c>
      <c r="P584" s="455" t="s">
        <v>127</v>
      </c>
      <c r="Q584" s="455"/>
      <c r="R584" s="455"/>
      <c r="S584" s="168">
        <v>0</v>
      </c>
      <c r="T584" s="523">
        <v>0</v>
      </c>
    </row>
    <row r="585" spans="1:22" ht="15.75" thickBot="1">
      <c r="A585" s="168" t="s">
        <v>697</v>
      </c>
      <c r="B585" s="455" t="s">
        <v>1553</v>
      </c>
      <c r="C585" s="455" t="s">
        <v>2570</v>
      </c>
      <c r="D585" s="168" t="s">
        <v>1573</v>
      </c>
      <c r="E585" s="150">
        <v>0</v>
      </c>
      <c r="F585" s="456">
        <v>0</v>
      </c>
      <c r="G585" s="168">
        <v>0</v>
      </c>
      <c r="H585" s="168">
        <v>0</v>
      </c>
      <c r="N585" s="168" t="s">
        <v>697</v>
      </c>
      <c r="O585" s="455" t="s">
        <v>1553</v>
      </c>
      <c r="P585" s="455" t="s">
        <v>2570</v>
      </c>
      <c r="Q585" s="455"/>
      <c r="R585" s="455"/>
      <c r="S585" s="168">
        <v>0</v>
      </c>
      <c r="T585" s="523">
        <v>0</v>
      </c>
    </row>
    <row r="586" spans="1:22" ht="16.5" thickTop="1" thickBot="1">
      <c r="A586" s="554" t="s">
        <v>2668</v>
      </c>
      <c r="B586" s="555"/>
      <c r="C586" s="555"/>
      <c r="D586" s="556"/>
      <c r="E586" s="560">
        <f>SUM(E550:E585)</f>
        <v>3294584.3499999992</v>
      </c>
      <c r="F586" s="560">
        <f>SUM(F550:F585)</f>
        <v>3638062</v>
      </c>
      <c r="G586" s="560">
        <f>SUM(G550:G585)</f>
        <v>3652518.8600000008</v>
      </c>
      <c r="H586" s="560">
        <f>SUM(H550:H585)</f>
        <v>3441697</v>
      </c>
      <c r="N586" s="554" t="s">
        <v>2668</v>
      </c>
      <c r="O586" s="555"/>
      <c r="P586" s="555"/>
      <c r="Q586" s="555">
        <f>SUM(Q550:Q585)</f>
        <v>4618800</v>
      </c>
      <c r="R586" s="555">
        <f>SUM(R550:R585)</f>
        <v>4554901</v>
      </c>
      <c r="S586" s="560">
        <f>SUM(S550:S585)</f>
        <v>4396567.58</v>
      </c>
      <c r="T586" s="558">
        <f>SUM(T550:T585)</f>
        <v>13070489</v>
      </c>
      <c r="U586" s="168">
        <f>SUM(S586)</f>
        <v>4396567.58</v>
      </c>
      <c r="V586" s="168">
        <f>SUM(T586)</f>
        <v>13070489</v>
      </c>
    </row>
    <row r="587" spans="1:22" ht="15.75" thickTop="1">
      <c r="B587" s="455"/>
      <c r="E587" s="150"/>
      <c r="O587" s="455"/>
      <c r="P587" s="455"/>
      <c r="Q587" s="455"/>
      <c r="R587" s="455"/>
      <c r="T587" s="523"/>
      <c r="U587" s="603">
        <f>SUM(U548:U586)</f>
        <v>-8095007.540000001</v>
      </c>
      <c r="V587" s="603">
        <f>SUM(V548:V586)</f>
        <v>-5894734</v>
      </c>
    </row>
    <row r="588" spans="1:22">
      <c r="A588" s="168" t="s">
        <v>2712</v>
      </c>
      <c r="B588" s="455" t="s">
        <v>1179</v>
      </c>
      <c r="C588" s="455" t="s">
        <v>1147</v>
      </c>
      <c r="D588" s="168" t="s">
        <v>1574</v>
      </c>
      <c r="E588" s="150">
        <v>-4908</v>
      </c>
      <c r="F588" s="456">
        <v>-5784</v>
      </c>
      <c r="G588" s="168">
        <v>-18244.04</v>
      </c>
      <c r="H588" s="168">
        <v>-11950</v>
      </c>
      <c r="N588" s="168" t="s">
        <v>3479</v>
      </c>
      <c r="O588" s="455" t="s">
        <v>1179</v>
      </c>
      <c r="P588" s="455" t="s">
        <v>1147</v>
      </c>
      <c r="Q588" s="455">
        <v>-26350</v>
      </c>
      <c r="R588" s="455">
        <v>-5000</v>
      </c>
      <c r="S588" s="168">
        <v>0</v>
      </c>
      <c r="T588" s="523">
        <v>-5000</v>
      </c>
    </row>
    <row r="589" spans="1:22">
      <c r="A589" s="168" t="s">
        <v>698</v>
      </c>
      <c r="B589" s="455"/>
      <c r="C589" s="455" t="s">
        <v>614</v>
      </c>
      <c r="D589" s="168" t="s">
        <v>1574</v>
      </c>
      <c r="E589" s="150">
        <v>0</v>
      </c>
      <c r="F589" s="456">
        <v>0</v>
      </c>
      <c r="G589" s="168">
        <v>-4466868.22</v>
      </c>
      <c r="H589" s="168">
        <v>-5400000</v>
      </c>
      <c r="N589" s="168" t="s">
        <v>698</v>
      </c>
      <c r="O589" s="455"/>
      <c r="P589" s="455" t="s">
        <v>614</v>
      </c>
      <c r="Q589" s="455"/>
      <c r="R589" s="455"/>
      <c r="S589" s="168">
        <v>0</v>
      </c>
      <c r="T589" s="523">
        <v>0</v>
      </c>
    </row>
    <row r="590" spans="1:22">
      <c r="A590" s="168" t="s">
        <v>699</v>
      </c>
      <c r="B590" s="455"/>
      <c r="C590" s="455" t="s">
        <v>568</v>
      </c>
      <c r="D590" s="168" t="s">
        <v>1574</v>
      </c>
      <c r="E590" s="150">
        <v>0</v>
      </c>
      <c r="F590" s="456">
        <v>0</v>
      </c>
      <c r="G590" s="168">
        <v>0</v>
      </c>
      <c r="H590" s="168">
        <v>0</v>
      </c>
      <c r="N590" s="168" t="s">
        <v>699</v>
      </c>
      <c r="O590" s="455"/>
      <c r="P590" s="455" t="s">
        <v>568</v>
      </c>
      <c r="Q590" s="455"/>
      <c r="R590" s="455"/>
      <c r="S590" s="168">
        <v>0</v>
      </c>
      <c r="T590" s="523">
        <v>0</v>
      </c>
    </row>
    <row r="591" spans="1:22" ht="15.75" thickBot="1">
      <c r="A591" s="168" t="s">
        <v>2055</v>
      </c>
      <c r="B591" s="455"/>
      <c r="C591" s="455" t="s">
        <v>568</v>
      </c>
      <c r="D591" s="168" t="s">
        <v>1574</v>
      </c>
      <c r="E591" s="150">
        <v>0</v>
      </c>
      <c r="F591" s="456">
        <v>0</v>
      </c>
      <c r="G591" s="168">
        <v>0</v>
      </c>
      <c r="H591" s="168">
        <v>0</v>
      </c>
      <c r="N591" s="168" t="s">
        <v>2055</v>
      </c>
      <c r="O591" s="455"/>
      <c r="P591" s="455" t="s">
        <v>568</v>
      </c>
      <c r="Q591" s="455"/>
      <c r="R591" s="455"/>
      <c r="S591" s="168">
        <v>0</v>
      </c>
      <c r="T591" s="523">
        <v>0</v>
      </c>
    </row>
    <row r="592" spans="1:22" ht="16.5" thickTop="1" thickBot="1">
      <c r="A592" s="554" t="s">
        <v>2668</v>
      </c>
      <c r="B592" s="555"/>
      <c r="C592" s="555"/>
      <c r="D592" s="556"/>
      <c r="E592" s="560">
        <f>SUM(E588:E591)</f>
        <v>-4908</v>
      </c>
      <c r="F592" s="560">
        <f>SUM(F588:F591)</f>
        <v>-5784</v>
      </c>
      <c r="G592" s="560">
        <f>SUM(G588:G591)</f>
        <v>-4485112.26</v>
      </c>
      <c r="H592" s="560">
        <f>SUM(H588:H591)</f>
        <v>-5411950</v>
      </c>
      <c r="I592" s="168">
        <v>5411950</v>
      </c>
      <c r="N592" s="554" t="s">
        <v>2668</v>
      </c>
      <c r="O592" s="555"/>
      <c r="P592" s="555"/>
      <c r="Q592" s="555">
        <f>SUM(Q588:Q591)</f>
        <v>-26350</v>
      </c>
      <c r="R592" s="555">
        <f>SUM(R588:R591)</f>
        <v>-5000</v>
      </c>
      <c r="S592" s="560">
        <f>SUM(S588:S591)</f>
        <v>0</v>
      </c>
      <c r="T592" s="558">
        <f>SUM(T588:T591)</f>
        <v>-5000</v>
      </c>
      <c r="V592" s="168">
        <f>SUM(T592)</f>
        <v>-5000</v>
      </c>
    </row>
    <row r="593" spans="1:23" ht="15.75" thickTop="1">
      <c r="B593" s="455"/>
      <c r="E593" s="150"/>
      <c r="O593" s="455"/>
      <c r="P593" s="455"/>
      <c r="Q593" s="455"/>
      <c r="R593" s="455"/>
      <c r="T593" s="523"/>
    </row>
    <row r="594" spans="1:23">
      <c r="A594" s="561" t="s">
        <v>3764</v>
      </c>
      <c r="B594" s="455"/>
      <c r="E594" s="150"/>
      <c r="O594" s="455"/>
      <c r="P594" s="455"/>
      <c r="Q594" s="455"/>
      <c r="R594" s="455"/>
      <c r="S594" s="168">
        <v>17890852.34</v>
      </c>
      <c r="T594" s="523"/>
    </row>
    <row r="595" spans="1:23">
      <c r="A595" s="168" t="s">
        <v>2056</v>
      </c>
      <c r="B595" s="455" t="s">
        <v>1552</v>
      </c>
      <c r="C595" s="455" t="s">
        <v>595</v>
      </c>
      <c r="D595" s="168" t="s">
        <v>1574</v>
      </c>
      <c r="E595" s="150">
        <v>100</v>
      </c>
      <c r="F595" s="456">
        <v>150</v>
      </c>
      <c r="G595" s="168">
        <v>232.85</v>
      </c>
      <c r="H595" s="168">
        <v>233</v>
      </c>
      <c r="N595" s="168" t="s">
        <v>2056</v>
      </c>
      <c r="O595" s="455" t="s">
        <v>1552</v>
      </c>
      <c r="P595" s="455" t="s">
        <v>595</v>
      </c>
      <c r="Q595" s="455">
        <v>100</v>
      </c>
      <c r="R595" s="455">
        <v>0</v>
      </c>
      <c r="S595" s="168">
        <v>318.64999999999998</v>
      </c>
      <c r="T595" s="523">
        <v>318</v>
      </c>
    </row>
    <row r="596" spans="1:23">
      <c r="A596" s="168" t="s">
        <v>2057</v>
      </c>
      <c r="B596" s="455" t="s">
        <v>1552</v>
      </c>
      <c r="C596" s="455" t="s">
        <v>545</v>
      </c>
      <c r="D596" s="168" t="s">
        <v>1574</v>
      </c>
      <c r="E596" s="150">
        <v>205607.35</v>
      </c>
      <c r="F596" s="456">
        <v>207500</v>
      </c>
      <c r="G596" s="168">
        <v>148461.35</v>
      </c>
      <c r="H596" s="168">
        <v>148461</v>
      </c>
      <c r="N596" s="168" t="s">
        <v>2057</v>
      </c>
      <c r="O596" s="455" t="s">
        <v>1552</v>
      </c>
      <c r="P596" s="455" t="s">
        <v>545</v>
      </c>
      <c r="Q596" s="455">
        <v>205607</v>
      </c>
      <c r="R596" s="455"/>
      <c r="S596" s="168">
        <v>190120.32000000001</v>
      </c>
      <c r="T596" s="523">
        <v>190120</v>
      </c>
      <c r="W596" s="147"/>
    </row>
    <row r="597" spans="1:23">
      <c r="A597" s="168" t="s">
        <v>2058</v>
      </c>
      <c r="B597" s="455" t="s">
        <v>2469</v>
      </c>
      <c r="C597" s="455" t="s">
        <v>2315</v>
      </c>
      <c r="D597" s="168" t="s">
        <v>1574</v>
      </c>
      <c r="E597" s="150">
        <v>430304.54</v>
      </c>
      <c r="F597" s="456">
        <v>431590</v>
      </c>
      <c r="G597" s="168">
        <v>752422.18</v>
      </c>
      <c r="H597" s="168">
        <v>752422</v>
      </c>
      <c r="N597" s="168" t="s">
        <v>2058</v>
      </c>
      <c r="O597" s="455" t="s">
        <v>2469</v>
      </c>
      <c r="P597" s="455" t="s">
        <v>2315</v>
      </c>
      <c r="Q597" s="455">
        <v>1155026</v>
      </c>
      <c r="R597" s="455">
        <v>1155026</v>
      </c>
      <c r="S597" s="168">
        <v>1593158.2</v>
      </c>
      <c r="T597" s="523">
        <v>1593158</v>
      </c>
    </row>
    <row r="598" spans="1:23" s="147" customFormat="1">
      <c r="A598" s="147" t="s">
        <v>2059</v>
      </c>
      <c r="B598" s="148" t="s">
        <v>2469</v>
      </c>
      <c r="C598" s="148" t="s">
        <v>2333</v>
      </c>
      <c r="D598" s="147" t="s">
        <v>1574</v>
      </c>
      <c r="E598" s="151">
        <v>0</v>
      </c>
      <c r="F598" s="149">
        <v>154000</v>
      </c>
      <c r="G598" s="168">
        <v>0</v>
      </c>
      <c r="H598" s="168">
        <v>0</v>
      </c>
      <c r="N598" s="147" t="s">
        <v>2059</v>
      </c>
      <c r="O598" s="148" t="s">
        <v>2469</v>
      </c>
      <c r="P598" s="148" t="s">
        <v>2333</v>
      </c>
      <c r="Q598" s="148"/>
      <c r="R598" s="148"/>
      <c r="S598" s="168">
        <v>0</v>
      </c>
      <c r="T598" s="523">
        <v>0</v>
      </c>
      <c r="W598" s="168"/>
    </row>
    <row r="599" spans="1:23">
      <c r="A599" s="168" t="s">
        <v>295</v>
      </c>
      <c r="B599" s="455" t="s">
        <v>1553</v>
      </c>
      <c r="C599" s="455" t="s">
        <v>595</v>
      </c>
      <c r="D599" s="168" t="s">
        <v>1574</v>
      </c>
      <c r="E599" s="150">
        <v>0</v>
      </c>
      <c r="F599" s="456">
        <v>0</v>
      </c>
      <c r="G599" s="168">
        <v>0</v>
      </c>
      <c r="H599" s="168">
        <v>0</v>
      </c>
      <c r="N599" s="168" t="s">
        <v>295</v>
      </c>
      <c r="O599" s="455" t="s">
        <v>1553</v>
      </c>
      <c r="P599" s="455" t="s">
        <v>595</v>
      </c>
      <c r="Q599" s="455"/>
      <c r="R599" s="455">
        <v>100</v>
      </c>
      <c r="S599" s="168">
        <v>0</v>
      </c>
      <c r="T599" s="523">
        <v>0</v>
      </c>
    </row>
    <row r="600" spans="1:23">
      <c r="A600" s="168" t="s">
        <v>296</v>
      </c>
      <c r="B600" s="455" t="s">
        <v>1553</v>
      </c>
      <c r="C600" s="455" t="s">
        <v>545</v>
      </c>
      <c r="D600" s="168" t="s">
        <v>1574</v>
      </c>
      <c r="E600" s="150">
        <v>0</v>
      </c>
      <c r="F600" s="456">
        <v>0</v>
      </c>
      <c r="G600" s="168">
        <v>0</v>
      </c>
      <c r="H600" s="168">
        <v>0</v>
      </c>
      <c r="N600" s="168" t="s">
        <v>296</v>
      </c>
      <c r="O600" s="455" t="s">
        <v>1553</v>
      </c>
      <c r="P600" s="455" t="s">
        <v>545</v>
      </c>
      <c r="Q600" s="455"/>
      <c r="R600" s="455">
        <v>70000</v>
      </c>
      <c r="S600" s="168">
        <v>0</v>
      </c>
      <c r="T600" s="523">
        <v>0</v>
      </c>
    </row>
    <row r="601" spans="1:23">
      <c r="A601" s="168" t="s">
        <v>297</v>
      </c>
      <c r="B601" s="455" t="s">
        <v>1553</v>
      </c>
      <c r="C601" s="455" t="s">
        <v>616</v>
      </c>
      <c r="D601" s="168" t="s">
        <v>1574</v>
      </c>
      <c r="E601" s="150">
        <v>34222.74</v>
      </c>
      <c r="F601" s="456">
        <v>35000</v>
      </c>
      <c r="G601" s="168">
        <v>72803.58</v>
      </c>
      <c r="H601" s="168">
        <v>72803</v>
      </c>
      <c r="N601" s="168" t="s">
        <v>297</v>
      </c>
      <c r="O601" s="455" t="s">
        <v>1553</v>
      </c>
      <c r="P601" s="455" t="s">
        <v>616</v>
      </c>
      <c r="Q601" s="455">
        <v>20144</v>
      </c>
      <c r="R601" s="455">
        <v>40000</v>
      </c>
      <c r="S601" s="168">
        <v>70525.34</v>
      </c>
      <c r="T601" s="523">
        <v>70525</v>
      </c>
    </row>
    <row r="602" spans="1:23">
      <c r="A602" s="168" t="s">
        <v>298</v>
      </c>
      <c r="B602" s="455" t="s">
        <v>1553</v>
      </c>
      <c r="C602" s="455" t="s">
        <v>2322</v>
      </c>
      <c r="D602" s="168" t="s">
        <v>1574</v>
      </c>
      <c r="E602" s="150">
        <v>49998.3</v>
      </c>
      <c r="F602" s="456">
        <v>50098</v>
      </c>
      <c r="G602" s="168">
        <v>0</v>
      </c>
      <c r="H602" s="168">
        <v>0</v>
      </c>
      <c r="N602" s="168" t="s">
        <v>298</v>
      </c>
      <c r="O602" s="455" t="s">
        <v>1553</v>
      </c>
      <c r="P602" s="455" t="s">
        <v>2322</v>
      </c>
      <c r="Q602" s="455"/>
      <c r="R602" s="455"/>
      <c r="S602" s="168">
        <v>0</v>
      </c>
      <c r="T602" s="523">
        <v>0</v>
      </c>
    </row>
    <row r="603" spans="1:23">
      <c r="A603" s="168" t="s">
        <v>299</v>
      </c>
      <c r="B603" s="455" t="s">
        <v>1553</v>
      </c>
      <c r="C603" s="455" t="s">
        <v>59</v>
      </c>
      <c r="D603" s="168" t="s">
        <v>1574</v>
      </c>
      <c r="E603" s="150">
        <v>0</v>
      </c>
      <c r="F603" s="456">
        <v>2456000</v>
      </c>
      <c r="G603" s="168">
        <v>0</v>
      </c>
      <c r="H603" s="168">
        <v>2315197</v>
      </c>
      <c r="N603" s="168" t="s">
        <v>299</v>
      </c>
      <c r="O603" s="455" t="s">
        <v>1553</v>
      </c>
      <c r="P603" s="455" t="s">
        <v>59</v>
      </c>
      <c r="Q603" s="455"/>
      <c r="R603" s="455"/>
      <c r="S603" s="168">
        <v>0</v>
      </c>
      <c r="T603" s="523">
        <v>0</v>
      </c>
    </row>
    <row r="604" spans="1:23">
      <c r="A604" s="168" t="s">
        <v>2733</v>
      </c>
      <c r="B604" s="455"/>
      <c r="E604" s="150"/>
      <c r="H604" s="168">
        <v>8100000</v>
      </c>
      <c r="N604" s="168" t="s">
        <v>2733</v>
      </c>
      <c r="O604" s="455"/>
      <c r="P604" s="455"/>
      <c r="Q604" s="455"/>
      <c r="R604" s="455"/>
      <c r="T604" s="523">
        <v>0</v>
      </c>
    </row>
    <row r="605" spans="1:23">
      <c r="A605" s="168" t="s">
        <v>300</v>
      </c>
      <c r="B605" s="455" t="s">
        <v>1553</v>
      </c>
      <c r="C605" s="455" t="s">
        <v>273</v>
      </c>
      <c r="D605" s="168" t="s">
        <v>1574</v>
      </c>
      <c r="E605" s="150">
        <v>0</v>
      </c>
      <c r="F605" s="456">
        <v>0</v>
      </c>
      <c r="G605" s="168">
        <v>0</v>
      </c>
      <c r="H605" s="168">
        <v>3090039</v>
      </c>
      <c r="N605" s="168" t="s">
        <v>300</v>
      </c>
      <c r="O605" s="455" t="s">
        <v>1553</v>
      </c>
      <c r="P605" s="455" t="s">
        <v>273</v>
      </c>
      <c r="Q605" s="455"/>
      <c r="R605" s="455"/>
      <c r="S605" s="168">
        <v>0</v>
      </c>
      <c r="T605" s="523">
        <v>0</v>
      </c>
    </row>
    <row r="606" spans="1:23">
      <c r="A606" s="168" t="s">
        <v>301</v>
      </c>
      <c r="B606" s="455" t="s">
        <v>1553</v>
      </c>
      <c r="C606" s="455" t="s">
        <v>302</v>
      </c>
      <c r="D606" s="168" t="s">
        <v>1574</v>
      </c>
      <c r="E606" s="150">
        <v>0</v>
      </c>
      <c r="F606" s="456">
        <v>0</v>
      </c>
      <c r="G606" s="168">
        <v>0</v>
      </c>
      <c r="H606" s="168">
        <v>0</v>
      </c>
      <c r="N606" s="168" t="s">
        <v>301</v>
      </c>
      <c r="O606" s="455" t="s">
        <v>1553</v>
      </c>
      <c r="P606" s="455" t="s">
        <v>302</v>
      </c>
      <c r="Q606" s="455"/>
      <c r="R606" s="455"/>
      <c r="S606" s="168">
        <v>0</v>
      </c>
      <c r="T606" s="523">
        <v>0</v>
      </c>
    </row>
    <row r="607" spans="1:23">
      <c r="A607" s="168" t="s">
        <v>303</v>
      </c>
      <c r="B607" s="455" t="s">
        <v>1553</v>
      </c>
      <c r="C607" s="455" t="s">
        <v>304</v>
      </c>
      <c r="D607" s="168" t="s">
        <v>1574</v>
      </c>
      <c r="E607" s="150">
        <v>0</v>
      </c>
      <c r="F607" s="456">
        <v>0</v>
      </c>
      <c r="G607" s="168">
        <v>0</v>
      </c>
      <c r="H607" s="168">
        <v>0</v>
      </c>
      <c r="N607" s="168" t="s">
        <v>303</v>
      </c>
      <c r="O607" s="455" t="s">
        <v>1553</v>
      </c>
      <c r="P607" s="455" t="s">
        <v>304</v>
      </c>
      <c r="Q607" s="455"/>
      <c r="R607" s="455"/>
      <c r="S607" s="168">
        <v>0</v>
      </c>
      <c r="T607" s="523">
        <v>0</v>
      </c>
    </row>
    <row r="608" spans="1:23">
      <c r="A608" s="168" t="s">
        <v>305</v>
      </c>
      <c r="B608" s="455" t="s">
        <v>1553</v>
      </c>
      <c r="C608" s="455" t="s">
        <v>2329</v>
      </c>
      <c r="D608" s="168" t="s">
        <v>1574</v>
      </c>
      <c r="E608" s="150">
        <v>0</v>
      </c>
      <c r="F608" s="456">
        <v>0</v>
      </c>
      <c r="G608" s="168">
        <v>0</v>
      </c>
      <c r="H608" s="168">
        <v>0</v>
      </c>
      <c r="N608" s="168" t="s">
        <v>305</v>
      </c>
      <c r="O608" s="455" t="s">
        <v>1553</v>
      </c>
      <c r="P608" s="455" t="s">
        <v>2329</v>
      </c>
      <c r="Q608" s="455"/>
      <c r="R608" s="455"/>
      <c r="S608" s="168">
        <v>0</v>
      </c>
      <c r="T608" s="523">
        <v>0</v>
      </c>
    </row>
    <row r="609" spans="1:22">
      <c r="A609" s="168" t="s">
        <v>306</v>
      </c>
      <c r="B609" s="455" t="s">
        <v>1553</v>
      </c>
      <c r="C609" s="455" t="s">
        <v>307</v>
      </c>
      <c r="D609" s="168" t="s">
        <v>1574</v>
      </c>
      <c r="E609" s="150">
        <v>0</v>
      </c>
      <c r="F609" s="456">
        <v>0</v>
      </c>
      <c r="G609" s="168">
        <v>0</v>
      </c>
      <c r="H609" s="168">
        <v>0</v>
      </c>
      <c r="N609" s="168" t="s">
        <v>306</v>
      </c>
      <c r="O609" s="455" t="s">
        <v>1553</v>
      </c>
      <c r="P609" s="455" t="s">
        <v>307</v>
      </c>
      <c r="Q609" s="455"/>
      <c r="R609" s="455"/>
      <c r="S609" s="168">
        <v>0</v>
      </c>
      <c r="T609" s="523">
        <v>0</v>
      </c>
    </row>
    <row r="610" spans="1:22">
      <c r="A610" s="168" t="s">
        <v>308</v>
      </c>
      <c r="B610" s="455" t="s">
        <v>1553</v>
      </c>
      <c r="C610" s="455" t="s">
        <v>309</v>
      </c>
      <c r="D610" s="168" t="s">
        <v>1574</v>
      </c>
      <c r="E610" s="150">
        <v>0</v>
      </c>
      <c r="F610" s="456">
        <v>0</v>
      </c>
      <c r="G610" s="168">
        <v>0</v>
      </c>
      <c r="H610" s="168">
        <v>0</v>
      </c>
      <c r="N610" s="168" t="s">
        <v>308</v>
      </c>
      <c r="O610" s="455" t="s">
        <v>1553</v>
      </c>
      <c r="P610" s="455" t="s">
        <v>309</v>
      </c>
      <c r="Q610" s="455"/>
      <c r="R610" s="455"/>
      <c r="S610" s="168">
        <v>0</v>
      </c>
      <c r="T610" s="523">
        <v>0</v>
      </c>
    </row>
    <row r="611" spans="1:22">
      <c r="A611" s="168" t="s">
        <v>310</v>
      </c>
      <c r="B611" s="455" t="s">
        <v>1553</v>
      </c>
      <c r="C611" s="455" t="s">
        <v>311</v>
      </c>
      <c r="D611" s="168" t="s">
        <v>1574</v>
      </c>
      <c r="E611" s="150">
        <v>0</v>
      </c>
      <c r="F611" s="456">
        <v>0</v>
      </c>
      <c r="G611" s="168">
        <v>0</v>
      </c>
      <c r="H611" s="168">
        <v>0</v>
      </c>
      <c r="N611" s="168" t="s">
        <v>310</v>
      </c>
      <c r="O611" s="455" t="s">
        <v>1553</v>
      </c>
      <c r="P611" s="455" t="s">
        <v>311</v>
      </c>
      <c r="Q611" s="455"/>
      <c r="R611" s="455"/>
      <c r="S611" s="168">
        <v>0</v>
      </c>
      <c r="T611" s="523">
        <v>0</v>
      </c>
    </row>
    <row r="612" spans="1:22">
      <c r="A612" s="168" t="s">
        <v>312</v>
      </c>
      <c r="B612" s="455" t="s">
        <v>1553</v>
      </c>
      <c r="C612" s="455" t="s">
        <v>313</v>
      </c>
      <c r="D612" s="168" t="s">
        <v>1574</v>
      </c>
      <c r="E612" s="150">
        <v>0</v>
      </c>
      <c r="F612" s="456">
        <v>0</v>
      </c>
      <c r="G612" s="168">
        <v>0</v>
      </c>
      <c r="H612" s="168">
        <v>0</v>
      </c>
      <c r="N612" s="168" t="s">
        <v>312</v>
      </c>
      <c r="O612" s="455" t="s">
        <v>1553</v>
      </c>
      <c r="P612" s="455" t="s">
        <v>313</v>
      </c>
      <c r="Q612" s="455"/>
      <c r="R612" s="455"/>
      <c r="S612" s="168">
        <v>0</v>
      </c>
      <c r="T612" s="523">
        <v>0</v>
      </c>
    </row>
    <row r="613" spans="1:22">
      <c r="A613" s="168" t="s">
        <v>314</v>
      </c>
      <c r="B613" s="455" t="s">
        <v>1553</v>
      </c>
      <c r="C613" s="455" t="s">
        <v>315</v>
      </c>
      <c r="D613" s="168" t="s">
        <v>1574</v>
      </c>
      <c r="E613" s="150">
        <v>0</v>
      </c>
      <c r="F613" s="456">
        <v>0</v>
      </c>
      <c r="G613" s="168">
        <v>0</v>
      </c>
      <c r="H613" s="168">
        <v>0</v>
      </c>
      <c r="N613" s="168" t="s">
        <v>314</v>
      </c>
      <c r="O613" s="455" t="s">
        <v>1553</v>
      </c>
      <c r="P613" s="455" t="s">
        <v>315</v>
      </c>
      <c r="Q613" s="455"/>
      <c r="R613" s="455"/>
      <c r="S613" s="168">
        <v>0</v>
      </c>
      <c r="T613" s="523">
        <v>0</v>
      </c>
    </row>
    <row r="614" spans="1:22">
      <c r="A614" s="168" t="s">
        <v>316</v>
      </c>
      <c r="B614" s="455" t="s">
        <v>431</v>
      </c>
      <c r="C614" s="455" t="s">
        <v>59</v>
      </c>
      <c r="D614" s="168" t="s">
        <v>1574</v>
      </c>
      <c r="E614" s="150">
        <v>-0.4</v>
      </c>
      <c r="F614" s="456">
        <v>-1856000</v>
      </c>
      <c r="G614" s="168">
        <v>0</v>
      </c>
      <c r="H614" s="168">
        <v>-588666</v>
      </c>
      <c r="N614" s="168" t="s">
        <v>316</v>
      </c>
      <c r="O614" s="455" t="s">
        <v>431</v>
      </c>
      <c r="P614" s="455" t="s">
        <v>59</v>
      </c>
      <c r="Q614" s="455"/>
      <c r="R614" s="455"/>
      <c r="S614" s="168">
        <v>0</v>
      </c>
      <c r="T614" s="523">
        <v>0</v>
      </c>
    </row>
    <row r="615" spans="1:22">
      <c r="A615" s="168" t="s">
        <v>2734</v>
      </c>
      <c r="B615" s="455"/>
      <c r="E615" s="150"/>
      <c r="H615" s="168">
        <v>-8100000</v>
      </c>
      <c r="N615" s="168" t="s">
        <v>2734</v>
      </c>
      <c r="O615" s="455"/>
      <c r="P615" s="455"/>
      <c r="Q615" s="455"/>
      <c r="R615" s="455"/>
      <c r="S615" s="168">
        <v>0</v>
      </c>
      <c r="T615" s="523">
        <v>0</v>
      </c>
    </row>
    <row r="616" spans="1:22" ht="15.75" thickBot="1">
      <c r="A616" s="168" t="s">
        <v>317</v>
      </c>
      <c r="B616" s="455" t="s">
        <v>1553</v>
      </c>
      <c r="C616" s="455" t="s">
        <v>597</v>
      </c>
      <c r="D616" s="168" t="s">
        <v>1574</v>
      </c>
      <c r="E616" s="150">
        <v>0</v>
      </c>
      <c r="F616" s="456">
        <v>0</v>
      </c>
      <c r="G616" s="168">
        <v>0</v>
      </c>
      <c r="H616" s="168">
        <v>0</v>
      </c>
      <c r="N616" s="168" t="s">
        <v>317</v>
      </c>
      <c r="O616" s="455" t="s">
        <v>1553</v>
      </c>
      <c r="P616" s="455" t="s">
        <v>597</v>
      </c>
      <c r="Q616" s="455"/>
      <c r="R616" s="455"/>
      <c r="S616" s="168">
        <v>0</v>
      </c>
      <c r="T616" s="523">
        <v>0</v>
      </c>
    </row>
    <row r="617" spans="1:22" ht="16.5" thickTop="1" thickBot="1">
      <c r="A617" s="554" t="s">
        <v>2668</v>
      </c>
      <c r="B617" s="555"/>
      <c r="C617" s="555"/>
      <c r="D617" s="556"/>
      <c r="E617" s="560">
        <f>SUM(E595:E616)</f>
        <v>720232.53</v>
      </c>
      <c r="F617" s="560">
        <f>SUM(F595:F616)</f>
        <v>1478338</v>
      </c>
      <c r="G617" s="560">
        <f>SUM(G595:G616)</f>
        <v>973919.96000000008</v>
      </c>
      <c r="H617" s="560">
        <f>SUM(H595:H616)</f>
        <v>5790489</v>
      </c>
      <c r="N617" s="554" t="s">
        <v>2668</v>
      </c>
      <c r="O617" s="555"/>
      <c r="P617" s="555"/>
      <c r="Q617" s="555">
        <f>SUM(Q595:Q616)</f>
        <v>1380877</v>
      </c>
      <c r="R617" s="555">
        <f>SUM(R595:R616)</f>
        <v>1265126</v>
      </c>
      <c r="S617" s="560">
        <f>SUM(S595:S616)</f>
        <v>1854122.51</v>
      </c>
      <c r="T617" s="558">
        <f>SUM(T595:T616)</f>
        <v>1854121</v>
      </c>
      <c r="U617" s="168">
        <f>SUM(S617)</f>
        <v>1854122.51</v>
      </c>
      <c r="V617" s="168">
        <f>SUM(T617)</f>
        <v>1854121</v>
      </c>
    </row>
    <row r="618" spans="1:22" ht="15.75" thickTop="1">
      <c r="B618" s="455"/>
      <c r="E618" s="150"/>
      <c r="O618" s="455"/>
      <c r="P618" s="455"/>
      <c r="Q618" s="455"/>
      <c r="R618" s="455"/>
      <c r="T618" s="523"/>
      <c r="V618" s="603">
        <f>SUM(V592:V617)</f>
        <v>1849121</v>
      </c>
    </row>
    <row r="619" spans="1:22">
      <c r="A619" s="168" t="s">
        <v>318</v>
      </c>
      <c r="B619" s="455" t="s">
        <v>1244</v>
      </c>
      <c r="C619" s="455" t="s">
        <v>1368</v>
      </c>
      <c r="D619" s="168" t="s">
        <v>1244</v>
      </c>
      <c r="E619" s="150">
        <v>-13128046.369999999</v>
      </c>
      <c r="F619" s="456">
        <v>-19448368</v>
      </c>
      <c r="G619" s="168">
        <v>-17210149.690000001</v>
      </c>
      <c r="H619" s="168">
        <v>-17635949</v>
      </c>
      <c r="N619" s="168" t="s">
        <v>318</v>
      </c>
      <c r="O619" s="455" t="s">
        <v>1244</v>
      </c>
      <c r="P619" s="455" t="s">
        <v>1368</v>
      </c>
      <c r="Q619" s="455">
        <v>-17591582</v>
      </c>
      <c r="R619" s="455">
        <v>-17591582</v>
      </c>
      <c r="S619" s="168">
        <v>-26253778.07</v>
      </c>
      <c r="T619" s="523">
        <v>-17591582</v>
      </c>
    </row>
    <row r="620" spans="1:22">
      <c r="A620" s="168" t="s">
        <v>319</v>
      </c>
      <c r="B620" s="455" t="s">
        <v>1244</v>
      </c>
      <c r="C620" s="455" t="s">
        <v>1368</v>
      </c>
      <c r="D620" s="168" t="s">
        <v>1244</v>
      </c>
      <c r="E620" s="150">
        <v>-190170.4</v>
      </c>
      <c r="F620" s="456">
        <v>-232290</v>
      </c>
      <c r="G620" s="168">
        <v>-233465.08</v>
      </c>
      <c r="H620" s="168">
        <v>-404974</v>
      </c>
      <c r="N620" s="168" t="s">
        <v>319</v>
      </c>
      <c r="O620" s="455" t="s">
        <v>1244</v>
      </c>
      <c r="P620" s="455" t="s">
        <v>1368</v>
      </c>
      <c r="Q620" s="455">
        <v>-254828</v>
      </c>
      <c r="R620" s="455">
        <v>-254828</v>
      </c>
      <c r="S620" s="168">
        <v>-248321.23</v>
      </c>
      <c r="T620" s="523">
        <v>-254828</v>
      </c>
    </row>
    <row r="621" spans="1:22">
      <c r="A621" s="168" t="s">
        <v>320</v>
      </c>
      <c r="B621" s="455" t="s">
        <v>1244</v>
      </c>
      <c r="C621" s="455" t="s">
        <v>1368</v>
      </c>
      <c r="D621" s="168" t="s">
        <v>1244</v>
      </c>
      <c r="E621" s="150">
        <v>-66984.02</v>
      </c>
      <c r="F621" s="456">
        <v>-22136</v>
      </c>
      <c r="G621" s="168">
        <v>-156134.59</v>
      </c>
      <c r="H621" s="168">
        <v>-52748</v>
      </c>
      <c r="N621" s="168" t="s">
        <v>320</v>
      </c>
      <c r="O621" s="455" t="s">
        <v>1244</v>
      </c>
      <c r="P621" s="455" t="s">
        <v>1368</v>
      </c>
      <c r="Q621" s="455">
        <v>-89759</v>
      </c>
      <c r="R621" s="455">
        <v>-89759</v>
      </c>
      <c r="S621" s="168">
        <v>-175884.61</v>
      </c>
      <c r="T621" s="523">
        <v>-89759</v>
      </c>
    </row>
    <row r="622" spans="1:22">
      <c r="A622" s="168" t="s">
        <v>321</v>
      </c>
      <c r="B622" s="455" t="s">
        <v>1244</v>
      </c>
      <c r="C622" s="455" t="s">
        <v>1368</v>
      </c>
      <c r="D622" s="168" t="s">
        <v>1244</v>
      </c>
      <c r="E622" s="150">
        <v>-7372369.5599999996</v>
      </c>
      <c r="F622" s="456">
        <v>-2476928</v>
      </c>
      <c r="G622" s="168">
        <f>-10426465.6-295466.29+169681.86</f>
        <v>-10552250.029999999</v>
      </c>
      <c r="H622" s="168">
        <v>-11015662</v>
      </c>
      <c r="N622" s="168" t="s">
        <v>321</v>
      </c>
      <c r="O622" s="455" t="s">
        <v>1244</v>
      </c>
      <c r="P622" s="455" t="s">
        <v>1368</v>
      </c>
      <c r="Q622" s="455">
        <v>-9878975</v>
      </c>
      <c r="R622" s="455">
        <v>-9878975</v>
      </c>
      <c r="S622" s="168">
        <v>-10749142.550000001</v>
      </c>
      <c r="T622" s="523">
        <v>-9878975</v>
      </c>
    </row>
    <row r="623" spans="1:22">
      <c r="A623" s="168" t="s">
        <v>2714</v>
      </c>
      <c r="B623" s="455" t="s">
        <v>1244</v>
      </c>
      <c r="C623" s="455" t="s">
        <v>1368</v>
      </c>
      <c r="D623" s="168" t="s">
        <v>3548</v>
      </c>
      <c r="E623" s="150"/>
      <c r="G623" s="168">
        <v>-682535</v>
      </c>
      <c r="H623" s="168">
        <v>-682535</v>
      </c>
      <c r="N623" s="168" t="s">
        <v>2714</v>
      </c>
      <c r="O623" s="455" t="s">
        <v>1244</v>
      </c>
      <c r="P623" s="168" t="s">
        <v>3548</v>
      </c>
      <c r="S623" s="168">
        <v>-1492029.19</v>
      </c>
      <c r="T623" s="523">
        <v>0</v>
      </c>
    </row>
    <row r="624" spans="1:22">
      <c r="A624" s="168" t="s">
        <v>2715</v>
      </c>
      <c r="B624" s="455" t="s">
        <v>1244</v>
      </c>
      <c r="C624" s="455" t="s">
        <v>1368</v>
      </c>
      <c r="D624" s="168" t="s">
        <v>3548</v>
      </c>
      <c r="E624" s="150"/>
      <c r="G624" s="168">
        <v>-366175</v>
      </c>
      <c r="H624" s="168">
        <v>-366175</v>
      </c>
      <c r="N624" s="168" t="s">
        <v>2715</v>
      </c>
      <c r="O624" s="455" t="s">
        <v>1244</v>
      </c>
      <c r="P624" s="168" t="s">
        <v>3548</v>
      </c>
      <c r="S624" s="168">
        <v>-1433810.11</v>
      </c>
      <c r="T624" s="523">
        <v>0</v>
      </c>
    </row>
    <row r="625" spans="1:22">
      <c r="A625" s="168" t="s">
        <v>3480</v>
      </c>
      <c r="B625" s="455" t="s">
        <v>1244</v>
      </c>
      <c r="C625" s="455" t="s">
        <v>1368</v>
      </c>
      <c r="D625" s="168" t="s">
        <v>1244</v>
      </c>
      <c r="E625" s="150"/>
      <c r="N625" s="168" t="s">
        <v>3480</v>
      </c>
      <c r="O625" s="455" t="s">
        <v>1244</v>
      </c>
      <c r="P625" s="455" t="s">
        <v>1368</v>
      </c>
      <c r="Q625" s="455"/>
      <c r="R625" s="455"/>
      <c r="S625" s="168">
        <v>-9917.69</v>
      </c>
      <c r="T625" s="523">
        <v>0</v>
      </c>
    </row>
    <row r="626" spans="1:22">
      <c r="A626" s="168" t="s">
        <v>3534</v>
      </c>
      <c r="B626" s="455" t="s">
        <v>1244</v>
      </c>
      <c r="D626" s="168" t="s">
        <v>3349</v>
      </c>
      <c r="E626" s="150"/>
      <c r="G626" s="168">
        <v>-231262.92</v>
      </c>
      <c r="O626" s="455" t="s">
        <v>1244</v>
      </c>
      <c r="P626" s="168" t="s">
        <v>3349</v>
      </c>
      <c r="S626" s="598">
        <v>-695616.6</v>
      </c>
      <c r="T626" s="523"/>
    </row>
    <row r="627" spans="1:22">
      <c r="A627" s="168" t="s">
        <v>2713</v>
      </c>
      <c r="B627" s="455" t="s">
        <v>1244</v>
      </c>
      <c r="C627" s="455" t="s">
        <v>2167</v>
      </c>
      <c r="D627" s="168" t="s">
        <v>1244</v>
      </c>
      <c r="E627" s="150"/>
      <c r="G627" s="168">
        <v>-3020000</v>
      </c>
      <c r="H627" s="168">
        <v>-2720000</v>
      </c>
      <c r="N627" s="168" t="s">
        <v>2713</v>
      </c>
      <c r="O627" s="455" t="s">
        <v>1244</v>
      </c>
      <c r="P627" s="455" t="s">
        <v>3549</v>
      </c>
      <c r="Q627" s="455">
        <v>-943000</v>
      </c>
      <c r="R627" s="455">
        <v>-943000</v>
      </c>
      <c r="S627" s="168">
        <v>0</v>
      </c>
      <c r="T627" s="523">
        <v>-943000</v>
      </c>
    </row>
    <row r="628" spans="1:22">
      <c r="B628" s="455"/>
      <c r="E628" s="150"/>
      <c r="O628" s="455"/>
      <c r="P628" s="455"/>
      <c r="Q628" s="455"/>
      <c r="R628" s="455"/>
      <c r="T628" s="523"/>
    </row>
    <row r="629" spans="1:22" ht="15.75" thickBot="1">
      <c r="B629" s="455"/>
      <c r="E629" s="150"/>
      <c r="O629" s="455"/>
      <c r="P629" s="455"/>
      <c r="Q629" s="455"/>
      <c r="R629" s="455"/>
      <c r="T629" s="523"/>
    </row>
    <row r="630" spans="1:22" ht="16.5" thickTop="1" thickBot="1">
      <c r="A630" s="554" t="s">
        <v>2668</v>
      </c>
      <c r="B630" s="555"/>
      <c r="C630" s="555"/>
      <c r="D630" s="556"/>
      <c r="E630" s="560">
        <f>SUM(E619:E629)</f>
        <v>-20757570.349999998</v>
      </c>
      <c r="F630" s="560">
        <f>SUM(F619:F629)</f>
        <v>-22179722</v>
      </c>
      <c r="G630" s="560">
        <f>SUM(G619:G629)</f>
        <v>-32451972.310000002</v>
      </c>
      <c r="H630" s="560">
        <f>SUM(H619:H629)</f>
        <v>-32878043</v>
      </c>
      <c r="I630" s="168">
        <v>32878043</v>
      </c>
      <c r="N630" s="554" t="s">
        <v>2668</v>
      </c>
      <c r="O630" s="555"/>
      <c r="P630" s="555"/>
      <c r="Q630" s="555">
        <f>SUM(Q619:Q629)</f>
        <v>-28758144</v>
      </c>
      <c r="R630" s="555">
        <f>SUM(R619:R629)</f>
        <v>-28758144</v>
      </c>
      <c r="S630" s="560">
        <f>SUM(S619:S629)</f>
        <v>-41058500.049999997</v>
      </c>
      <c r="T630" s="558">
        <f>SUM(T619:T629)</f>
        <v>-28758144</v>
      </c>
      <c r="U630" s="168">
        <f>SUM(S630)</f>
        <v>-41058500.049999997</v>
      </c>
      <c r="V630" s="168">
        <f>SUM(T630)</f>
        <v>-28758144</v>
      </c>
    </row>
    <row r="631" spans="1:22" ht="15.75" thickTop="1">
      <c r="B631" s="455"/>
      <c r="E631" s="150"/>
      <c r="O631" s="455"/>
      <c r="P631" s="455"/>
      <c r="Q631" s="455"/>
      <c r="R631" s="455"/>
      <c r="T631" s="523"/>
    </row>
    <row r="632" spans="1:22">
      <c r="A632" s="168" t="s">
        <v>323</v>
      </c>
      <c r="B632" s="455" t="s">
        <v>1549</v>
      </c>
      <c r="C632" s="455" t="s">
        <v>75</v>
      </c>
      <c r="D632" s="168" t="s">
        <v>1244</v>
      </c>
      <c r="E632" s="150">
        <v>832516.2</v>
      </c>
      <c r="F632" s="456">
        <v>1475000</v>
      </c>
      <c r="G632" s="168">
        <v>1086333.26</v>
      </c>
      <c r="H632" s="168">
        <v>1088354</v>
      </c>
      <c r="N632" s="168" t="s">
        <v>323</v>
      </c>
      <c r="O632" s="455" t="s">
        <v>1549</v>
      </c>
      <c r="P632" s="455" t="s">
        <v>75</v>
      </c>
      <c r="Q632" s="455">
        <v>2212628</v>
      </c>
      <c r="R632" s="455">
        <v>2212628</v>
      </c>
      <c r="S632" s="168">
        <v>1540309.83</v>
      </c>
      <c r="T632" s="523">
        <v>1540309</v>
      </c>
    </row>
    <row r="633" spans="1:22">
      <c r="A633" s="168" t="s">
        <v>324</v>
      </c>
      <c r="B633" s="455" t="s">
        <v>1549</v>
      </c>
      <c r="C633" s="455" t="s">
        <v>77</v>
      </c>
      <c r="D633" s="168" t="s">
        <v>1244</v>
      </c>
      <c r="E633" s="150">
        <v>507366.75</v>
      </c>
      <c r="F633" s="456">
        <v>508000</v>
      </c>
      <c r="G633" s="168">
        <v>689062.63</v>
      </c>
      <c r="H633" s="168">
        <v>689062</v>
      </c>
      <c r="N633" s="168" t="s">
        <v>324</v>
      </c>
      <c r="O633" s="455" t="s">
        <v>1549</v>
      </c>
      <c r="P633" s="455" t="s">
        <v>77</v>
      </c>
      <c r="Q633" s="455">
        <v>500000</v>
      </c>
      <c r="R633" s="455">
        <v>500000</v>
      </c>
      <c r="S633" s="168">
        <v>920140.68</v>
      </c>
      <c r="T633" s="523">
        <v>920140</v>
      </c>
    </row>
    <row r="634" spans="1:22">
      <c r="A634" s="168" t="s">
        <v>325</v>
      </c>
      <c r="B634" s="455" t="s">
        <v>1549</v>
      </c>
      <c r="C634" s="455" t="s">
        <v>60</v>
      </c>
      <c r="D634" s="168" t="s">
        <v>1244</v>
      </c>
      <c r="E634" s="150">
        <v>124440.09</v>
      </c>
      <c r="F634" s="456">
        <v>125224</v>
      </c>
      <c r="G634" s="168">
        <v>87863.039999999994</v>
      </c>
      <c r="H634" s="168">
        <v>87864</v>
      </c>
      <c r="N634" s="168" t="s">
        <v>325</v>
      </c>
      <c r="O634" s="455" t="s">
        <v>1549</v>
      </c>
      <c r="P634" s="455" t="s">
        <v>60</v>
      </c>
      <c r="Q634" s="455">
        <v>184386</v>
      </c>
      <c r="R634" s="455">
        <v>184386</v>
      </c>
      <c r="S634" s="168">
        <v>129195.8</v>
      </c>
      <c r="T634" s="523">
        <v>129196</v>
      </c>
    </row>
    <row r="635" spans="1:22">
      <c r="A635" s="168" t="s">
        <v>326</v>
      </c>
      <c r="B635" s="455" t="s">
        <v>1549</v>
      </c>
      <c r="C635" s="455" t="s">
        <v>1395</v>
      </c>
      <c r="D635" s="168" t="s">
        <v>1244</v>
      </c>
      <c r="E635" s="150">
        <v>119358.56</v>
      </c>
      <c r="F635" s="456">
        <v>120000</v>
      </c>
      <c r="G635" s="168">
        <v>77347.89</v>
      </c>
      <c r="H635" s="168">
        <v>77348</v>
      </c>
      <c r="N635" s="168" t="s">
        <v>326</v>
      </c>
      <c r="O635" s="455" t="s">
        <v>1549</v>
      </c>
      <c r="P635" s="455" t="s">
        <v>1395</v>
      </c>
      <c r="Q635" s="455"/>
      <c r="R635" s="455"/>
      <c r="S635" s="168">
        <v>99251.39</v>
      </c>
      <c r="T635" s="523">
        <v>99252</v>
      </c>
    </row>
    <row r="636" spans="1:22">
      <c r="A636" s="168" t="s">
        <v>327</v>
      </c>
      <c r="B636" s="455" t="s">
        <v>1549</v>
      </c>
      <c r="C636" s="455" t="s">
        <v>515</v>
      </c>
      <c r="D636" s="168" t="s">
        <v>1244</v>
      </c>
      <c r="E636" s="150">
        <v>1439.92</v>
      </c>
      <c r="F636" s="456">
        <v>1500</v>
      </c>
      <c r="G636" s="168">
        <v>29970.65</v>
      </c>
      <c r="H636" s="168">
        <v>29971</v>
      </c>
      <c r="N636" s="168" t="s">
        <v>327</v>
      </c>
      <c r="O636" s="455" t="s">
        <v>1549</v>
      </c>
      <c r="P636" s="455" t="s">
        <v>515</v>
      </c>
      <c r="Q636" s="455">
        <v>419540</v>
      </c>
      <c r="R636" s="455">
        <v>419540</v>
      </c>
      <c r="S636" s="168">
        <v>0</v>
      </c>
      <c r="T636" s="523">
        <v>0</v>
      </c>
    </row>
    <row r="637" spans="1:22">
      <c r="A637" s="168" t="s">
        <v>328</v>
      </c>
      <c r="B637" s="455" t="s">
        <v>1549</v>
      </c>
      <c r="C637" s="455" t="s">
        <v>660</v>
      </c>
      <c r="D637" s="168" t="s">
        <v>1244</v>
      </c>
      <c r="E637" s="150">
        <v>0</v>
      </c>
      <c r="F637" s="456">
        <v>0</v>
      </c>
      <c r="G637" s="168">
        <v>0</v>
      </c>
      <c r="H637" s="168">
        <v>0</v>
      </c>
      <c r="N637" s="168" t="s">
        <v>328</v>
      </c>
      <c r="O637" s="455" t="s">
        <v>1549</v>
      </c>
      <c r="P637" s="455" t="s">
        <v>660</v>
      </c>
      <c r="Q637" s="455"/>
      <c r="R637" s="455"/>
      <c r="S637" s="168">
        <v>0</v>
      </c>
      <c r="T637" s="523">
        <v>0</v>
      </c>
    </row>
    <row r="638" spans="1:22">
      <c r="A638" s="168" t="s">
        <v>329</v>
      </c>
      <c r="B638" s="455" t="s">
        <v>1549</v>
      </c>
      <c r="C638" s="455" t="s">
        <v>767</v>
      </c>
      <c r="D638" s="168" t="s">
        <v>1244</v>
      </c>
      <c r="E638" s="150">
        <v>13908</v>
      </c>
      <c r="F638" s="456">
        <v>15000</v>
      </c>
      <c r="G638" s="168">
        <v>990.4</v>
      </c>
      <c r="H638" s="168">
        <v>991</v>
      </c>
      <c r="N638" s="168" t="s">
        <v>329</v>
      </c>
      <c r="O638" s="455" t="s">
        <v>1549</v>
      </c>
      <c r="P638" s="455" t="s">
        <v>767</v>
      </c>
      <c r="Q638" s="455">
        <v>46872</v>
      </c>
      <c r="R638" s="455">
        <v>46872</v>
      </c>
      <c r="S638" s="168">
        <v>2595</v>
      </c>
      <c r="T638" s="523">
        <v>2595</v>
      </c>
    </row>
    <row r="639" spans="1:22">
      <c r="A639" s="168" t="s">
        <v>2716</v>
      </c>
      <c r="B639" s="455"/>
      <c r="E639" s="150"/>
      <c r="G639" s="168">
        <v>12052.42</v>
      </c>
      <c r="H639" s="168">
        <v>12052</v>
      </c>
      <c r="N639" s="168" t="s">
        <v>2716</v>
      </c>
      <c r="O639" s="455"/>
      <c r="P639" s="455"/>
      <c r="Q639" s="455"/>
      <c r="R639" s="455"/>
      <c r="S639" s="168">
        <v>73261.13</v>
      </c>
      <c r="T639" s="523">
        <v>73261</v>
      </c>
    </row>
    <row r="640" spans="1:22">
      <c r="A640" s="168" t="s">
        <v>2717</v>
      </c>
      <c r="B640" s="455"/>
      <c r="E640" s="150"/>
      <c r="G640" s="168">
        <v>1225</v>
      </c>
      <c r="H640" s="168">
        <v>1225</v>
      </c>
      <c r="N640" s="168" t="s">
        <v>2717</v>
      </c>
      <c r="O640" s="455"/>
      <c r="P640" s="455"/>
      <c r="Q640" s="455"/>
      <c r="R640" s="455"/>
      <c r="S640" s="168">
        <v>0</v>
      </c>
      <c r="T640" s="523">
        <v>0</v>
      </c>
    </row>
    <row r="641" spans="1:23">
      <c r="A641" s="168" t="s">
        <v>330</v>
      </c>
      <c r="B641" s="455" t="s">
        <v>1549</v>
      </c>
      <c r="C641" s="455" t="s">
        <v>590</v>
      </c>
      <c r="D641" s="168" t="s">
        <v>1244</v>
      </c>
      <c r="E641" s="150">
        <v>59929.68</v>
      </c>
      <c r="F641" s="456">
        <v>63000</v>
      </c>
      <c r="G641" s="168">
        <v>40624</v>
      </c>
      <c r="H641" s="168">
        <v>40624</v>
      </c>
      <c r="N641" s="168" t="s">
        <v>330</v>
      </c>
      <c r="O641" s="455" t="s">
        <v>1549</v>
      </c>
      <c r="P641" s="455" t="s">
        <v>590</v>
      </c>
      <c r="Q641" s="455">
        <v>223579</v>
      </c>
      <c r="R641" s="455">
        <v>223579</v>
      </c>
      <c r="S641" s="168">
        <v>13113.74</v>
      </c>
      <c r="T641" s="523">
        <v>13114</v>
      </c>
    </row>
    <row r="642" spans="1:23">
      <c r="A642" s="168" t="s">
        <v>331</v>
      </c>
      <c r="B642" s="455" t="s">
        <v>1549</v>
      </c>
      <c r="C642" s="455" t="s">
        <v>590</v>
      </c>
      <c r="D642" s="168" t="s">
        <v>1244</v>
      </c>
      <c r="E642" s="150">
        <v>310948.84999999998</v>
      </c>
      <c r="F642" s="456">
        <v>317000</v>
      </c>
      <c r="G642" s="168">
        <v>235307.2</v>
      </c>
      <c r="H642" s="168">
        <v>235308</v>
      </c>
      <c r="N642" s="168" t="s">
        <v>331</v>
      </c>
      <c r="O642" s="455" t="s">
        <v>1549</v>
      </c>
      <c r="P642" s="455" t="s">
        <v>590</v>
      </c>
      <c r="Q642" s="455">
        <v>497051</v>
      </c>
      <c r="R642" s="455">
        <v>497051</v>
      </c>
      <c r="S642" s="168">
        <v>323969.2</v>
      </c>
      <c r="T642" s="523">
        <v>323970</v>
      </c>
    </row>
    <row r="643" spans="1:23">
      <c r="A643" s="168" t="s">
        <v>332</v>
      </c>
      <c r="B643" s="455" t="s">
        <v>1549</v>
      </c>
      <c r="C643" s="455" t="s">
        <v>590</v>
      </c>
      <c r="D643" s="168" t="s">
        <v>1244</v>
      </c>
      <c r="E643" s="150">
        <v>18370.490000000002</v>
      </c>
      <c r="F643" s="456">
        <v>19000</v>
      </c>
      <c r="G643" s="168">
        <v>15320.51</v>
      </c>
      <c r="H643" s="168">
        <v>15321</v>
      </c>
      <c r="N643" s="168" t="s">
        <v>332</v>
      </c>
      <c r="O643" s="455" t="s">
        <v>1549</v>
      </c>
      <c r="P643" s="455" t="s">
        <v>590</v>
      </c>
      <c r="Q643" s="455">
        <v>22126</v>
      </c>
      <c r="R643" s="455">
        <v>22126</v>
      </c>
      <c r="S643" s="168">
        <v>18448.810000000001</v>
      </c>
      <c r="T643" s="523">
        <v>18449</v>
      </c>
    </row>
    <row r="644" spans="1:23">
      <c r="A644" s="168" t="s">
        <v>333</v>
      </c>
      <c r="B644" s="455" t="s">
        <v>1549</v>
      </c>
      <c r="C644" s="455" t="s">
        <v>590</v>
      </c>
      <c r="D644" s="168" t="s">
        <v>1244</v>
      </c>
      <c r="E644" s="150">
        <v>13188.6</v>
      </c>
      <c r="F644" s="456">
        <v>14000</v>
      </c>
      <c r="G644" s="168">
        <v>6363.12</v>
      </c>
      <c r="H644" s="168">
        <v>6364</v>
      </c>
      <c r="N644" s="168" t="s">
        <v>333</v>
      </c>
      <c r="O644" s="455" t="s">
        <v>1549</v>
      </c>
      <c r="P644" s="455" t="s">
        <v>590</v>
      </c>
      <c r="Q644" s="455">
        <v>33853</v>
      </c>
      <c r="R644" s="455">
        <v>33853</v>
      </c>
      <c r="S644" s="168">
        <v>13373.48</v>
      </c>
      <c r="T644" s="523">
        <v>13374</v>
      </c>
    </row>
    <row r="645" spans="1:23">
      <c r="A645" s="168" t="s">
        <v>334</v>
      </c>
      <c r="B645" s="455" t="s">
        <v>1549</v>
      </c>
      <c r="C645" s="455" t="s">
        <v>1807</v>
      </c>
      <c r="D645" s="168" t="s">
        <v>1244</v>
      </c>
      <c r="E645" s="150">
        <v>1027.2</v>
      </c>
      <c r="F645" s="456">
        <v>1100</v>
      </c>
      <c r="G645" s="168">
        <v>901.14</v>
      </c>
      <c r="H645" s="168">
        <v>902</v>
      </c>
      <c r="N645" s="168" t="s">
        <v>334</v>
      </c>
      <c r="O645" s="455" t="s">
        <v>1549</v>
      </c>
      <c r="P645" s="455" t="s">
        <v>1807</v>
      </c>
      <c r="Q645" s="455">
        <v>1408</v>
      </c>
      <c r="R645" s="455">
        <v>1408</v>
      </c>
      <c r="S645" s="168">
        <v>1053.54</v>
      </c>
      <c r="T645" s="523">
        <v>1054</v>
      </c>
    </row>
    <row r="646" spans="1:23">
      <c r="A646" s="168" t="s">
        <v>335</v>
      </c>
      <c r="B646" s="455" t="s">
        <v>1551</v>
      </c>
      <c r="C646" s="455" t="s">
        <v>592</v>
      </c>
      <c r="D646" s="168" t="s">
        <v>1244</v>
      </c>
      <c r="E646" s="150">
        <v>0</v>
      </c>
      <c r="F646" s="456">
        <v>82424</v>
      </c>
      <c r="G646" s="168">
        <v>851148</v>
      </c>
      <c r="H646" s="168">
        <v>491433</v>
      </c>
      <c r="N646" s="168" t="s">
        <v>335</v>
      </c>
      <c r="O646" s="455" t="s">
        <v>1551</v>
      </c>
      <c r="P646" s="455" t="s">
        <v>592</v>
      </c>
      <c r="Q646" s="455">
        <v>446346</v>
      </c>
      <c r="R646" s="455">
        <v>446346</v>
      </c>
      <c r="S646" s="168">
        <v>843957.3</v>
      </c>
      <c r="T646" s="523">
        <v>446346</v>
      </c>
    </row>
    <row r="647" spans="1:23">
      <c r="A647" s="168" t="s">
        <v>336</v>
      </c>
      <c r="B647" s="455" t="s">
        <v>1552</v>
      </c>
      <c r="C647" s="455" t="s">
        <v>595</v>
      </c>
      <c r="D647" s="168" t="s">
        <v>1244</v>
      </c>
      <c r="E647" s="150">
        <v>5024.21</v>
      </c>
      <c r="F647" s="456">
        <v>6000</v>
      </c>
      <c r="G647" s="168">
        <v>5073.24</v>
      </c>
      <c r="H647" s="168">
        <v>5073</v>
      </c>
      <c r="N647" s="168" t="s">
        <v>336</v>
      </c>
      <c r="O647" s="455" t="s">
        <v>1552</v>
      </c>
      <c r="P647" s="455" t="s">
        <v>595</v>
      </c>
      <c r="Q647" s="455">
        <v>15581</v>
      </c>
      <c r="R647" s="455">
        <v>15581</v>
      </c>
      <c r="S647" s="168">
        <v>1739.16</v>
      </c>
      <c r="T647" s="523">
        <v>1740</v>
      </c>
    </row>
    <row r="648" spans="1:23">
      <c r="A648" s="168" t="s">
        <v>337</v>
      </c>
      <c r="B648" s="455" t="s">
        <v>1552</v>
      </c>
      <c r="C648" s="455" t="s">
        <v>338</v>
      </c>
      <c r="D648" s="168" t="s">
        <v>1244</v>
      </c>
      <c r="E648" s="150">
        <v>324648.15999999997</v>
      </c>
      <c r="F648" s="456">
        <v>326000</v>
      </c>
      <c r="G648" s="168">
        <v>1211751.73</v>
      </c>
      <c r="H648" s="168">
        <v>1211751</v>
      </c>
      <c r="N648" s="168" t="s">
        <v>337</v>
      </c>
      <c r="O648" s="455" t="s">
        <v>1552</v>
      </c>
      <c r="P648" s="455" t="s">
        <v>338</v>
      </c>
      <c r="Q648" s="455">
        <v>1061682</v>
      </c>
      <c r="R648" s="455">
        <v>780336</v>
      </c>
      <c r="S648" s="168">
        <v>1174558.07</v>
      </c>
      <c r="T648" s="523">
        <v>1174558</v>
      </c>
    </row>
    <row r="649" spans="1:23">
      <c r="A649" s="168" t="s">
        <v>339</v>
      </c>
      <c r="B649" s="455" t="s">
        <v>1552</v>
      </c>
      <c r="C649" s="455" t="s">
        <v>545</v>
      </c>
      <c r="D649" s="168" t="s">
        <v>1244</v>
      </c>
      <c r="E649" s="150">
        <v>53.33</v>
      </c>
      <c r="F649" s="456">
        <v>1000</v>
      </c>
      <c r="G649" s="168">
        <v>140.05000000000001</v>
      </c>
      <c r="H649" s="168">
        <v>141</v>
      </c>
      <c r="N649" s="168" t="s">
        <v>339</v>
      </c>
      <c r="O649" s="455" t="s">
        <v>1552</v>
      </c>
      <c r="P649" s="455" t="s">
        <v>545</v>
      </c>
      <c r="Q649" s="455">
        <v>1839</v>
      </c>
      <c r="R649" s="455">
        <v>500</v>
      </c>
      <c r="S649" s="168">
        <v>0</v>
      </c>
      <c r="T649" s="523">
        <v>0</v>
      </c>
    </row>
    <row r="650" spans="1:23">
      <c r="A650" s="168" t="s">
        <v>340</v>
      </c>
      <c r="B650" s="455" t="s">
        <v>1552</v>
      </c>
      <c r="C650" s="455" t="s">
        <v>545</v>
      </c>
      <c r="D650" s="168" t="s">
        <v>1244</v>
      </c>
      <c r="E650" s="150">
        <v>36268.74</v>
      </c>
      <c r="F650" s="456">
        <v>39000</v>
      </c>
      <c r="G650" s="168">
        <v>25450.37</v>
      </c>
      <c r="H650" s="168">
        <v>25451</v>
      </c>
      <c r="N650" s="168" t="s">
        <v>340</v>
      </c>
      <c r="O650" s="455" t="s">
        <v>1552</v>
      </c>
      <c r="P650" s="455" t="s">
        <v>545</v>
      </c>
      <c r="Q650" s="455">
        <v>32590</v>
      </c>
      <c r="R650" s="455">
        <v>32590</v>
      </c>
      <c r="S650" s="168">
        <v>39769.949999999997</v>
      </c>
      <c r="T650" s="523">
        <v>39769</v>
      </c>
      <c r="W650" s="147"/>
    </row>
    <row r="651" spans="1:23">
      <c r="A651" s="168" t="s">
        <v>341</v>
      </c>
      <c r="B651" s="455" t="s">
        <v>2469</v>
      </c>
      <c r="C651" s="455" t="s">
        <v>2315</v>
      </c>
      <c r="D651" s="168" t="s">
        <v>1244</v>
      </c>
      <c r="E651" s="150">
        <v>61535.58</v>
      </c>
      <c r="F651" s="456">
        <v>302765</v>
      </c>
      <c r="G651" s="168">
        <v>229368.85</v>
      </c>
      <c r="H651" s="168">
        <v>229369</v>
      </c>
      <c r="N651" s="168" t="s">
        <v>341</v>
      </c>
      <c r="O651" s="455" t="s">
        <v>2469</v>
      </c>
      <c r="P651" s="455" t="s">
        <v>2315</v>
      </c>
      <c r="Q651" s="455">
        <v>369354</v>
      </c>
      <c r="R651" s="455">
        <v>369354</v>
      </c>
      <c r="S651" s="168">
        <v>251129.12</v>
      </c>
      <c r="T651" s="523">
        <v>251130</v>
      </c>
    </row>
    <row r="652" spans="1:23" s="147" customFormat="1">
      <c r="A652" s="147" t="s">
        <v>342</v>
      </c>
      <c r="B652" s="148" t="s">
        <v>2469</v>
      </c>
      <c r="C652" s="148" t="s">
        <v>2333</v>
      </c>
      <c r="D652" s="147" t="s">
        <v>1244</v>
      </c>
      <c r="E652" s="151">
        <v>0</v>
      </c>
      <c r="F652" s="149">
        <v>463142</v>
      </c>
      <c r="G652" s="168">
        <v>0</v>
      </c>
      <c r="H652" s="168">
        <v>0</v>
      </c>
      <c r="N652" s="147" t="s">
        <v>342</v>
      </c>
      <c r="O652" s="148" t="s">
        <v>2469</v>
      </c>
      <c r="P652" s="148" t="s">
        <v>2333</v>
      </c>
      <c r="Q652" s="148"/>
      <c r="R652" s="148"/>
      <c r="S652" s="168">
        <v>0</v>
      </c>
      <c r="T652" s="523">
        <v>0</v>
      </c>
      <c r="W652" s="168"/>
    </row>
    <row r="653" spans="1:23">
      <c r="A653" s="168" t="s">
        <v>343</v>
      </c>
      <c r="B653" s="455" t="s">
        <v>18</v>
      </c>
      <c r="C653" s="455" t="s">
        <v>344</v>
      </c>
      <c r="D653" s="168" t="s">
        <v>1244</v>
      </c>
      <c r="E653" s="150">
        <v>12752281.619999999</v>
      </c>
      <c r="F653" s="456">
        <v>12853519</v>
      </c>
      <c r="G653" s="168">
        <v>16578331.51</v>
      </c>
      <c r="H653" s="168">
        <v>16578332</v>
      </c>
      <c r="N653" s="168" t="s">
        <v>343</v>
      </c>
      <c r="O653" s="455" t="s">
        <v>18</v>
      </c>
      <c r="P653" s="455" t="s">
        <v>344</v>
      </c>
      <c r="Q653" s="455">
        <v>16435531</v>
      </c>
      <c r="R653" s="455">
        <v>17210800</v>
      </c>
      <c r="S653" s="168">
        <v>27992230</v>
      </c>
      <c r="T653" s="523">
        <v>25764528</v>
      </c>
    </row>
    <row r="654" spans="1:23">
      <c r="A654" s="168" t="s">
        <v>345</v>
      </c>
      <c r="B654" s="455" t="s">
        <v>1553</v>
      </c>
      <c r="C654" s="455" t="s">
        <v>612</v>
      </c>
      <c r="D654" s="168" t="s">
        <v>1244</v>
      </c>
      <c r="E654" s="150">
        <v>0</v>
      </c>
      <c r="F654" s="456">
        <v>0</v>
      </c>
      <c r="G654" s="168">
        <v>0</v>
      </c>
      <c r="H654" s="168">
        <v>0</v>
      </c>
      <c r="N654" s="168" t="s">
        <v>345</v>
      </c>
      <c r="O654" s="455" t="s">
        <v>1553</v>
      </c>
      <c r="P654" s="455" t="s">
        <v>612</v>
      </c>
      <c r="Q654" s="455">
        <v>2943</v>
      </c>
      <c r="R654" s="455"/>
      <c r="S654" s="168">
        <v>0</v>
      </c>
      <c r="T654" s="523">
        <v>0</v>
      </c>
    </row>
    <row r="655" spans="1:23">
      <c r="A655" s="168" t="s">
        <v>346</v>
      </c>
      <c r="B655" s="455" t="s">
        <v>1553</v>
      </c>
      <c r="C655" s="455" t="s">
        <v>616</v>
      </c>
      <c r="D655" s="168" t="s">
        <v>1244</v>
      </c>
      <c r="E655" s="150">
        <v>2875.2</v>
      </c>
      <c r="F655" s="456">
        <v>2900</v>
      </c>
      <c r="G655" s="168">
        <v>26119.919999999998</v>
      </c>
      <c r="H655" s="168">
        <v>26119</v>
      </c>
      <c r="N655" s="168" t="s">
        <v>346</v>
      </c>
      <c r="O655" s="455" t="s">
        <v>1553</v>
      </c>
      <c r="P655" s="455" t="s">
        <v>616</v>
      </c>
      <c r="Q655" s="455">
        <v>1692</v>
      </c>
      <c r="R655" s="455">
        <v>7000</v>
      </c>
      <c r="S655" s="168">
        <v>6652.45</v>
      </c>
      <c r="T655" s="523">
        <v>6653</v>
      </c>
    </row>
    <row r="656" spans="1:23">
      <c r="A656" s="168" t="s">
        <v>347</v>
      </c>
      <c r="B656" s="455" t="s">
        <v>1553</v>
      </c>
      <c r="C656" s="455" t="s">
        <v>622</v>
      </c>
      <c r="D656" s="168" t="s">
        <v>1244</v>
      </c>
      <c r="E656" s="150">
        <v>79289.98</v>
      </c>
      <c r="F656" s="456">
        <v>80000</v>
      </c>
      <c r="G656" s="168">
        <v>137124.97</v>
      </c>
      <c r="H656" s="168">
        <v>137124</v>
      </c>
      <c r="N656" s="168" t="s">
        <v>347</v>
      </c>
      <c r="O656" s="455" t="s">
        <v>1553</v>
      </c>
      <c r="P656" s="455" t="s">
        <v>622</v>
      </c>
      <c r="Q656" s="455">
        <v>46671</v>
      </c>
      <c r="R656" s="455">
        <v>90000</v>
      </c>
      <c r="S656" s="168">
        <v>137254.54999999999</v>
      </c>
      <c r="T656" s="523">
        <v>137254</v>
      </c>
    </row>
    <row r="657" spans="1:22">
      <c r="A657" s="168" t="s">
        <v>348</v>
      </c>
      <c r="B657" s="455" t="s">
        <v>1553</v>
      </c>
      <c r="C657" s="455" t="s">
        <v>2322</v>
      </c>
      <c r="D657" s="168" t="s">
        <v>1244</v>
      </c>
      <c r="E657" s="150">
        <v>24578.080000000002</v>
      </c>
      <c r="F657" s="456">
        <v>25000</v>
      </c>
      <c r="G657" s="168">
        <v>0</v>
      </c>
      <c r="H657" s="168">
        <v>0</v>
      </c>
      <c r="N657" s="168" t="s">
        <v>348</v>
      </c>
      <c r="O657" s="455" t="s">
        <v>1553</v>
      </c>
      <c r="P657" s="455" t="s">
        <v>2322</v>
      </c>
      <c r="Q657" s="455">
        <v>27036</v>
      </c>
      <c r="R657" s="455">
        <v>27036</v>
      </c>
      <c r="S657" s="168">
        <v>924.88</v>
      </c>
      <c r="T657" s="523">
        <v>925</v>
      </c>
    </row>
    <row r="658" spans="1:22">
      <c r="A658" s="168" t="s">
        <v>349</v>
      </c>
      <c r="B658" s="455" t="s">
        <v>1553</v>
      </c>
      <c r="C658" s="455" t="s">
        <v>624</v>
      </c>
      <c r="D658" s="168" t="s">
        <v>1244</v>
      </c>
      <c r="E658" s="150">
        <v>2726.69</v>
      </c>
      <c r="F658" s="456">
        <v>4000</v>
      </c>
      <c r="G658" s="168">
        <v>5425</v>
      </c>
      <c r="H658" s="168">
        <v>5425</v>
      </c>
      <c r="N658" s="168" t="s">
        <v>349</v>
      </c>
      <c r="O658" s="455" t="s">
        <v>1553</v>
      </c>
      <c r="P658" s="455" t="s">
        <v>624</v>
      </c>
      <c r="Q658" s="455">
        <v>1605</v>
      </c>
      <c r="R658" s="455">
        <v>6000</v>
      </c>
      <c r="S658" s="168">
        <v>14653.2</v>
      </c>
      <c r="T658" s="523">
        <v>14653</v>
      </c>
    </row>
    <row r="659" spans="1:22">
      <c r="A659" s="168" t="s">
        <v>350</v>
      </c>
      <c r="B659" s="455" t="s">
        <v>1553</v>
      </c>
      <c r="C659" s="455" t="s">
        <v>633</v>
      </c>
      <c r="D659" s="168" t="s">
        <v>1244</v>
      </c>
      <c r="E659" s="150">
        <v>972.7</v>
      </c>
      <c r="F659" s="456">
        <v>1300</v>
      </c>
      <c r="G659" s="168">
        <v>97.01</v>
      </c>
      <c r="H659" s="168">
        <v>98</v>
      </c>
      <c r="N659" s="168" t="s">
        <v>350</v>
      </c>
      <c r="O659" s="455" t="s">
        <v>1553</v>
      </c>
      <c r="P659" s="455" t="s">
        <v>633</v>
      </c>
      <c r="Q659" s="455">
        <v>573</v>
      </c>
      <c r="R659" s="455">
        <v>316</v>
      </c>
      <c r="S659" s="168">
        <v>0</v>
      </c>
      <c r="T659" s="523">
        <v>0</v>
      </c>
    </row>
    <row r="660" spans="1:22">
      <c r="A660" s="168" t="s">
        <v>351</v>
      </c>
      <c r="B660" s="455" t="s">
        <v>1553</v>
      </c>
      <c r="C660" s="455" t="s">
        <v>253</v>
      </c>
      <c r="D660" s="168" t="s">
        <v>1244</v>
      </c>
      <c r="E660" s="150">
        <v>61581</v>
      </c>
      <c r="F660" s="456">
        <v>82000</v>
      </c>
      <c r="G660" s="168">
        <v>76457.88</v>
      </c>
      <c r="H660" s="168">
        <v>76457</v>
      </c>
      <c r="N660" s="168" t="s">
        <v>351</v>
      </c>
      <c r="O660" s="455" t="s">
        <v>1553</v>
      </c>
      <c r="P660" s="455" t="s">
        <v>253</v>
      </c>
      <c r="Q660" s="455">
        <v>57474</v>
      </c>
      <c r="R660" s="455">
        <v>57474</v>
      </c>
      <c r="S660" s="168">
        <v>48123.24</v>
      </c>
      <c r="T660" s="523">
        <v>48124</v>
      </c>
    </row>
    <row r="661" spans="1:22">
      <c r="A661" s="168" t="s">
        <v>352</v>
      </c>
      <c r="B661" s="455" t="s">
        <v>1553</v>
      </c>
      <c r="C661" s="455" t="s">
        <v>50</v>
      </c>
      <c r="D661" s="168" t="s">
        <v>1244</v>
      </c>
      <c r="E661" s="150">
        <v>10577.36</v>
      </c>
      <c r="F661" s="456">
        <v>13000</v>
      </c>
      <c r="G661" s="168">
        <v>968.53</v>
      </c>
      <c r="H661" s="168">
        <v>968</v>
      </c>
      <c r="N661" s="168" t="s">
        <v>352</v>
      </c>
      <c r="O661" s="455" t="s">
        <v>1553</v>
      </c>
      <c r="P661" s="455" t="s">
        <v>50</v>
      </c>
      <c r="Q661" s="455">
        <v>2602</v>
      </c>
      <c r="R661" s="455">
        <v>1912</v>
      </c>
      <c r="S661" s="168">
        <v>228.57</v>
      </c>
      <c r="T661" s="523">
        <v>229</v>
      </c>
    </row>
    <row r="662" spans="1:22">
      <c r="A662" s="168" t="s">
        <v>353</v>
      </c>
      <c r="B662" s="455" t="s">
        <v>1553</v>
      </c>
      <c r="C662" s="455" t="s">
        <v>52</v>
      </c>
      <c r="D662" s="168" t="s">
        <v>1244</v>
      </c>
      <c r="E662" s="150">
        <v>0</v>
      </c>
      <c r="F662" s="456">
        <v>0</v>
      </c>
      <c r="G662" s="168">
        <v>0</v>
      </c>
      <c r="H662" s="168">
        <v>0</v>
      </c>
      <c r="N662" s="168" t="s">
        <v>353</v>
      </c>
      <c r="O662" s="455" t="s">
        <v>1553</v>
      </c>
      <c r="P662" s="455" t="s">
        <v>52</v>
      </c>
      <c r="Q662" s="455">
        <v>3198</v>
      </c>
      <c r="R662" s="455">
        <v>1763</v>
      </c>
      <c r="S662" s="168">
        <v>0</v>
      </c>
      <c r="T662" s="523">
        <v>0</v>
      </c>
    </row>
    <row r="663" spans="1:22">
      <c r="A663" s="168" t="s">
        <v>354</v>
      </c>
      <c r="B663" s="455" t="s">
        <v>1553</v>
      </c>
      <c r="C663" s="455" t="s">
        <v>52</v>
      </c>
      <c r="D663" s="168" t="s">
        <v>1244</v>
      </c>
      <c r="E663" s="150">
        <v>45253.09</v>
      </c>
      <c r="F663" s="456">
        <v>45300</v>
      </c>
      <c r="G663" s="168">
        <v>16506.64</v>
      </c>
      <c r="H663" s="168">
        <v>16506</v>
      </c>
      <c r="N663" s="168" t="s">
        <v>354</v>
      </c>
      <c r="O663" s="455" t="s">
        <v>1553</v>
      </c>
      <c r="P663" s="455" t="s">
        <v>52</v>
      </c>
      <c r="Q663" s="455">
        <v>36949</v>
      </c>
      <c r="R663" s="455">
        <v>18700</v>
      </c>
      <c r="S663" s="168">
        <v>58780.58</v>
      </c>
      <c r="T663" s="523">
        <v>58780</v>
      </c>
    </row>
    <row r="664" spans="1:22">
      <c r="A664" s="168" t="s">
        <v>2735</v>
      </c>
      <c r="B664" s="455"/>
      <c r="E664" s="150"/>
      <c r="H664" s="168">
        <v>2538503</v>
      </c>
      <c r="N664" s="168" t="s">
        <v>2735</v>
      </c>
      <c r="O664" s="455"/>
      <c r="P664" s="455"/>
      <c r="Q664" s="455"/>
      <c r="R664" s="455"/>
      <c r="T664" s="523">
        <v>0</v>
      </c>
    </row>
    <row r="665" spans="1:22">
      <c r="A665" s="168" t="s">
        <v>355</v>
      </c>
      <c r="B665" s="455" t="s">
        <v>1553</v>
      </c>
      <c r="C665" s="455" t="s">
        <v>2053</v>
      </c>
      <c r="D665" s="168" t="s">
        <v>1244</v>
      </c>
      <c r="E665" s="150">
        <v>0</v>
      </c>
      <c r="F665" s="456">
        <v>0</v>
      </c>
      <c r="G665" s="168">
        <v>0</v>
      </c>
      <c r="H665" s="168">
        <v>0</v>
      </c>
      <c r="N665" s="168" t="s">
        <v>355</v>
      </c>
      <c r="O665" s="455" t="s">
        <v>1553</v>
      </c>
      <c r="P665" s="455" t="s">
        <v>2053</v>
      </c>
      <c r="Q665" s="455"/>
      <c r="R665" s="455"/>
      <c r="S665" s="168">
        <v>0</v>
      </c>
      <c r="T665" s="523">
        <v>0</v>
      </c>
    </row>
    <row r="666" spans="1:22">
      <c r="A666" s="168" t="s">
        <v>356</v>
      </c>
      <c r="B666" s="455" t="s">
        <v>1553</v>
      </c>
      <c r="C666" s="455" t="s">
        <v>2330</v>
      </c>
      <c r="D666" s="168" t="s">
        <v>1244</v>
      </c>
      <c r="E666" s="150">
        <v>0</v>
      </c>
      <c r="F666" s="456">
        <v>0</v>
      </c>
      <c r="G666" s="168">
        <v>0</v>
      </c>
      <c r="H666" s="168">
        <v>0</v>
      </c>
      <c r="N666" s="168" t="s">
        <v>356</v>
      </c>
      <c r="O666" s="455" t="s">
        <v>1553</v>
      </c>
      <c r="P666" s="455" t="s">
        <v>2330</v>
      </c>
      <c r="Q666" s="455"/>
      <c r="R666" s="455"/>
      <c r="S666" s="168">
        <v>0</v>
      </c>
      <c r="T666" s="523">
        <v>0</v>
      </c>
    </row>
    <row r="667" spans="1:22">
      <c r="A667" s="168" t="s">
        <v>357</v>
      </c>
      <c r="B667" s="455" t="s">
        <v>1553</v>
      </c>
      <c r="C667" s="455" t="s">
        <v>322</v>
      </c>
      <c r="D667" s="168" t="s">
        <v>1244</v>
      </c>
      <c r="E667" s="150">
        <v>0</v>
      </c>
      <c r="F667" s="456">
        <v>0</v>
      </c>
      <c r="G667" s="168">
        <v>0</v>
      </c>
      <c r="H667" s="168">
        <v>0</v>
      </c>
      <c r="N667" s="168" t="s">
        <v>3481</v>
      </c>
      <c r="O667" s="455" t="s">
        <v>1553</v>
      </c>
      <c r="P667" s="455" t="s">
        <v>322</v>
      </c>
      <c r="Q667" s="455"/>
      <c r="R667" s="455"/>
      <c r="S667" s="168">
        <v>0</v>
      </c>
      <c r="T667" s="523">
        <v>1743000</v>
      </c>
    </row>
    <row r="668" spans="1:22">
      <c r="A668" s="168" t="s">
        <v>358</v>
      </c>
      <c r="B668" s="455" t="s">
        <v>1553</v>
      </c>
      <c r="C668" s="455" t="s">
        <v>359</v>
      </c>
      <c r="D668" s="168" t="s">
        <v>1244</v>
      </c>
      <c r="E668" s="150">
        <v>0</v>
      </c>
      <c r="F668" s="456">
        <v>0</v>
      </c>
      <c r="G668" s="168">
        <v>0</v>
      </c>
      <c r="H668" s="168">
        <v>0</v>
      </c>
      <c r="N668" s="168" t="s">
        <v>358</v>
      </c>
      <c r="O668" s="455" t="s">
        <v>1553</v>
      </c>
      <c r="P668" s="455" t="s">
        <v>359</v>
      </c>
      <c r="Q668" s="455"/>
      <c r="R668" s="455"/>
      <c r="S668" s="168">
        <v>0</v>
      </c>
      <c r="T668" s="523">
        <v>0</v>
      </c>
    </row>
    <row r="669" spans="1:22" ht="15.75" thickBot="1">
      <c r="A669" s="168" t="s">
        <v>360</v>
      </c>
      <c r="B669" s="455" t="s">
        <v>1553</v>
      </c>
      <c r="C669" s="455" t="s">
        <v>322</v>
      </c>
      <c r="D669" s="168" t="s">
        <v>1244</v>
      </c>
      <c r="E669" s="150">
        <v>0</v>
      </c>
      <c r="F669" s="456">
        <v>0</v>
      </c>
      <c r="G669" s="168">
        <v>0</v>
      </c>
      <c r="H669" s="168">
        <v>0</v>
      </c>
      <c r="N669" s="168" t="s">
        <v>360</v>
      </c>
      <c r="O669" s="455" t="s">
        <v>1553</v>
      </c>
      <c r="P669" s="455" t="s">
        <v>322</v>
      </c>
      <c r="Q669" s="455"/>
      <c r="R669" s="455"/>
      <c r="S669" s="168">
        <v>0</v>
      </c>
      <c r="T669" s="523">
        <v>0</v>
      </c>
    </row>
    <row r="670" spans="1:22" ht="16.5" thickTop="1" thickBot="1">
      <c r="A670" s="554" t="s">
        <v>2668</v>
      </c>
      <c r="B670" s="555"/>
      <c r="C670" s="555"/>
      <c r="D670" s="556"/>
      <c r="E670" s="560">
        <f>SUM(E632:E669)</f>
        <v>15410160.079999998</v>
      </c>
      <c r="F670" s="560">
        <f>SUM(F632:F669)</f>
        <v>16986174</v>
      </c>
      <c r="G670" s="560">
        <f>SUM(G632:G669)</f>
        <v>21447324.960000001</v>
      </c>
      <c r="H670" s="560">
        <f>SUM(H632:H669)</f>
        <v>23628136</v>
      </c>
      <c r="N670" s="554" t="s">
        <v>2668</v>
      </c>
      <c r="O670" s="555"/>
      <c r="P670" s="555"/>
      <c r="Q670" s="555">
        <f>SUM(Q632:Q669)</f>
        <v>22685109</v>
      </c>
      <c r="R670" s="555">
        <f>SUM(R632:R669)</f>
        <v>23207151</v>
      </c>
      <c r="S670" s="560">
        <f>SUM(S632:S669)</f>
        <v>33704713.670000009</v>
      </c>
      <c r="T670" s="558">
        <f>SUM(T632:T669)</f>
        <v>32822403</v>
      </c>
      <c r="U670" s="168">
        <f>SUM(S670)</f>
        <v>33704713.670000009</v>
      </c>
      <c r="V670" s="168">
        <f>SUM(T670)</f>
        <v>32822403</v>
      </c>
    </row>
    <row r="671" spans="1:22" ht="15.75" thickTop="1">
      <c r="B671" s="455"/>
      <c r="E671" s="150"/>
      <c r="O671" s="455"/>
      <c r="P671" s="455"/>
      <c r="Q671" s="455"/>
      <c r="R671" s="455"/>
      <c r="T671" s="523"/>
      <c r="U671" s="603">
        <f>SUM(U630:U670)</f>
        <v>-7353786.3799999878</v>
      </c>
      <c r="V671" s="603">
        <f>SUM(V629:V670)</f>
        <v>4064259</v>
      </c>
    </row>
    <row r="672" spans="1:22">
      <c r="A672" s="168" t="s">
        <v>361</v>
      </c>
      <c r="B672" s="455" t="s">
        <v>1552</v>
      </c>
      <c r="C672" s="455" t="s">
        <v>595</v>
      </c>
      <c r="D672" s="168" t="s">
        <v>1575</v>
      </c>
      <c r="E672" s="150">
        <v>0</v>
      </c>
      <c r="F672" s="456">
        <v>1000</v>
      </c>
      <c r="G672" s="168">
        <v>0</v>
      </c>
      <c r="H672" s="168">
        <v>0</v>
      </c>
      <c r="N672" s="168" t="s">
        <v>361</v>
      </c>
      <c r="O672" s="455" t="s">
        <v>1552</v>
      </c>
      <c r="P672" s="455" t="s">
        <v>595</v>
      </c>
      <c r="Q672" s="455">
        <v>6215</v>
      </c>
      <c r="R672" s="455">
        <v>5919</v>
      </c>
      <c r="S672" s="168">
        <v>0</v>
      </c>
      <c r="T672" s="523">
        <v>0</v>
      </c>
    </row>
    <row r="673" spans="1:22">
      <c r="A673" s="168" t="s">
        <v>362</v>
      </c>
      <c r="B673" s="455" t="s">
        <v>1552</v>
      </c>
      <c r="C673" s="455" t="s">
        <v>2331</v>
      </c>
      <c r="D673" s="168" t="s">
        <v>1575</v>
      </c>
      <c r="E673" s="150">
        <v>5688</v>
      </c>
      <c r="F673" s="456">
        <v>7000</v>
      </c>
      <c r="G673" s="168">
        <v>0</v>
      </c>
      <c r="H673" s="168">
        <v>0</v>
      </c>
      <c r="N673" s="168" t="s">
        <v>362</v>
      </c>
      <c r="O673" s="455" t="s">
        <v>1552</v>
      </c>
      <c r="P673" s="455" t="s">
        <v>2331</v>
      </c>
      <c r="Q673" s="455">
        <v>18647</v>
      </c>
      <c r="R673" s="455">
        <v>18647</v>
      </c>
      <c r="S673" s="168">
        <v>0</v>
      </c>
      <c r="T673" s="523">
        <v>0</v>
      </c>
    </row>
    <row r="674" spans="1:22">
      <c r="A674" s="168" t="s">
        <v>363</v>
      </c>
      <c r="B674" s="455" t="s">
        <v>18</v>
      </c>
      <c r="C674" s="455" t="s">
        <v>344</v>
      </c>
      <c r="D674" s="168" t="s">
        <v>1575</v>
      </c>
      <c r="E674" s="150">
        <v>0</v>
      </c>
      <c r="F674" s="456">
        <v>295250</v>
      </c>
      <c r="G674" s="168">
        <v>0</v>
      </c>
      <c r="H674" s="168">
        <v>0</v>
      </c>
      <c r="N674" s="168" t="s">
        <v>363</v>
      </c>
      <c r="O674" s="455" t="s">
        <v>18</v>
      </c>
      <c r="P674" s="455" t="s">
        <v>344</v>
      </c>
      <c r="Q674" s="455">
        <v>353525</v>
      </c>
      <c r="R674" s="455"/>
      <c r="S674" s="168">
        <v>0</v>
      </c>
      <c r="T674" s="523">
        <v>0</v>
      </c>
    </row>
    <row r="675" spans="1:22">
      <c r="A675" s="168" t="s">
        <v>364</v>
      </c>
      <c r="B675" s="455" t="s">
        <v>1553</v>
      </c>
      <c r="C675" s="455" t="s">
        <v>622</v>
      </c>
      <c r="D675" s="168" t="s">
        <v>1575</v>
      </c>
      <c r="E675" s="150">
        <v>0</v>
      </c>
      <c r="F675" s="456">
        <v>1000</v>
      </c>
      <c r="G675" s="168">
        <v>0</v>
      </c>
      <c r="H675" s="168">
        <v>0</v>
      </c>
      <c r="N675" s="168" t="s">
        <v>364</v>
      </c>
      <c r="O675" s="455" t="s">
        <v>1553</v>
      </c>
      <c r="P675" s="455" t="s">
        <v>622</v>
      </c>
      <c r="Q675" s="455">
        <v>4751</v>
      </c>
      <c r="R675" s="455"/>
      <c r="S675" s="168">
        <v>0</v>
      </c>
      <c r="T675" s="523">
        <v>0</v>
      </c>
    </row>
    <row r="676" spans="1:22">
      <c r="A676" s="168" t="s">
        <v>365</v>
      </c>
      <c r="B676" s="455" t="s">
        <v>1553</v>
      </c>
      <c r="C676" s="455" t="s">
        <v>2322</v>
      </c>
      <c r="D676" s="168" t="s">
        <v>1575</v>
      </c>
      <c r="E676" s="150">
        <v>4176.6499999999996</v>
      </c>
      <c r="F676" s="456">
        <v>4177</v>
      </c>
      <c r="G676" s="168">
        <v>0</v>
      </c>
      <c r="H676" s="168">
        <v>0</v>
      </c>
      <c r="N676" s="168" t="s">
        <v>365</v>
      </c>
      <c r="O676" s="455" t="s">
        <v>1553</v>
      </c>
      <c r="P676" s="455" t="s">
        <v>2322</v>
      </c>
      <c r="Q676" s="455">
        <v>4800</v>
      </c>
      <c r="R676" s="455">
        <v>4800</v>
      </c>
      <c r="S676" s="168">
        <v>0</v>
      </c>
      <c r="T676" s="523">
        <v>0</v>
      </c>
    </row>
    <row r="677" spans="1:22">
      <c r="A677" s="168" t="s">
        <v>366</v>
      </c>
      <c r="B677" s="455" t="s">
        <v>1553</v>
      </c>
      <c r="C677" s="455" t="s">
        <v>633</v>
      </c>
      <c r="D677" s="168" t="s">
        <v>1575</v>
      </c>
      <c r="E677" s="150">
        <v>0</v>
      </c>
      <c r="F677" s="456">
        <v>0</v>
      </c>
      <c r="G677" s="168">
        <v>0</v>
      </c>
      <c r="H677" s="168">
        <v>0</v>
      </c>
      <c r="N677" s="168" t="s">
        <v>366</v>
      </c>
      <c r="O677" s="455" t="s">
        <v>1553</v>
      </c>
      <c r="P677" s="455" t="s">
        <v>633</v>
      </c>
      <c r="Q677" s="455">
        <v>1057</v>
      </c>
      <c r="R677" s="455"/>
      <c r="S677" s="168">
        <v>0</v>
      </c>
      <c r="T677" s="523">
        <v>0</v>
      </c>
    </row>
    <row r="678" spans="1:22" ht="15.75" thickBot="1">
      <c r="A678" s="168" t="s">
        <v>367</v>
      </c>
      <c r="B678" s="455" t="s">
        <v>1553</v>
      </c>
      <c r="C678" s="455" t="s">
        <v>253</v>
      </c>
      <c r="D678" s="168" t="s">
        <v>1575</v>
      </c>
      <c r="E678" s="150">
        <v>0</v>
      </c>
      <c r="F678" s="456">
        <v>0</v>
      </c>
      <c r="G678" s="168">
        <v>0</v>
      </c>
      <c r="H678" s="168">
        <v>0</v>
      </c>
      <c r="N678" s="168" t="s">
        <v>367</v>
      </c>
      <c r="O678" s="455" t="s">
        <v>1553</v>
      </c>
      <c r="P678" s="455" t="s">
        <v>253</v>
      </c>
      <c r="Q678" s="455">
        <v>628</v>
      </c>
      <c r="R678" s="455"/>
      <c r="S678" s="168">
        <v>0</v>
      </c>
      <c r="T678" s="523">
        <v>0</v>
      </c>
    </row>
    <row r="679" spans="1:22" ht="16.5" thickTop="1" thickBot="1">
      <c r="A679" s="562"/>
      <c r="B679" s="563"/>
      <c r="C679" s="563"/>
      <c r="D679" s="562"/>
      <c r="E679" s="560">
        <f>SUM(E672:E678)</f>
        <v>9864.65</v>
      </c>
      <c r="F679" s="560">
        <f>SUM(F672:F678)</f>
        <v>308427</v>
      </c>
      <c r="G679" s="560">
        <f>SUM(G672:G678)</f>
        <v>0</v>
      </c>
      <c r="H679" s="560">
        <f>SUM(H672:H678)</f>
        <v>0</v>
      </c>
      <c r="N679" s="562"/>
      <c r="O679" s="563"/>
      <c r="P679" s="563"/>
      <c r="Q679" s="563">
        <f>SUM(Q672:Q678)</f>
        <v>389623</v>
      </c>
      <c r="R679" s="563">
        <f>SUM(R672:R678)</f>
        <v>29366</v>
      </c>
      <c r="S679" s="560">
        <f>SUM(S672:S678)</f>
        <v>0</v>
      </c>
      <c r="T679" s="558">
        <f>SUM(T672:T678)</f>
        <v>0</v>
      </c>
    </row>
    <row r="680" spans="1:22" ht="15.75" thickTop="1">
      <c r="B680" s="455"/>
      <c r="E680" s="150"/>
      <c r="O680" s="455"/>
      <c r="P680" s="455"/>
      <c r="Q680" s="455"/>
      <c r="R680" s="455"/>
      <c r="T680" s="523"/>
    </row>
    <row r="681" spans="1:22">
      <c r="A681" s="168" t="s">
        <v>368</v>
      </c>
      <c r="B681" s="455" t="s">
        <v>1551</v>
      </c>
      <c r="C681" s="455" t="s">
        <v>592</v>
      </c>
      <c r="D681" s="168" t="s">
        <v>1576</v>
      </c>
      <c r="E681" s="150">
        <v>0</v>
      </c>
      <c r="F681" s="456">
        <v>42094</v>
      </c>
      <c r="G681" s="168">
        <v>0</v>
      </c>
      <c r="H681" s="168">
        <v>0</v>
      </c>
      <c r="N681" s="168" t="s">
        <v>368</v>
      </c>
      <c r="O681" s="455" t="s">
        <v>1551</v>
      </c>
      <c r="P681" s="455" t="s">
        <v>592</v>
      </c>
      <c r="Q681" s="455">
        <v>14147</v>
      </c>
      <c r="R681" s="455">
        <v>14147</v>
      </c>
      <c r="S681" s="168">
        <v>0</v>
      </c>
      <c r="T681" s="523">
        <v>14147</v>
      </c>
    </row>
    <row r="682" spans="1:22">
      <c r="A682" s="168" t="s">
        <v>369</v>
      </c>
      <c r="B682" s="455" t="s">
        <v>1552</v>
      </c>
      <c r="C682" s="455" t="s">
        <v>545</v>
      </c>
      <c r="D682" s="168" t="s">
        <v>1576</v>
      </c>
      <c r="E682" s="150">
        <v>1682.76</v>
      </c>
      <c r="F682" s="456">
        <v>2000</v>
      </c>
      <c r="G682" s="168">
        <v>70.61</v>
      </c>
      <c r="H682" s="168">
        <v>71</v>
      </c>
      <c r="N682" s="168" t="s">
        <v>369</v>
      </c>
      <c r="O682" s="455" t="s">
        <v>1552</v>
      </c>
      <c r="P682" s="455" t="s">
        <v>545</v>
      </c>
      <c r="Q682" s="455">
        <v>1174</v>
      </c>
      <c r="R682" s="455">
        <v>1174</v>
      </c>
      <c r="S682" s="168">
        <v>0</v>
      </c>
      <c r="T682" s="523">
        <v>0</v>
      </c>
    </row>
    <row r="683" spans="1:22">
      <c r="A683" s="168" t="s">
        <v>370</v>
      </c>
      <c r="B683" s="455" t="s">
        <v>1553</v>
      </c>
      <c r="C683" s="455" t="s">
        <v>616</v>
      </c>
      <c r="D683" s="168" t="s">
        <v>1576</v>
      </c>
      <c r="E683" s="150">
        <v>5985</v>
      </c>
      <c r="F683" s="456">
        <v>8000</v>
      </c>
      <c r="G683" s="168">
        <v>280.17</v>
      </c>
      <c r="H683" s="168">
        <v>280</v>
      </c>
      <c r="N683" s="168" t="s">
        <v>370</v>
      </c>
      <c r="O683" s="455" t="s">
        <v>1553</v>
      </c>
      <c r="P683" s="455" t="s">
        <v>616</v>
      </c>
      <c r="Q683" s="455">
        <v>3523</v>
      </c>
      <c r="R683" s="455">
        <v>1942</v>
      </c>
      <c r="S683" s="168">
        <v>2446.89</v>
      </c>
      <c r="T683" s="523">
        <v>2446</v>
      </c>
    </row>
    <row r="684" spans="1:22">
      <c r="A684" s="168" t="s">
        <v>371</v>
      </c>
      <c r="B684" s="455" t="s">
        <v>1553</v>
      </c>
      <c r="C684" s="455" t="s">
        <v>2322</v>
      </c>
      <c r="D684" s="168" t="s">
        <v>1576</v>
      </c>
      <c r="E684" s="150">
        <v>3597.3</v>
      </c>
      <c r="F684" s="456">
        <v>3697</v>
      </c>
      <c r="G684" s="168">
        <v>0</v>
      </c>
      <c r="H684" s="168">
        <v>0</v>
      </c>
      <c r="N684" s="168" t="s">
        <v>371</v>
      </c>
      <c r="O684" s="455" t="s">
        <v>1553</v>
      </c>
      <c r="P684" s="455" t="s">
        <v>2322</v>
      </c>
      <c r="Q684" s="455">
        <v>3957</v>
      </c>
      <c r="R684" s="455">
        <v>3957</v>
      </c>
      <c r="S684" s="168">
        <v>0</v>
      </c>
      <c r="T684" s="523">
        <v>0</v>
      </c>
    </row>
    <row r="685" spans="1:22">
      <c r="A685" s="168" t="s">
        <v>372</v>
      </c>
      <c r="B685" s="455" t="s">
        <v>1553</v>
      </c>
      <c r="C685" s="455" t="s">
        <v>633</v>
      </c>
      <c r="D685" s="168" t="s">
        <v>1576</v>
      </c>
      <c r="E685" s="150">
        <v>0</v>
      </c>
      <c r="F685" s="456">
        <v>0</v>
      </c>
      <c r="G685" s="168">
        <v>0</v>
      </c>
      <c r="H685" s="168">
        <v>0</v>
      </c>
      <c r="N685" s="168" t="s">
        <v>372</v>
      </c>
      <c r="O685" s="455" t="s">
        <v>1553</v>
      </c>
      <c r="P685" s="455" t="s">
        <v>633</v>
      </c>
      <c r="Q685" s="455">
        <v>203</v>
      </c>
      <c r="R685" s="455">
        <v>112</v>
      </c>
      <c r="S685" s="168">
        <v>0</v>
      </c>
      <c r="T685" s="523">
        <v>0</v>
      </c>
    </row>
    <row r="686" spans="1:22" ht="15.75" thickBot="1">
      <c r="A686" s="168" t="s">
        <v>373</v>
      </c>
      <c r="B686" s="455" t="s">
        <v>1553</v>
      </c>
      <c r="C686" s="455" t="s">
        <v>253</v>
      </c>
      <c r="D686" s="168" t="s">
        <v>1576</v>
      </c>
      <c r="E686" s="150">
        <v>0</v>
      </c>
      <c r="F686" s="456">
        <v>0</v>
      </c>
      <c r="G686" s="168">
        <v>0</v>
      </c>
      <c r="H686" s="168">
        <v>0</v>
      </c>
      <c r="N686" s="168" t="s">
        <v>373</v>
      </c>
      <c r="O686" s="455" t="s">
        <v>1553</v>
      </c>
      <c r="P686" s="455" t="s">
        <v>253</v>
      </c>
      <c r="Q686" s="455">
        <v>106</v>
      </c>
      <c r="R686" s="455">
        <v>58</v>
      </c>
      <c r="S686" s="168">
        <v>0</v>
      </c>
      <c r="T686" s="523">
        <v>0</v>
      </c>
    </row>
    <row r="687" spans="1:22" ht="16.5" thickTop="1" thickBot="1">
      <c r="A687" s="554" t="s">
        <v>2668</v>
      </c>
      <c r="B687" s="555"/>
      <c r="C687" s="555"/>
      <c r="D687" s="556"/>
      <c r="E687" s="560">
        <f>SUM(E681:E686)</f>
        <v>11265.060000000001</v>
      </c>
      <c r="F687" s="560">
        <f>SUM(F681:F686)</f>
        <v>55791</v>
      </c>
      <c r="G687" s="560">
        <f>SUM(G681:G686)</f>
        <v>350.78000000000003</v>
      </c>
      <c r="H687" s="560">
        <f>SUM(H681:H686)</f>
        <v>351</v>
      </c>
      <c r="N687" s="554" t="s">
        <v>2668</v>
      </c>
      <c r="O687" s="555"/>
      <c r="P687" s="555"/>
      <c r="Q687" s="555">
        <f>SUM(Q681:Q686)</f>
        <v>23110</v>
      </c>
      <c r="R687" s="555">
        <f>SUM(R681:R686)</f>
        <v>21390</v>
      </c>
      <c r="S687" s="560">
        <f>SUM(S681:S686)</f>
        <v>2446.89</v>
      </c>
      <c r="T687" s="558">
        <f>SUM(T681:T686)</f>
        <v>16593</v>
      </c>
      <c r="U687" s="603">
        <f>SUM(S687)</f>
        <v>2446.89</v>
      </c>
      <c r="V687" s="603">
        <f>SUM(T687)</f>
        <v>16593</v>
      </c>
    </row>
    <row r="688" spans="1:22" ht="15.75" thickTop="1">
      <c r="B688" s="455"/>
      <c r="E688" s="150"/>
      <c r="O688" s="455"/>
      <c r="P688" s="455"/>
      <c r="Q688" s="455"/>
      <c r="R688" s="455"/>
      <c r="T688" s="523"/>
    </row>
    <row r="689" spans="1:22">
      <c r="A689" s="168" t="s">
        <v>374</v>
      </c>
      <c r="B689" s="455" t="s">
        <v>1549</v>
      </c>
      <c r="C689" s="455" t="s">
        <v>75</v>
      </c>
      <c r="D689" s="168" t="s">
        <v>458</v>
      </c>
      <c r="E689" s="150">
        <v>0</v>
      </c>
      <c r="F689" s="456">
        <v>70000</v>
      </c>
      <c r="G689" s="168">
        <v>89293.67</v>
      </c>
      <c r="H689" s="168">
        <v>89295</v>
      </c>
      <c r="N689" s="168" t="s">
        <v>374</v>
      </c>
      <c r="O689" s="455" t="s">
        <v>1549</v>
      </c>
      <c r="P689" s="455" t="s">
        <v>75</v>
      </c>
      <c r="Q689" s="455">
        <v>146823</v>
      </c>
      <c r="R689" s="455">
        <v>146823</v>
      </c>
      <c r="S689" s="168">
        <v>155507.85</v>
      </c>
      <c r="T689" s="523">
        <v>155507</v>
      </c>
    </row>
    <row r="690" spans="1:22">
      <c r="A690" s="168" t="s">
        <v>375</v>
      </c>
      <c r="B690" s="455" t="s">
        <v>1549</v>
      </c>
      <c r="C690" s="455" t="s">
        <v>60</v>
      </c>
      <c r="D690" s="168" t="s">
        <v>458</v>
      </c>
      <c r="E690" s="150">
        <v>0</v>
      </c>
      <c r="F690" s="456">
        <v>5700</v>
      </c>
      <c r="G690" s="168">
        <v>10686.61</v>
      </c>
      <c r="H690" s="168">
        <v>10687</v>
      </c>
      <c r="N690" s="168" t="s">
        <v>375</v>
      </c>
      <c r="O690" s="455" t="s">
        <v>1549</v>
      </c>
      <c r="P690" s="455" t="s">
        <v>60</v>
      </c>
      <c r="Q690" s="455">
        <v>12240</v>
      </c>
      <c r="R690" s="455">
        <v>12240</v>
      </c>
      <c r="S690" s="168">
        <v>12408.69</v>
      </c>
      <c r="T690" s="523">
        <v>12408</v>
      </c>
    </row>
    <row r="691" spans="1:22">
      <c r="A691" s="168" t="s">
        <v>2718</v>
      </c>
      <c r="B691" s="455"/>
      <c r="E691" s="150"/>
      <c r="G691" s="168">
        <v>3424</v>
      </c>
      <c r="H691" s="168">
        <v>3424</v>
      </c>
      <c r="N691" s="168" t="s">
        <v>2718</v>
      </c>
      <c r="O691" s="455"/>
      <c r="P691" s="455"/>
      <c r="Q691" s="455">
        <v>5136</v>
      </c>
      <c r="R691" s="455">
        <v>5136</v>
      </c>
      <c r="S691" s="168">
        <v>3831.18</v>
      </c>
      <c r="T691" s="523">
        <v>3832</v>
      </c>
    </row>
    <row r="692" spans="1:22">
      <c r="A692" s="168" t="s">
        <v>2719</v>
      </c>
      <c r="B692" s="455"/>
      <c r="E692" s="150"/>
      <c r="G692" s="168">
        <v>14652.9</v>
      </c>
      <c r="H692" s="168">
        <v>14652</v>
      </c>
      <c r="N692" s="168" t="s">
        <v>2719</v>
      </c>
      <c r="O692" s="455"/>
      <c r="P692" s="455"/>
      <c r="Q692" s="455"/>
      <c r="R692" s="455"/>
      <c r="S692" s="168">
        <v>38376.720000000001</v>
      </c>
      <c r="T692" s="523">
        <v>38376</v>
      </c>
    </row>
    <row r="693" spans="1:22">
      <c r="A693" s="168" t="s">
        <v>376</v>
      </c>
      <c r="B693" s="455" t="s">
        <v>1549</v>
      </c>
      <c r="C693" s="455" t="s">
        <v>575</v>
      </c>
      <c r="D693" s="168" t="s">
        <v>458</v>
      </c>
      <c r="E693" s="150">
        <v>0</v>
      </c>
      <c r="F693" s="456">
        <v>15000</v>
      </c>
      <c r="G693" s="168">
        <v>11756.4</v>
      </c>
      <c r="H693" s="168">
        <v>11756</v>
      </c>
      <c r="N693" s="168" t="s">
        <v>376</v>
      </c>
      <c r="O693" s="455" t="s">
        <v>1549</v>
      </c>
      <c r="P693" s="455" t="s">
        <v>575</v>
      </c>
      <c r="Q693" s="455">
        <v>24842</v>
      </c>
      <c r="R693" s="455">
        <v>24842</v>
      </c>
      <c r="S693" s="168">
        <v>19504.8</v>
      </c>
      <c r="T693" s="523">
        <v>19505</v>
      </c>
    </row>
    <row r="694" spans="1:22">
      <c r="A694" s="168" t="s">
        <v>377</v>
      </c>
      <c r="B694" s="455" t="s">
        <v>1549</v>
      </c>
      <c r="C694" s="455" t="s">
        <v>575</v>
      </c>
      <c r="D694" s="168" t="s">
        <v>458</v>
      </c>
      <c r="E694" s="150">
        <v>0</v>
      </c>
      <c r="F694" s="456">
        <v>15000</v>
      </c>
      <c r="G694" s="168">
        <v>19644.62</v>
      </c>
      <c r="H694" s="168">
        <v>19644</v>
      </c>
      <c r="N694" s="168" t="s">
        <v>377</v>
      </c>
      <c r="O694" s="455" t="s">
        <v>1549</v>
      </c>
      <c r="P694" s="455" t="s">
        <v>575</v>
      </c>
      <c r="Q694" s="455">
        <v>32314</v>
      </c>
      <c r="R694" s="455">
        <v>32314</v>
      </c>
      <c r="S694" s="168">
        <v>33732.629999999997</v>
      </c>
      <c r="T694" s="523">
        <v>33732</v>
      </c>
    </row>
    <row r="695" spans="1:22">
      <c r="A695" s="168" t="s">
        <v>378</v>
      </c>
      <c r="B695" s="455" t="s">
        <v>1549</v>
      </c>
      <c r="C695" s="455" t="s">
        <v>575</v>
      </c>
      <c r="D695" s="168" t="s">
        <v>458</v>
      </c>
      <c r="E695" s="150">
        <v>0</v>
      </c>
      <c r="F695" s="456">
        <v>700</v>
      </c>
      <c r="G695" s="168">
        <v>987.23</v>
      </c>
      <c r="H695" s="168">
        <v>987</v>
      </c>
      <c r="N695" s="168" t="s">
        <v>378</v>
      </c>
      <c r="O695" s="455" t="s">
        <v>1549</v>
      </c>
      <c r="P695" s="455" t="s">
        <v>575</v>
      </c>
      <c r="Q695" s="455">
        <v>1469</v>
      </c>
      <c r="R695" s="455">
        <v>1469</v>
      </c>
      <c r="S695" s="168">
        <v>1497.36</v>
      </c>
      <c r="T695" s="523">
        <v>1497</v>
      </c>
    </row>
    <row r="696" spans="1:22">
      <c r="A696" s="168" t="s">
        <v>379</v>
      </c>
      <c r="B696" s="455" t="s">
        <v>1549</v>
      </c>
      <c r="C696" s="455" t="s">
        <v>575</v>
      </c>
      <c r="D696" s="168" t="s">
        <v>458</v>
      </c>
      <c r="E696" s="150">
        <v>0</v>
      </c>
      <c r="F696" s="456">
        <v>1400</v>
      </c>
      <c r="G696" s="168">
        <v>1357.27</v>
      </c>
      <c r="H696" s="168">
        <v>1357</v>
      </c>
      <c r="N696" s="168" t="s">
        <v>379</v>
      </c>
      <c r="O696" s="455" t="s">
        <v>1549</v>
      </c>
      <c r="P696" s="455" t="s">
        <v>575</v>
      </c>
      <c r="Q696" s="455">
        <v>2247</v>
      </c>
      <c r="R696" s="455">
        <v>2247</v>
      </c>
      <c r="S696" s="168">
        <v>2312.67</v>
      </c>
      <c r="T696" s="523">
        <v>2312</v>
      </c>
    </row>
    <row r="697" spans="1:22">
      <c r="A697" s="168" t="s">
        <v>380</v>
      </c>
      <c r="B697" s="455" t="s">
        <v>1549</v>
      </c>
      <c r="C697" s="455" t="s">
        <v>1807</v>
      </c>
      <c r="D697" s="168" t="s">
        <v>458</v>
      </c>
      <c r="E697" s="150">
        <v>0</v>
      </c>
      <c r="F697" s="456">
        <v>22</v>
      </c>
      <c r="G697" s="168">
        <v>27.6</v>
      </c>
      <c r="H697" s="168">
        <v>27</v>
      </c>
      <c r="N697" s="168" t="s">
        <v>380</v>
      </c>
      <c r="O697" s="455" t="s">
        <v>1549</v>
      </c>
      <c r="P697" s="455" t="s">
        <v>1807</v>
      </c>
      <c r="Q697" s="455">
        <v>41</v>
      </c>
      <c r="R697" s="455">
        <v>41</v>
      </c>
      <c r="S697" s="168">
        <v>45</v>
      </c>
      <c r="T697" s="523">
        <v>45</v>
      </c>
    </row>
    <row r="698" spans="1:22">
      <c r="A698" s="168" t="s">
        <v>381</v>
      </c>
      <c r="B698" s="455" t="s">
        <v>1553</v>
      </c>
      <c r="C698" s="455" t="s">
        <v>610</v>
      </c>
      <c r="D698" s="168" t="s">
        <v>458</v>
      </c>
      <c r="E698" s="150">
        <v>0</v>
      </c>
      <c r="F698" s="456">
        <v>0</v>
      </c>
      <c r="G698" s="168">
        <v>0</v>
      </c>
      <c r="H698" s="168">
        <v>0</v>
      </c>
      <c r="N698" s="168" t="s">
        <v>381</v>
      </c>
      <c r="O698" s="455" t="s">
        <v>1553</v>
      </c>
      <c r="P698" s="455" t="s">
        <v>610</v>
      </c>
      <c r="Q698" s="455">
        <v>2482</v>
      </c>
      <c r="R698" s="455">
        <v>2482</v>
      </c>
      <c r="S698" s="168">
        <v>0</v>
      </c>
      <c r="T698" s="523">
        <v>0</v>
      </c>
    </row>
    <row r="699" spans="1:22">
      <c r="A699" s="168" t="s">
        <v>382</v>
      </c>
      <c r="B699" s="455" t="s">
        <v>1553</v>
      </c>
      <c r="C699" s="455" t="s">
        <v>50</v>
      </c>
      <c r="D699" s="168" t="s">
        <v>458</v>
      </c>
      <c r="E699" s="150">
        <v>23694.11</v>
      </c>
      <c r="F699" s="456">
        <v>24000</v>
      </c>
      <c r="G699" s="168">
        <v>77153.039999999994</v>
      </c>
      <c r="H699" s="168">
        <v>77153</v>
      </c>
      <c r="N699" s="168" t="s">
        <v>382</v>
      </c>
      <c r="O699" s="455" t="s">
        <v>1553</v>
      </c>
      <c r="P699" s="455" t="s">
        <v>50</v>
      </c>
      <c r="Q699" s="455">
        <v>24879</v>
      </c>
      <c r="R699" s="455">
        <v>90000</v>
      </c>
      <c r="S699" s="168">
        <v>166189.49</v>
      </c>
      <c r="T699" s="523">
        <v>166189</v>
      </c>
    </row>
    <row r="700" spans="1:22">
      <c r="A700" s="168" t="s">
        <v>383</v>
      </c>
      <c r="B700" s="455" t="s">
        <v>1553</v>
      </c>
      <c r="C700" s="455" t="s">
        <v>52</v>
      </c>
      <c r="D700" s="168" t="s">
        <v>458</v>
      </c>
      <c r="E700" s="150">
        <v>0</v>
      </c>
      <c r="F700" s="456">
        <v>5000</v>
      </c>
      <c r="G700" s="168">
        <v>0</v>
      </c>
      <c r="H700" s="168">
        <v>0</v>
      </c>
      <c r="N700" s="168" t="s">
        <v>383</v>
      </c>
      <c r="O700" s="455" t="s">
        <v>1553</v>
      </c>
      <c r="P700" s="455" t="s">
        <v>52</v>
      </c>
      <c r="Q700" s="455">
        <v>150869</v>
      </c>
      <c r="R700" s="455">
        <v>100000</v>
      </c>
      <c r="S700" s="168">
        <v>0</v>
      </c>
      <c r="T700" s="523">
        <v>0</v>
      </c>
    </row>
    <row r="701" spans="1:22">
      <c r="A701" s="168" t="s">
        <v>384</v>
      </c>
      <c r="B701" s="455" t="s">
        <v>1553</v>
      </c>
      <c r="C701" s="455" t="s">
        <v>458</v>
      </c>
      <c r="D701" s="168" t="s">
        <v>458</v>
      </c>
      <c r="E701" s="150">
        <v>0</v>
      </c>
      <c r="F701" s="456">
        <v>0</v>
      </c>
      <c r="G701" s="168">
        <v>0</v>
      </c>
      <c r="H701" s="168">
        <v>0</v>
      </c>
      <c r="N701" s="168" t="s">
        <v>384</v>
      </c>
      <c r="O701" s="455" t="s">
        <v>1553</v>
      </c>
      <c r="P701" s="455" t="s">
        <v>458</v>
      </c>
      <c r="Q701" s="455">
        <v>251449</v>
      </c>
      <c r="R701" s="455">
        <v>100000</v>
      </c>
      <c r="S701" s="168">
        <v>0</v>
      </c>
      <c r="T701" s="523">
        <v>0</v>
      </c>
    </row>
    <row r="702" spans="1:22">
      <c r="A702" s="168" t="s">
        <v>2720</v>
      </c>
      <c r="B702" s="455"/>
      <c r="E702" s="150"/>
      <c r="G702" s="168">
        <v>1503.07</v>
      </c>
      <c r="H702" s="168">
        <v>1503</v>
      </c>
      <c r="N702" s="168" t="s">
        <v>2720</v>
      </c>
      <c r="O702" s="455"/>
      <c r="P702" s="455"/>
      <c r="Q702" s="455">
        <v>450000</v>
      </c>
      <c r="R702" s="455"/>
      <c r="S702" s="168">
        <v>0</v>
      </c>
      <c r="T702" s="523">
        <v>0</v>
      </c>
    </row>
    <row r="703" spans="1:22" ht="15.75" thickBot="1">
      <c r="A703" s="168" t="s">
        <v>385</v>
      </c>
      <c r="B703" s="455" t="s">
        <v>1553</v>
      </c>
      <c r="C703" s="455" t="s">
        <v>458</v>
      </c>
      <c r="D703" s="168" t="s">
        <v>458</v>
      </c>
      <c r="E703" s="150">
        <v>245000</v>
      </c>
      <c r="F703" s="456">
        <v>245000</v>
      </c>
      <c r="G703" s="168">
        <v>0</v>
      </c>
      <c r="H703" s="168">
        <v>0</v>
      </c>
      <c r="N703" s="168" t="s">
        <v>385</v>
      </c>
      <c r="O703" s="455" t="s">
        <v>1553</v>
      </c>
      <c r="P703" s="455" t="s">
        <v>458</v>
      </c>
      <c r="Q703" s="455"/>
      <c r="R703" s="455">
        <v>245000</v>
      </c>
      <c r="S703" s="168">
        <v>0</v>
      </c>
      <c r="T703" s="523">
        <v>0</v>
      </c>
    </row>
    <row r="704" spans="1:22" ht="16.5" thickTop="1" thickBot="1">
      <c r="A704" s="554" t="s">
        <v>2668</v>
      </c>
      <c r="B704" s="555"/>
      <c r="C704" s="555"/>
      <c r="D704" s="556"/>
      <c r="E704" s="560">
        <f>SUM(E689:E703)</f>
        <v>268694.11</v>
      </c>
      <c r="F704" s="560">
        <f>SUM(F689:F703)</f>
        <v>381822</v>
      </c>
      <c r="G704" s="560">
        <f>SUM(G689:G703)</f>
        <v>230486.40999999997</v>
      </c>
      <c r="H704" s="560">
        <f>SUM(H689:H703)</f>
        <v>230485</v>
      </c>
      <c r="N704" s="554" t="s">
        <v>2668</v>
      </c>
      <c r="O704" s="555"/>
      <c r="P704" s="555"/>
      <c r="Q704" s="555">
        <f>SUM(Q689:Q703)</f>
        <v>1104791</v>
      </c>
      <c r="R704" s="555">
        <f>SUM(R689:R703)</f>
        <v>762594</v>
      </c>
      <c r="S704" s="560">
        <f>SUM(S689:S703)</f>
        <v>433406.38999999996</v>
      </c>
      <c r="T704" s="558">
        <f>SUM(T689:T703)</f>
        <v>433403</v>
      </c>
      <c r="U704" s="603">
        <f>SUM(S704)</f>
        <v>433406.38999999996</v>
      </c>
      <c r="V704" s="603">
        <f>SUM(T704)</f>
        <v>433403</v>
      </c>
    </row>
    <row r="705" spans="1:22" ht="15.75" thickTop="1">
      <c r="B705" s="455"/>
      <c r="E705" s="150"/>
      <c r="O705" s="455"/>
      <c r="P705" s="455"/>
      <c r="Q705" s="455"/>
      <c r="R705" s="455"/>
      <c r="T705" s="523"/>
    </row>
    <row r="706" spans="1:22">
      <c r="B706" s="455"/>
      <c r="E706" s="150"/>
      <c r="N706" s="168" t="s">
        <v>1410</v>
      </c>
      <c r="O706" s="455"/>
      <c r="P706" s="455" t="s">
        <v>3739</v>
      </c>
      <c r="Q706" s="455"/>
      <c r="R706" s="455">
        <v>40232</v>
      </c>
      <c r="T706" s="523"/>
    </row>
    <row r="707" spans="1:22">
      <c r="A707" s="168" t="s">
        <v>1407</v>
      </c>
      <c r="B707" s="455" t="s">
        <v>1553</v>
      </c>
      <c r="C707" s="455" t="s">
        <v>610</v>
      </c>
      <c r="D707" s="168" t="s">
        <v>461</v>
      </c>
      <c r="E707" s="150">
        <v>2364.2800000000002</v>
      </c>
      <c r="F707" s="456">
        <v>2500</v>
      </c>
      <c r="G707" s="168">
        <v>0</v>
      </c>
      <c r="H707" s="168">
        <v>0</v>
      </c>
      <c r="N707" s="168" t="s">
        <v>1407</v>
      </c>
      <c r="O707" s="455" t="s">
        <v>1553</v>
      </c>
      <c r="P707" s="455" t="s">
        <v>610</v>
      </c>
      <c r="Q707" s="455">
        <v>5030</v>
      </c>
      <c r="R707" s="455">
        <v>5030</v>
      </c>
      <c r="S707" s="168">
        <v>0</v>
      </c>
      <c r="T707" s="523">
        <v>0</v>
      </c>
    </row>
    <row r="708" spans="1:22">
      <c r="A708" s="168" t="s">
        <v>1408</v>
      </c>
      <c r="B708" s="455" t="s">
        <v>1553</v>
      </c>
      <c r="C708" s="455" t="s">
        <v>633</v>
      </c>
      <c r="D708" s="168" t="s">
        <v>461</v>
      </c>
      <c r="E708" s="150">
        <v>2714.82</v>
      </c>
      <c r="F708" s="456">
        <v>2750</v>
      </c>
      <c r="G708" s="168">
        <v>2077.02</v>
      </c>
      <c r="H708" s="168">
        <v>2078</v>
      </c>
      <c r="N708" s="168" t="s">
        <v>1408</v>
      </c>
      <c r="O708" s="455" t="s">
        <v>1553</v>
      </c>
      <c r="P708" s="455" t="s">
        <v>633</v>
      </c>
      <c r="Q708" s="455">
        <v>40232</v>
      </c>
      <c r="R708" s="455">
        <v>5000</v>
      </c>
      <c r="S708" s="168">
        <v>4022.15</v>
      </c>
      <c r="T708" s="523">
        <v>4023</v>
      </c>
    </row>
    <row r="709" spans="1:22">
      <c r="A709" s="168" t="s">
        <v>1409</v>
      </c>
      <c r="B709" s="455" t="s">
        <v>1553</v>
      </c>
      <c r="C709" s="455" t="s">
        <v>50</v>
      </c>
      <c r="D709" s="168" t="s">
        <v>461</v>
      </c>
      <c r="E709" s="150">
        <v>9657.2000000000007</v>
      </c>
      <c r="F709" s="456">
        <v>13000</v>
      </c>
      <c r="G709" s="168">
        <v>22611.47</v>
      </c>
      <c r="H709" s="168">
        <v>22611</v>
      </c>
      <c r="N709" s="168" t="s">
        <v>1409</v>
      </c>
      <c r="O709" s="455" t="s">
        <v>1553</v>
      </c>
      <c r="P709" s="455" t="s">
        <v>50</v>
      </c>
      <c r="Q709" s="455">
        <v>35203</v>
      </c>
      <c r="R709" s="455">
        <v>35203</v>
      </c>
      <c r="S709" s="168">
        <v>30438.09</v>
      </c>
      <c r="T709" s="523">
        <v>30439</v>
      </c>
    </row>
    <row r="710" spans="1:22" ht="15.75" thickBot="1">
      <c r="A710" s="168" t="s">
        <v>1410</v>
      </c>
      <c r="B710" s="455" t="s">
        <v>1553</v>
      </c>
      <c r="C710" s="455" t="s">
        <v>461</v>
      </c>
      <c r="D710" s="168" t="s">
        <v>461</v>
      </c>
      <c r="E710" s="150">
        <v>28827.5</v>
      </c>
      <c r="F710" s="456">
        <v>38000</v>
      </c>
      <c r="G710" s="168">
        <v>22650</v>
      </c>
      <c r="H710" s="168">
        <v>22650</v>
      </c>
      <c r="N710" s="168" t="s">
        <v>1410</v>
      </c>
      <c r="O710" s="455" t="s">
        <v>1553</v>
      </c>
      <c r="P710" s="455" t="s">
        <v>461</v>
      </c>
      <c r="Q710" s="455">
        <v>40232</v>
      </c>
      <c r="R710" s="455"/>
      <c r="S710" s="168">
        <v>27544.85</v>
      </c>
      <c r="T710" s="523">
        <v>27545</v>
      </c>
    </row>
    <row r="711" spans="1:22" ht="16.5" thickTop="1" thickBot="1">
      <c r="A711" s="554" t="s">
        <v>2668</v>
      </c>
      <c r="B711" s="555"/>
      <c r="C711" s="555"/>
      <c r="D711" s="556"/>
      <c r="E711" s="560">
        <f>SUM(E707:E710)</f>
        <v>43563.8</v>
      </c>
      <c r="F711" s="560">
        <f>SUM(F707:F710)</f>
        <v>56250</v>
      </c>
      <c r="G711" s="560">
        <f>SUM(G707:G710)</f>
        <v>47338.490000000005</v>
      </c>
      <c r="H711" s="560">
        <f>SUM(H707:H710)</f>
        <v>47339</v>
      </c>
      <c r="N711" s="554" t="s">
        <v>2668</v>
      </c>
      <c r="O711" s="555"/>
      <c r="P711" s="555"/>
      <c r="Q711" s="555">
        <f>SUM(Q707:Q710)</f>
        <v>120697</v>
      </c>
      <c r="R711" s="555">
        <f>SUM(R706:R710)</f>
        <v>85465</v>
      </c>
      <c r="S711" s="560">
        <f>SUM(S707:S710)</f>
        <v>62005.09</v>
      </c>
      <c r="T711" s="558">
        <f>SUM(T707:T710)</f>
        <v>62007</v>
      </c>
      <c r="U711" s="603">
        <f>SUM(S711)</f>
        <v>62005.09</v>
      </c>
      <c r="V711" s="603">
        <f>SUM(T711)</f>
        <v>62007</v>
      </c>
    </row>
    <row r="712" spans="1:22" ht="15.75" thickTop="1">
      <c r="B712" s="455"/>
      <c r="E712" s="150"/>
      <c r="O712" s="455"/>
      <c r="P712" s="455"/>
      <c r="Q712" s="455"/>
      <c r="R712" s="455"/>
      <c r="T712" s="523"/>
    </row>
    <row r="713" spans="1:22">
      <c r="B713" s="455"/>
      <c r="E713" s="150"/>
      <c r="O713" s="455"/>
      <c r="P713" s="455"/>
      <c r="Q713" s="455"/>
      <c r="R713" s="455"/>
      <c r="T713" s="523"/>
    </row>
    <row r="714" spans="1:22">
      <c r="B714" s="455"/>
      <c r="E714" s="150"/>
      <c r="N714" s="598" t="s">
        <v>3740</v>
      </c>
      <c r="O714" s="599" t="s">
        <v>1549</v>
      </c>
      <c r="P714" s="599" t="s">
        <v>75</v>
      </c>
      <c r="Q714" s="599">
        <v>334229</v>
      </c>
      <c r="R714" s="455"/>
      <c r="T714" s="523"/>
    </row>
    <row r="715" spans="1:22">
      <c r="B715" s="455"/>
      <c r="E715" s="150"/>
      <c r="N715" s="598" t="s">
        <v>3741</v>
      </c>
      <c r="O715" s="599"/>
      <c r="P715" s="599" t="s">
        <v>3765</v>
      </c>
      <c r="Q715" s="599">
        <v>15000</v>
      </c>
      <c r="R715" s="455"/>
      <c r="T715" s="523"/>
    </row>
    <row r="716" spans="1:22">
      <c r="B716" s="455"/>
      <c r="E716" s="150"/>
      <c r="N716" s="598" t="s">
        <v>3742</v>
      </c>
      <c r="O716" s="599"/>
      <c r="P716" s="599" t="s">
        <v>3766</v>
      </c>
      <c r="Q716" s="599">
        <v>27852</v>
      </c>
      <c r="R716" s="455"/>
      <c r="T716" s="523"/>
    </row>
    <row r="717" spans="1:22">
      <c r="B717" s="455"/>
      <c r="E717" s="150"/>
      <c r="N717" s="598"/>
      <c r="O717" s="599"/>
      <c r="P717" s="599"/>
      <c r="Q717" s="599">
        <v>74534</v>
      </c>
      <c r="R717" s="455"/>
      <c r="T717" s="523"/>
    </row>
    <row r="718" spans="1:22">
      <c r="B718" s="455"/>
      <c r="E718" s="150"/>
      <c r="N718" s="598"/>
      <c r="O718" s="599"/>
      <c r="P718" s="599"/>
      <c r="Q718" s="599">
        <v>73530</v>
      </c>
      <c r="R718" s="455"/>
      <c r="T718" s="523"/>
    </row>
    <row r="719" spans="1:22">
      <c r="B719" s="455"/>
      <c r="E719" s="150"/>
      <c r="N719" s="598"/>
      <c r="O719" s="599"/>
      <c r="P719" s="599"/>
      <c r="Q719" s="599">
        <v>3342</v>
      </c>
      <c r="R719" s="455"/>
      <c r="T719" s="523"/>
    </row>
    <row r="720" spans="1:22">
      <c r="B720" s="455"/>
      <c r="E720" s="150"/>
      <c r="N720" s="598"/>
      <c r="O720" s="599"/>
      <c r="P720" s="599"/>
      <c r="Q720" s="599">
        <v>2569</v>
      </c>
      <c r="R720" s="455"/>
      <c r="T720" s="523"/>
    </row>
    <row r="721" spans="1:22">
      <c r="B721" s="455"/>
      <c r="E721" s="150"/>
      <c r="N721" s="598"/>
      <c r="O721" s="599"/>
      <c r="P721" s="599"/>
      <c r="Q721" s="599"/>
      <c r="R721" s="455"/>
      <c r="T721" s="523"/>
    </row>
    <row r="722" spans="1:22">
      <c r="B722" s="455"/>
      <c r="E722" s="150"/>
      <c r="N722" s="598"/>
      <c r="O722" s="599"/>
      <c r="P722" s="599"/>
      <c r="Q722" s="599"/>
      <c r="R722" s="455"/>
      <c r="T722" s="523"/>
    </row>
    <row r="723" spans="1:22">
      <c r="A723" s="168" t="s">
        <v>1411</v>
      </c>
      <c r="B723" s="455" t="s">
        <v>1553</v>
      </c>
      <c r="C723" s="455" t="s">
        <v>612</v>
      </c>
      <c r="D723" s="168" t="s">
        <v>1240</v>
      </c>
      <c r="E723" s="150">
        <v>0</v>
      </c>
      <c r="F723" s="456">
        <v>0</v>
      </c>
      <c r="G723" s="168">
        <v>411.43</v>
      </c>
      <c r="H723" s="168">
        <v>411</v>
      </c>
      <c r="N723" s="598" t="s">
        <v>1411</v>
      </c>
      <c r="O723" s="599" t="s">
        <v>1553</v>
      </c>
      <c r="P723" s="599" t="s">
        <v>612</v>
      </c>
      <c r="Q723" s="599">
        <v>15000</v>
      </c>
      <c r="R723" s="455">
        <v>15000</v>
      </c>
      <c r="S723" s="168">
        <v>0</v>
      </c>
      <c r="T723" s="523">
        <v>0</v>
      </c>
    </row>
    <row r="724" spans="1:22">
      <c r="A724" s="168" t="s">
        <v>1412</v>
      </c>
      <c r="B724" s="455" t="s">
        <v>1553</v>
      </c>
      <c r="C724" s="455" t="s">
        <v>616</v>
      </c>
      <c r="D724" s="168" t="s">
        <v>1240</v>
      </c>
      <c r="E724" s="150">
        <v>611.74</v>
      </c>
      <c r="F724" s="456">
        <v>700</v>
      </c>
      <c r="G724" s="168">
        <v>292.42</v>
      </c>
      <c r="H724" s="168">
        <v>292</v>
      </c>
      <c r="N724" s="168" t="s">
        <v>1412</v>
      </c>
      <c r="O724" s="455" t="s">
        <v>1553</v>
      </c>
      <c r="P724" s="455" t="s">
        <v>616</v>
      </c>
      <c r="Q724" s="455">
        <v>360</v>
      </c>
      <c r="R724" s="455">
        <v>198</v>
      </c>
      <c r="S724" s="168">
        <v>0</v>
      </c>
      <c r="T724" s="523">
        <v>0</v>
      </c>
    </row>
    <row r="725" spans="1:22">
      <c r="A725" s="168" t="s">
        <v>1413</v>
      </c>
      <c r="B725" s="455" t="s">
        <v>1553</v>
      </c>
      <c r="C725" s="455" t="s">
        <v>631</v>
      </c>
      <c r="D725" s="168" t="s">
        <v>1240</v>
      </c>
      <c r="E725" s="150">
        <v>0</v>
      </c>
      <c r="F725" s="456">
        <v>0</v>
      </c>
      <c r="G725" s="168">
        <v>0</v>
      </c>
      <c r="H725" s="168">
        <v>0</v>
      </c>
      <c r="N725" s="168" t="s">
        <v>1413</v>
      </c>
      <c r="O725" s="455" t="s">
        <v>1553</v>
      </c>
      <c r="P725" s="455" t="s">
        <v>631</v>
      </c>
      <c r="Q725" s="455">
        <v>1369</v>
      </c>
      <c r="R725" s="455">
        <v>755</v>
      </c>
      <c r="S725" s="168">
        <v>0</v>
      </c>
      <c r="T725" s="523">
        <v>0</v>
      </c>
    </row>
    <row r="726" spans="1:22">
      <c r="A726" s="168" t="s">
        <v>1414</v>
      </c>
      <c r="B726" s="455" t="s">
        <v>1553</v>
      </c>
      <c r="C726" s="455" t="s">
        <v>633</v>
      </c>
      <c r="D726" s="168" t="s">
        <v>1240</v>
      </c>
      <c r="E726" s="150">
        <v>52.49</v>
      </c>
      <c r="F726" s="456">
        <v>100</v>
      </c>
      <c r="G726" s="168">
        <v>1060.2</v>
      </c>
      <c r="H726" s="168">
        <v>1061</v>
      </c>
      <c r="N726" s="168" t="s">
        <v>1414</v>
      </c>
      <c r="O726" s="455" t="s">
        <v>1553</v>
      </c>
      <c r="P726" s="455" t="s">
        <v>633</v>
      </c>
      <c r="Q726" s="455">
        <v>31</v>
      </c>
      <c r="R726" s="455">
        <v>17</v>
      </c>
      <c r="S726" s="168">
        <v>239.97</v>
      </c>
      <c r="T726" s="523">
        <v>239</v>
      </c>
    </row>
    <row r="727" spans="1:22">
      <c r="A727" s="168" t="s">
        <v>1415</v>
      </c>
      <c r="B727" s="455" t="s">
        <v>1553</v>
      </c>
      <c r="C727" s="455" t="s">
        <v>253</v>
      </c>
      <c r="D727" s="168" t="s">
        <v>1240</v>
      </c>
      <c r="E727" s="150">
        <v>0</v>
      </c>
      <c r="F727" s="456">
        <v>0</v>
      </c>
      <c r="G727" s="168">
        <v>0</v>
      </c>
      <c r="H727" s="168">
        <v>0</v>
      </c>
      <c r="N727" s="168" t="s">
        <v>1415</v>
      </c>
      <c r="O727" s="455" t="s">
        <v>1553</v>
      </c>
      <c r="P727" s="455" t="s">
        <v>253</v>
      </c>
      <c r="Q727" s="455"/>
      <c r="R727" s="455"/>
      <c r="S727" s="168">
        <v>0</v>
      </c>
      <c r="T727" s="523">
        <v>0</v>
      </c>
    </row>
    <row r="728" spans="1:22">
      <c r="A728" s="168" t="s">
        <v>1416</v>
      </c>
      <c r="B728" s="455" t="s">
        <v>1553</v>
      </c>
      <c r="C728" s="455" t="s">
        <v>50</v>
      </c>
      <c r="D728" s="168" t="s">
        <v>1240</v>
      </c>
      <c r="E728" s="150">
        <v>3067.51</v>
      </c>
      <c r="F728" s="456">
        <v>4000</v>
      </c>
      <c r="G728" s="168">
        <v>6477.4</v>
      </c>
      <c r="H728" s="168">
        <v>6478</v>
      </c>
      <c r="N728" s="168" t="s">
        <v>1416</v>
      </c>
      <c r="O728" s="455" t="s">
        <v>1553</v>
      </c>
      <c r="P728" s="455" t="s">
        <v>50</v>
      </c>
      <c r="Q728" s="455">
        <v>15000</v>
      </c>
      <c r="R728" s="455">
        <v>11025</v>
      </c>
      <c r="S728" s="168">
        <v>457.14</v>
      </c>
      <c r="T728" s="523">
        <v>458</v>
      </c>
    </row>
    <row r="729" spans="1:22">
      <c r="A729" s="168" t="s">
        <v>1417</v>
      </c>
      <c r="B729" s="455" t="s">
        <v>1553</v>
      </c>
      <c r="C729" s="455" t="s">
        <v>52</v>
      </c>
      <c r="D729" s="168" t="s">
        <v>1240</v>
      </c>
      <c r="E729" s="150">
        <v>0</v>
      </c>
      <c r="F729" s="456">
        <v>4200</v>
      </c>
      <c r="G729" s="168">
        <v>0</v>
      </c>
      <c r="H729" s="168">
        <v>0</v>
      </c>
      <c r="N729" s="168" t="s">
        <v>1417</v>
      </c>
      <c r="O729" s="455" t="s">
        <v>1553</v>
      </c>
      <c r="P729" s="455" t="s">
        <v>52</v>
      </c>
      <c r="Q729" s="455">
        <v>67</v>
      </c>
      <c r="R729" s="455">
        <v>37</v>
      </c>
      <c r="S729" s="168">
        <v>0</v>
      </c>
      <c r="T729" s="523">
        <v>0</v>
      </c>
    </row>
    <row r="730" spans="1:22" ht="15.75" thickBot="1">
      <c r="A730" s="168" t="s">
        <v>1418</v>
      </c>
      <c r="B730" s="455" t="s">
        <v>1553</v>
      </c>
      <c r="C730" s="455" t="s">
        <v>52</v>
      </c>
      <c r="D730" s="168" t="s">
        <v>1240</v>
      </c>
      <c r="E730" s="150">
        <v>0</v>
      </c>
      <c r="F730" s="456">
        <v>0</v>
      </c>
      <c r="G730" s="168">
        <v>0</v>
      </c>
      <c r="H730" s="168">
        <v>0</v>
      </c>
      <c r="N730" s="168" t="s">
        <v>1418</v>
      </c>
      <c r="O730" s="455" t="s">
        <v>1553</v>
      </c>
      <c r="P730" s="455" t="s">
        <v>52</v>
      </c>
      <c r="Q730" s="455"/>
      <c r="R730" s="455"/>
      <c r="S730" s="168">
        <v>0</v>
      </c>
      <c r="T730" s="523">
        <v>0</v>
      </c>
    </row>
    <row r="731" spans="1:22" ht="16.5" thickTop="1" thickBot="1">
      <c r="A731" s="554" t="s">
        <v>2668</v>
      </c>
      <c r="B731" s="555"/>
      <c r="C731" s="555"/>
      <c r="D731" s="556"/>
      <c r="E731" s="560">
        <f>SUM(E723:E730)</f>
        <v>3731.7400000000002</v>
      </c>
      <c r="F731" s="560">
        <f>SUM(F723:F730)</f>
        <v>9000</v>
      </c>
      <c r="G731" s="560">
        <f>SUM(G723:G730)</f>
        <v>8241.4500000000007</v>
      </c>
      <c r="H731" s="560">
        <f>SUM(H723:H730)</f>
        <v>8242</v>
      </c>
      <c r="N731" s="554" t="s">
        <v>2668</v>
      </c>
      <c r="O731" s="555"/>
      <c r="P731" s="555"/>
      <c r="Q731" s="555">
        <f>SUM(Q714:Q730)</f>
        <v>562883</v>
      </c>
      <c r="R731" s="555">
        <f>SUM(R713:R730)</f>
        <v>27032</v>
      </c>
      <c r="S731" s="560">
        <f>SUM(S723:S730)</f>
        <v>697.11</v>
      </c>
      <c r="T731" s="558">
        <f>SUM(T723:T730)</f>
        <v>697</v>
      </c>
      <c r="U731" s="603">
        <f>SUM(S731)</f>
        <v>697.11</v>
      </c>
      <c r="V731" s="603">
        <f>SUM(T731)</f>
        <v>697</v>
      </c>
    </row>
    <row r="732" spans="1:22" ht="15.75" thickTop="1">
      <c r="B732" s="455"/>
      <c r="E732" s="150"/>
      <c r="O732" s="455"/>
      <c r="P732" s="455"/>
      <c r="Q732" s="455"/>
      <c r="R732" s="455"/>
      <c r="T732" s="523"/>
    </row>
    <row r="733" spans="1:22">
      <c r="A733" s="168" t="s">
        <v>1419</v>
      </c>
      <c r="B733" s="455" t="s">
        <v>1553</v>
      </c>
      <c r="C733" s="455" t="s">
        <v>612</v>
      </c>
      <c r="D733" s="168" t="s">
        <v>1577</v>
      </c>
      <c r="E733" s="150">
        <v>0</v>
      </c>
      <c r="F733" s="456">
        <v>0</v>
      </c>
      <c r="G733" s="168">
        <v>16000</v>
      </c>
      <c r="H733" s="168">
        <v>16000</v>
      </c>
      <c r="N733" s="168" t="s">
        <v>1419</v>
      </c>
      <c r="O733" s="455" t="s">
        <v>1553</v>
      </c>
      <c r="P733" s="455" t="s">
        <v>612</v>
      </c>
      <c r="Q733" s="455">
        <v>30000</v>
      </c>
      <c r="R733" s="455">
        <v>10000</v>
      </c>
      <c r="S733" s="168">
        <v>3085</v>
      </c>
      <c r="T733" s="523">
        <v>3085</v>
      </c>
    </row>
    <row r="734" spans="1:22">
      <c r="A734" s="168" t="s">
        <v>1420</v>
      </c>
      <c r="B734" s="455" t="s">
        <v>1553</v>
      </c>
      <c r="C734" s="455" t="s">
        <v>616</v>
      </c>
      <c r="D734" s="168" t="s">
        <v>1577</v>
      </c>
      <c r="E734" s="150">
        <v>82.5</v>
      </c>
      <c r="F734" s="456">
        <v>100</v>
      </c>
      <c r="G734" s="168">
        <v>0</v>
      </c>
      <c r="H734" s="168">
        <v>0</v>
      </c>
      <c r="N734" s="168" t="s">
        <v>1420</v>
      </c>
      <c r="O734" s="455" t="s">
        <v>1553</v>
      </c>
      <c r="P734" s="455" t="s">
        <v>616</v>
      </c>
      <c r="Q734" s="455">
        <v>2190</v>
      </c>
      <c r="R734" s="455">
        <v>1000</v>
      </c>
      <c r="S734" s="168">
        <v>0</v>
      </c>
      <c r="T734" s="523">
        <v>0</v>
      </c>
    </row>
    <row r="735" spans="1:22">
      <c r="A735" s="168" t="s">
        <v>1421</v>
      </c>
      <c r="B735" s="455" t="s">
        <v>1553</v>
      </c>
      <c r="C735" s="455" t="s">
        <v>631</v>
      </c>
      <c r="D735" s="168" t="s">
        <v>1577</v>
      </c>
      <c r="E735" s="150">
        <v>0</v>
      </c>
      <c r="F735" s="456">
        <v>0</v>
      </c>
      <c r="G735" s="168">
        <v>0</v>
      </c>
      <c r="H735" s="168">
        <v>0</v>
      </c>
      <c r="N735" s="168" t="s">
        <v>1421</v>
      </c>
      <c r="O735" s="455" t="s">
        <v>1553</v>
      </c>
      <c r="P735" s="455" t="s">
        <v>631</v>
      </c>
      <c r="Q735" s="455">
        <v>1081</v>
      </c>
      <c r="R735" s="455">
        <v>596</v>
      </c>
      <c r="S735" s="168">
        <v>0</v>
      </c>
      <c r="T735" s="523">
        <v>0</v>
      </c>
    </row>
    <row r="736" spans="1:22">
      <c r="A736" s="168" t="s">
        <v>1422</v>
      </c>
      <c r="B736" s="455" t="s">
        <v>1553</v>
      </c>
      <c r="C736" s="455" t="s">
        <v>633</v>
      </c>
      <c r="D736" s="168" t="s">
        <v>1577</v>
      </c>
      <c r="E736" s="150">
        <v>2902.44</v>
      </c>
      <c r="F736" s="456">
        <v>3000</v>
      </c>
      <c r="G736" s="168">
        <v>0</v>
      </c>
      <c r="H736" s="168">
        <v>0</v>
      </c>
      <c r="N736" s="168" t="s">
        <v>1422</v>
      </c>
      <c r="O736" s="455" t="s">
        <v>1553</v>
      </c>
      <c r="P736" s="455" t="s">
        <v>633</v>
      </c>
      <c r="Q736" s="455">
        <v>1708</v>
      </c>
      <c r="R736" s="455">
        <v>942</v>
      </c>
      <c r="S736" s="168">
        <v>0</v>
      </c>
      <c r="T736" s="523">
        <v>0</v>
      </c>
    </row>
    <row r="737" spans="1:22">
      <c r="A737" s="168" t="s">
        <v>1423</v>
      </c>
      <c r="B737" s="455" t="s">
        <v>1553</v>
      </c>
      <c r="C737" s="455" t="s">
        <v>253</v>
      </c>
      <c r="D737" s="168" t="s">
        <v>1577</v>
      </c>
      <c r="E737" s="150">
        <v>0</v>
      </c>
      <c r="F737" s="456">
        <v>0</v>
      </c>
      <c r="G737" s="168">
        <v>0</v>
      </c>
      <c r="H737" s="168">
        <v>0</v>
      </c>
      <c r="N737" s="168" t="s">
        <v>1423</v>
      </c>
      <c r="O737" s="455" t="s">
        <v>1553</v>
      </c>
      <c r="P737" s="455" t="s">
        <v>253</v>
      </c>
      <c r="Q737" s="455"/>
      <c r="R737" s="455"/>
      <c r="S737" s="168">
        <v>0</v>
      </c>
      <c r="T737" s="523">
        <v>0</v>
      </c>
    </row>
    <row r="738" spans="1:22">
      <c r="A738" s="168" t="s">
        <v>1424</v>
      </c>
      <c r="B738" s="455" t="s">
        <v>1553</v>
      </c>
      <c r="C738" s="455" t="s">
        <v>50</v>
      </c>
      <c r="D738" s="168" t="s">
        <v>1577</v>
      </c>
      <c r="E738" s="150">
        <v>0</v>
      </c>
      <c r="F738" s="456">
        <v>8900</v>
      </c>
      <c r="G738" s="168">
        <v>548.57000000000005</v>
      </c>
      <c r="H738" s="168">
        <v>549</v>
      </c>
      <c r="N738" s="168" t="s">
        <v>1424</v>
      </c>
      <c r="O738" s="455" t="s">
        <v>1553</v>
      </c>
      <c r="P738" s="455" t="s">
        <v>50</v>
      </c>
      <c r="Q738" s="455">
        <v>40000</v>
      </c>
      <c r="R738" s="455">
        <v>7000</v>
      </c>
      <c r="S738" s="168">
        <v>3030.67</v>
      </c>
      <c r="T738" s="523">
        <v>3031</v>
      </c>
    </row>
    <row r="739" spans="1:22">
      <c r="A739" s="168" t="s">
        <v>1425</v>
      </c>
      <c r="B739" s="455" t="s">
        <v>1553</v>
      </c>
      <c r="C739" s="455" t="s">
        <v>52</v>
      </c>
      <c r="D739" s="168" t="s">
        <v>1577</v>
      </c>
      <c r="E739" s="150">
        <v>0</v>
      </c>
      <c r="F739" s="456">
        <v>0</v>
      </c>
      <c r="G739" s="168">
        <v>0</v>
      </c>
      <c r="H739" s="168">
        <v>0</v>
      </c>
      <c r="N739" s="168" t="s">
        <v>1425</v>
      </c>
      <c r="O739" s="455" t="s">
        <v>1553</v>
      </c>
      <c r="P739" s="455" t="s">
        <v>52</v>
      </c>
      <c r="Q739" s="455"/>
      <c r="R739" s="455"/>
      <c r="S739" s="168">
        <v>0</v>
      </c>
      <c r="T739" s="523">
        <v>0</v>
      </c>
    </row>
    <row r="740" spans="1:22" ht="15.75" thickBot="1">
      <c r="A740" s="168" t="s">
        <v>1426</v>
      </c>
      <c r="B740" s="455" t="s">
        <v>1553</v>
      </c>
      <c r="C740" s="455" t="s">
        <v>52</v>
      </c>
      <c r="D740" s="168" t="s">
        <v>1577</v>
      </c>
      <c r="E740" s="150">
        <v>0</v>
      </c>
      <c r="F740" s="456">
        <v>0</v>
      </c>
      <c r="G740" s="168">
        <v>0</v>
      </c>
      <c r="H740" s="168">
        <v>0</v>
      </c>
      <c r="N740" s="168" t="s">
        <v>1426</v>
      </c>
      <c r="O740" s="455" t="s">
        <v>1553</v>
      </c>
      <c r="P740" s="455" t="s">
        <v>52</v>
      </c>
      <c r="Q740" s="455"/>
      <c r="R740" s="455"/>
      <c r="S740" s="168">
        <v>0</v>
      </c>
      <c r="T740" s="523">
        <v>0</v>
      </c>
    </row>
    <row r="741" spans="1:22" ht="16.5" thickTop="1" thickBot="1">
      <c r="A741" s="554" t="s">
        <v>2668</v>
      </c>
      <c r="B741" s="555"/>
      <c r="C741" s="555"/>
      <c r="D741" s="556"/>
      <c r="E741" s="560">
        <f>SUM(E733:E740)</f>
        <v>2984.94</v>
      </c>
      <c r="F741" s="560">
        <f>SUM(F733:F740)</f>
        <v>12000</v>
      </c>
      <c r="G741" s="560">
        <f>SUM(G733:G740)</f>
        <v>16548.57</v>
      </c>
      <c r="H741" s="560">
        <f>SUM(H733:H740)</f>
        <v>16549</v>
      </c>
      <c r="N741" s="554" t="s">
        <v>2668</v>
      </c>
      <c r="O741" s="555"/>
      <c r="P741" s="555"/>
      <c r="Q741" s="555">
        <f>SUM(Q733:Q740)</f>
        <v>74979</v>
      </c>
      <c r="R741" s="555">
        <f>SUM(R733:R740)</f>
        <v>19538</v>
      </c>
      <c r="S741" s="560">
        <f>SUM(S733:S740)</f>
        <v>6115.67</v>
      </c>
      <c r="T741" s="558">
        <f>SUM(T733:T740)</f>
        <v>6116</v>
      </c>
      <c r="U741" s="603">
        <f>SUM(S741)</f>
        <v>6115.67</v>
      </c>
      <c r="V741" s="603">
        <f>SUM(T741)</f>
        <v>6116</v>
      </c>
    </row>
    <row r="742" spans="1:22" ht="15.75" thickTop="1">
      <c r="B742" s="455"/>
      <c r="E742" s="150"/>
      <c r="O742" s="455"/>
      <c r="P742" s="455"/>
      <c r="Q742" s="455"/>
      <c r="R742" s="455"/>
      <c r="T742" s="523"/>
    </row>
    <row r="743" spans="1:22">
      <c r="B743" s="455"/>
      <c r="E743" s="150"/>
      <c r="N743" s="168" t="s">
        <v>3743</v>
      </c>
      <c r="O743" s="455"/>
      <c r="P743" s="455"/>
      <c r="Q743" s="455">
        <v>112511</v>
      </c>
      <c r="R743" s="455"/>
      <c r="T743" s="523"/>
    </row>
    <row r="744" spans="1:22">
      <c r="B744" s="455"/>
      <c r="E744" s="150"/>
      <c r="O744" s="455"/>
      <c r="P744" s="455"/>
      <c r="Q744" s="455">
        <v>10000</v>
      </c>
      <c r="R744" s="455"/>
      <c r="T744" s="523"/>
    </row>
    <row r="745" spans="1:22">
      <c r="B745" s="455"/>
      <c r="E745" s="150"/>
      <c r="O745" s="455"/>
      <c r="P745" s="455"/>
      <c r="Q745" s="455">
        <v>9376</v>
      </c>
      <c r="R745" s="455"/>
      <c r="T745" s="523"/>
    </row>
    <row r="746" spans="1:22">
      <c r="B746" s="455"/>
      <c r="E746" s="150"/>
      <c r="O746" s="455"/>
      <c r="P746" s="455"/>
      <c r="Q746" s="455">
        <v>8444</v>
      </c>
      <c r="R746" s="455"/>
      <c r="T746" s="523"/>
    </row>
    <row r="747" spans="1:22">
      <c r="B747" s="455"/>
      <c r="E747" s="150"/>
      <c r="O747" s="455"/>
      <c r="P747" s="455"/>
      <c r="Q747" s="455">
        <v>24842</v>
      </c>
      <c r="R747" s="455"/>
      <c r="T747" s="523"/>
    </row>
    <row r="748" spans="1:22">
      <c r="B748" s="455"/>
      <c r="E748" s="150"/>
      <c r="O748" s="455"/>
      <c r="P748" s="455"/>
      <c r="Q748" s="455">
        <v>24752</v>
      </c>
      <c r="R748" s="455"/>
      <c r="T748" s="523"/>
    </row>
    <row r="749" spans="1:22">
      <c r="B749" s="455"/>
      <c r="E749" s="150"/>
      <c r="O749" s="455"/>
      <c r="P749" s="455"/>
      <c r="Q749" s="455">
        <v>1125</v>
      </c>
      <c r="R749" s="455"/>
      <c r="T749" s="523"/>
    </row>
    <row r="750" spans="1:22">
      <c r="B750" s="455"/>
      <c r="E750" s="150"/>
      <c r="O750" s="455"/>
      <c r="P750" s="455"/>
      <c r="Q750" s="455">
        <v>1721</v>
      </c>
      <c r="R750" s="455"/>
      <c r="T750" s="523"/>
    </row>
    <row r="751" spans="1:22">
      <c r="B751" s="455"/>
      <c r="E751" s="150"/>
      <c r="O751" s="455"/>
      <c r="P751" s="455"/>
      <c r="Q751" s="455"/>
      <c r="R751" s="455"/>
      <c r="T751" s="523"/>
    </row>
    <row r="752" spans="1:22">
      <c r="B752" s="455"/>
      <c r="E752" s="150"/>
      <c r="O752" s="455"/>
      <c r="P752" s="455"/>
      <c r="Q752" s="455"/>
      <c r="R752" s="455"/>
      <c r="T752" s="523"/>
    </row>
    <row r="753" spans="1:22">
      <c r="A753" s="168" t="s">
        <v>1427</v>
      </c>
      <c r="B753" s="455" t="s">
        <v>1553</v>
      </c>
      <c r="C753" s="455" t="s">
        <v>612</v>
      </c>
      <c r="D753" s="168" t="s">
        <v>1578</v>
      </c>
      <c r="E753" s="150">
        <v>0</v>
      </c>
      <c r="F753" s="456">
        <v>0</v>
      </c>
      <c r="G753" s="168">
        <v>0</v>
      </c>
      <c r="H753" s="168">
        <v>0</v>
      </c>
      <c r="N753" s="168" t="s">
        <v>1427</v>
      </c>
      <c r="O753" s="455" t="s">
        <v>1553</v>
      </c>
      <c r="P753" s="455" t="s">
        <v>612</v>
      </c>
      <c r="Q753" s="455">
        <v>20000</v>
      </c>
      <c r="R753" s="455">
        <v>8500</v>
      </c>
      <c r="S753" s="168">
        <v>981</v>
      </c>
      <c r="T753" s="523">
        <v>981</v>
      </c>
    </row>
    <row r="754" spans="1:22">
      <c r="A754" s="168" t="s">
        <v>1428</v>
      </c>
      <c r="B754" s="455" t="s">
        <v>1553</v>
      </c>
      <c r="C754" s="455" t="s">
        <v>616</v>
      </c>
      <c r="D754" s="168" t="s">
        <v>1578</v>
      </c>
      <c r="E754" s="150">
        <v>0</v>
      </c>
      <c r="F754" s="456">
        <v>0</v>
      </c>
      <c r="G754" s="168">
        <v>0</v>
      </c>
      <c r="H754" s="168">
        <v>0</v>
      </c>
      <c r="N754" s="168" t="s">
        <v>1428</v>
      </c>
      <c r="O754" s="455" t="s">
        <v>1553</v>
      </c>
      <c r="P754" s="455" t="s">
        <v>616</v>
      </c>
      <c r="Q754" s="455">
        <v>2441</v>
      </c>
      <c r="R754" s="455">
        <v>2325</v>
      </c>
      <c r="S754" s="168">
        <v>0</v>
      </c>
      <c r="T754" s="523">
        <v>0</v>
      </c>
    </row>
    <row r="755" spans="1:22">
      <c r="A755" s="168" t="s">
        <v>1429</v>
      </c>
      <c r="B755" s="455" t="s">
        <v>1553</v>
      </c>
      <c r="C755" s="455" t="s">
        <v>631</v>
      </c>
      <c r="D755" s="168" t="s">
        <v>1578</v>
      </c>
      <c r="E755" s="150">
        <v>0</v>
      </c>
      <c r="F755" s="456">
        <v>0</v>
      </c>
      <c r="G755" s="168">
        <v>0</v>
      </c>
      <c r="H755" s="168">
        <v>0</v>
      </c>
      <c r="N755" s="168" t="s">
        <v>1429</v>
      </c>
      <c r="O755" s="455" t="s">
        <v>1553</v>
      </c>
      <c r="P755" s="455" t="s">
        <v>631</v>
      </c>
      <c r="Q755" s="455">
        <v>1953</v>
      </c>
      <c r="R755" s="455">
        <v>953</v>
      </c>
      <c r="S755" s="168">
        <v>0</v>
      </c>
      <c r="T755" s="523">
        <v>0</v>
      </c>
    </row>
    <row r="756" spans="1:22">
      <c r="A756" s="168" t="s">
        <v>1430</v>
      </c>
      <c r="B756" s="455" t="s">
        <v>1553</v>
      </c>
      <c r="C756" s="455" t="s">
        <v>633</v>
      </c>
      <c r="D756" s="168" t="s">
        <v>1578</v>
      </c>
      <c r="E756" s="150">
        <v>0</v>
      </c>
      <c r="F756" s="456">
        <v>0</v>
      </c>
      <c r="G756" s="168">
        <v>4850</v>
      </c>
      <c r="H756" s="168">
        <v>4850</v>
      </c>
      <c r="N756" s="168" t="s">
        <v>1430</v>
      </c>
      <c r="O756" s="455" t="s">
        <v>1553</v>
      </c>
      <c r="P756" s="455" t="s">
        <v>633</v>
      </c>
      <c r="Q756" s="455">
        <v>14648</v>
      </c>
      <c r="R756" s="455">
        <v>8500</v>
      </c>
      <c r="S756" s="168">
        <v>0</v>
      </c>
      <c r="T756" s="523">
        <v>0</v>
      </c>
    </row>
    <row r="757" spans="1:22">
      <c r="A757" s="168" t="s">
        <v>1431</v>
      </c>
      <c r="B757" s="455" t="s">
        <v>1553</v>
      </c>
      <c r="C757" s="455" t="s">
        <v>253</v>
      </c>
      <c r="D757" s="168" t="s">
        <v>1578</v>
      </c>
      <c r="E757" s="150">
        <v>0</v>
      </c>
      <c r="F757" s="456">
        <v>0</v>
      </c>
      <c r="G757" s="168">
        <v>0</v>
      </c>
      <c r="H757" s="168">
        <v>0</v>
      </c>
      <c r="N757" s="168" t="s">
        <v>1431</v>
      </c>
      <c r="O757" s="455" t="s">
        <v>1553</v>
      </c>
      <c r="P757" s="455" t="s">
        <v>253</v>
      </c>
      <c r="Q757" s="455">
        <v>9765</v>
      </c>
      <c r="R757" s="455">
        <v>9765</v>
      </c>
      <c r="S757" s="168">
        <v>550</v>
      </c>
      <c r="T757" s="523">
        <v>550</v>
      </c>
    </row>
    <row r="758" spans="1:22">
      <c r="A758" s="168" t="s">
        <v>1432</v>
      </c>
      <c r="B758" s="455" t="s">
        <v>1553</v>
      </c>
      <c r="C758" s="455" t="s">
        <v>50</v>
      </c>
      <c r="D758" s="168" t="s">
        <v>1578</v>
      </c>
      <c r="E758" s="150">
        <v>0</v>
      </c>
      <c r="F758" s="456">
        <v>0</v>
      </c>
      <c r="G758" s="168">
        <v>0</v>
      </c>
      <c r="H758" s="168">
        <v>0</v>
      </c>
      <c r="N758" s="168" t="s">
        <v>1432</v>
      </c>
      <c r="O758" s="455" t="s">
        <v>1553</v>
      </c>
      <c r="P758" s="455" t="s">
        <v>50</v>
      </c>
      <c r="Q758" s="455">
        <v>42000</v>
      </c>
      <c r="R758" s="455">
        <v>8500</v>
      </c>
      <c r="S758" s="168">
        <v>3671.58</v>
      </c>
      <c r="T758" s="523">
        <v>3672</v>
      </c>
    </row>
    <row r="759" spans="1:22">
      <c r="A759" s="168" t="s">
        <v>1433</v>
      </c>
      <c r="B759" s="455" t="s">
        <v>1553</v>
      </c>
      <c r="C759" s="455" t="s">
        <v>52</v>
      </c>
      <c r="D759" s="168" t="s">
        <v>1578</v>
      </c>
      <c r="E759" s="150">
        <v>0</v>
      </c>
      <c r="F759" s="456">
        <v>0</v>
      </c>
      <c r="G759" s="168">
        <v>0</v>
      </c>
      <c r="H759" s="168">
        <v>0</v>
      </c>
      <c r="N759" s="168" t="s">
        <v>1433</v>
      </c>
      <c r="O759" s="455" t="s">
        <v>1553</v>
      </c>
      <c r="P759" s="455" t="s">
        <v>52</v>
      </c>
      <c r="Q759" s="455"/>
      <c r="R759" s="455"/>
      <c r="S759" s="168">
        <v>0</v>
      </c>
      <c r="T759" s="523">
        <v>0</v>
      </c>
    </row>
    <row r="760" spans="1:22" ht="15.75" thickBot="1">
      <c r="A760" s="168" t="s">
        <v>1434</v>
      </c>
      <c r="B760" s="455" t="s">
        <v>1553</v>
      </c>
      <c r="C760" s="455" t="s">
        <v>52</v>
      </c>
      <c r="D760" s="168" t="s">
        <v>1578</v>
      </c>
      <c r="E760" s="150">
        <v>0</v>
      </c>
      <c r="F760" s="456">
        <v>0</v>
      </c>
      <c r="G760" s="168">
        <v>0</v>
      </c>
      <c r="H760" s="168">
        <v>0</v>
      </c>
      <c r="N760" s="168" t="s">
        <v>1434</v>
      </c>
      <c r="O760" s="455" t="s">
        <v>1553</v>
      </c>
      <c r="P760" s="455" t="s">
        <v>52</v>
      </c>
      <c r="Q760" s="455"/>
      <c r="R760" s="455"/>
      <c r="S760" s="168">
        <v>0</v>
      </c>
      <c r="T760" s="523">
        <v>0</v>
      </c>
    </row>
    <row r="761" spans="1:22" ht="16.5" thickTop="1" thickBot="1">
      <c r="A761" s="554" t="s">
        <v>2668</v>
      </c>
      <c r="B761" s="555"/>
      <c r="C761" s="555"/>
      <c r="D761" s="556"/>
      <c r="E761" s="560">
        <f>SUM(E753:E760)</f>
        <v>0</v>
      </c>
      <c r="F761" s="560">
        <f>SUM(F753:F760)</f>
        <v>0</v>
      </c>
      <c r="G761" s="560">
        <f>SUM(G753:G760)</f>
        <v>4850</v>
      </c>
      <c r="H761" s="560">
        <f>SUM(H753:H760)</f>
        <v>4850</v>
      </c>
      <c r="N761" s="554" t="s">
        <v>2668</v>
      </c>
      <c r="O761" s="555"/>
      <c r="P761" s="555"/>
      <c r="Q761" s="555">
        <f>SUM(Q743:Q760)</f>
        <v>283578</v>
      </c>
      <c r="R761" s="555">
        <f>SUM(R743:R760)</f>
        <v>38543</v>
      </c>
      <c r="S761" s="560">
        <f>SUM(S753:S760)</f>
        <v>5202.58</v>
      </c>
      <c r="T761" s="558">
        <f>SUM(T753:T760)</f>
        <v>5203</v>
      </c>
      <c r="U761" s="603">
        <f>SUM(S761)</f>
        <v>5202.58</v>
      </c>
      <c r="V761" s="603">
        <f>SUM(T761)</f>
        <v>5203</v>
      </c>
    </row>
    <row r="762" spans="1:22" ht="15.75" thickTop="1">
      <c r="B762" s="455"/>
      <c r="E762" s="150"/>
      <c r="O762" s="455"/>
      <c r="P762" s="455"/>
      <c r="Q762" s="455"/>
      <c r="R762" s="455"/>
      <c r="T762" s="523"/>
    </row>
    <row r="763" spans="1:22">
      <c r="A763" s="168" t="s">
        <v>3482</v>
      </c>
      <c r="B763" s="455"/>
      <c r="C763" s="455" t="s">
        <v>3543</v>
      </c>
      <c r="E763" s="150"/>
      <c r="N763" s="168" t="s">
        <v>3482</v>
      </c>
      <c r="O763" s="455"/>
      <c r="P763" s="455"/>
      <c r="Q763" s="455"/>
      <c r="R763" s="455"/>
      <c r="S763" s="168">
        <v>-14819.44</v>
      </c>
      <c r="T763" s="523"/>
    </row>
    <row r="764" spans="1:22">
      <c r="A764" s="168" t="s">
        <v>1435</v>
      </c>
      <c r="B764" s="455" t="s">
        <v>30</v>
      </c>
      <c r="C764" s="455" t="s">
        <v>1436</v>
      </c>
      <c r="D764" s="168" t="s">
        <v>1579</v>
      </c>
      <c r="E764" s="150">
        <v>-2200014.21</v>
      </c>
      <c r="F764" s="456">
        <v>-960000</v>
      </c>
      <c r="G764" s="168">
        <v>-2281141.0499999998</v>
      </c>
      <c r="H764" s="168">
        <v>-1281055</v>
      </c>
      <c r="N764" s="168" t="s">
        <v>1435</v>
      </c>
      <c r="O764" s="455" t="s">
        <v>30</v>
      </c>
      <c r="P764" s="455" t="s">
        <v>1436</v>
      </c>
      <c r="Q764" s="455">
        <v>-2000000</v>
      </c>
      <c r="R764" s="455">
        <v>-2000000</v>
      </c>
      <c r="S764" s="168">
        <v>-2343576.65</v>
      </c>
      <c r="T764" s="523">
        <v>-2000000</v>
      </c>
    </row>
    <row r="765" spans="1:22" ht="15.75" thickBot="1">
      <c r="A765" s="168" t="s">
        <v>1437</v>
      </c>
      <c r="B765" s="455" t="s">
        <v>31</v>
      </c>
      <c r="C765" s="455" t="s">
        <v>1235</v>
      </c>
      <c r="D765" s="168" t="s">
        <v>1579</v>
      </c>
      <c r="E765" s="150">
        <v>-828950</v>
      </c>
      <c r="F765" s="456">
        <v>-1800000</v>
      </c>
      <c r="G765" s="168">
        <v>-445740</v>
      </c>
      <c r="H765" s="168">
        <v>-349686</v>
      </c>
      <c r="N765" s="168" t="s">
        <v>1437</v>
      </c>
      <c r="O765" s="455" t="s">
        <v>31</v>
      </c>
      <c r="P765" s="455" t="s">
        <v>1235</v>
      </c>
      <c r="Q765" s="455">
        <v>-3000000</v>
      </c>
      <c r="R765" s="455">
        <v>-3000000</v>
      </c>
      <c r="S765" s="168">
        <v>-444496</v>
      </c>
      <c r="T765" s="523">
        <v>-3000000</v>
      </c>
    </row>
    <row r="766" spans="1:22" ht="16.5" thickTop="1" thickBot="1">
      <c r="A766" s="554" t="s">
        <v>2668</v>
      </c>
      <c r="B766" s="555"/>
      <c r="C766" s="555"/>
      <c r="D766" s="556"/>
      <c r="E766" s="560">
        <f>SUM(E764:E765)</f>
        <v>-3028964.21</v>
      </c>
      <c r="F766" s="560">
        <f>SUM(F764:F765)</f>
        <v>-2760000</v>
      </c>
      <c r="G766" s="560">
        <f>SUM(G764:G765)</f>
        <v>-2726881.05</v>
      </c>
      <c r="H766" s="560">
        <f>SUM(H764:H765)</f>
        <v>-1630741</v>
      </c>
      <c r="I766" s="168">
        <v>1630741</v>
      </c>
      <c r="N766" s="554" t="s">
        <v>2668</v>
      </c>
      <c r="O766" s="555"/>
      <c r="P766" s="555"/>
      <c r="Q766" s="555">
        <f>SUM(Q764:Q765)</f>
        <v>-5000000</v>
      </c>
      <c r="R766" s="555">
        <f>SUM(R764:R765)</f>
        <v>-5000000</v>
      </c>
      <c r="S766" s="560">
        <f>SUM(S763:S765)</f>
        <v>-2802892.09</v>
      </c>
      <c r="T766" s="558">
        <f>SUM(T764:T765)</f>
        <v>-5000000</v>
      </c>
      <c r="U766" s="168">
        <f>SUM(S766)</f>
        <v>-2802892.09</v>
      </c>
      <c r="V766" s="168">
        <f>SUM(T766)</f>
        <v>-5000000</v>
      </c>
    </row>
    <row r="767" spans="1:22" ht="15.75" thickTop="1">
      <c r="B767" s="455"/>
      <c r="E767" s="150"/>
      <c r="I767" s="168">
        <f>SUM(I4:I766)</f>
        <v>95008399.689999998</v>
      </c>
      <c r="O767" s="455"/>
      <c r="P767" s="455"/>
      <c r="Q767" s="455"/>
      <c r="R767" s="455"/>
      <c r="T767" s="523"/>
    </row>
    <row r="768" spans="1:22">
      <c r="A768" s="168" t="s">
        <v>1438</v>
      </c>
      <c r="B768" s="455" t="s">
        <v>1549</v>
      </c>
      <c r="C768" s="455" t="s">
        <v>75</v>
      </c>
      <c r="D768" s="168" t="s">
        <v>1579</v>
      </c>
      <c r="E768" s="150">
        <v>1540877.02</v>
      </c>
      <c r="F768" s="456">
        <v>1541000</v>
      </c>
      <c r="G768" s="168">
        <v>1605110.55</v>
      </c>
      <c r="H768" s="168">
        <v>1605110</v>
      </c>
      <c r="N768" s="168" t="s">
        <v>1438</v>
      </c>
      <c r="O768" s="455" t="s">
        <v>1549</v>
      </c>
      <c r="P768" s="455" t="s">
        <v>75</v>
      </c>
      <c r="Q768" s="455">
        <v>2796944</v>
      </c>
      <c r="R768" s="455">
        <v>2796944</v>
      </c>
      <c r="S768" s="168">
        <v>1867931.09</v>
      </c>
      <c r="T768" s="523">
        <v>1867932</v>
      </c>
    </row>
    <row r="769" spans="1:20">
      <c r="A769" s="168" t="s">
        <v>1439</v>
      </c>
      <c r="B769" s="455" t="s">
        <v>1549</v>
      </c>
      <c r="C769" s="455" t="s">
        <v>77</v>
      </c>
      <c r="D769" s="168" t="s">
        <v>1579</v>
      </c>
      <c r="E769" s="150">
        <v>156662.29999999999</v>
      </c>
      <c r="F769" s="456">
        <v>157000</v>
      </c>
      <c r="G769" s="168">
        <v>257721.3</v>
      </c>
      <c r="H769" s="168">
        <v>257722</v>
      </c>
      <c r="N769" s="168" t="s">
        <v>1439</v>
      </c>
      <c r="O769" s="455" t="s">
        <v>1549</v>
      </c>
      <c r="P769" s="455" t="s">
        <v>77</v>
      </c>
      <c r="Q769" s="455">
        <v>200000</v>
      </c>
      <c r="R769" s="455">
        <v>200000</v>
      </c>
      <c r="S769" s="168">
        <v>175363.77</v>
      </c>
      <c r="T769" s="523">
        <v>175364</v>
      </c>
    </row>
    <row r="770" spans="1:20">
      <c r="A770" s="168" t="s">
        <v>1440</v>
      </c>
      <c r="B770" s="455" t="s">
        <v>1549</v>
      </c>
      <c r="C770" s="455" t="s">
        <v>60</v>
      </c>
      <c r="D770" s="168" t="s">
        <v>1579</v>
      </c>
      <c r="E770" s="150">
        <v>108270.19</v>
      </c>
      <c r="F770" s="456">
        <v>108305</v>
      </c>
      <c r="G770" s="168">
        <v>153436.57999999999</v>
      </c>
      <c r="H770" s="168">
        <v>153437</v>
      </c>
      <c r="N770" s="168" t="s">
        <v>1440</v>
      </c>
      <c r="O770" s="455" t="s">
        <v>1549</v>
      </c>
      <c r="P770" s="455" t="s">
        <v>60</v>
      </c>
      <c r="Q770" s="455">
        <v>192470</v>
      </c>
      <c r="R770" s="455">
        <v>194270</v>
      </c>
      <c r="S770" s="168">
        <v>160134.35999999999</v>
      </c>
      <c r="T770" s="523">
        <v>160135</v>
      </c>
    </row>
    <row r="771" spans="1:20">
      <c r="A771" s="168" t="s">
        <v>1441</v>
      </c>
      <c r="B771" s="455" t="s">
        <v>1549</v>
      </c>
      <c r="C771" s="455" t="s">
        <v>1395</v>
      </c>
      <c r="D771" s="168" t="s">
        <v>1579</v>
      </c>
      <c r="E771" s="150">
        <v>40451.279999999999</v>
      </c>
      <c r="F771" s="456">
        <v>40500</v>
      </c>
      <c r="G771" s="168">
        <v>38576.76</v>
      </c>
      <c r="H771" s="168">
        <v>38576</v>
      </c>
      <c r="N771" s="168" t="s">
        <v>1441</v>
      </c>
      <c r="O771" s="455" t="s">
        <v>1549</v>
      </c>
      <c r="P771" s="455" t="s">
        <v>1395</v>
      </c>
      <c r="Q771" s="455">
        <v>245216</v>
      </c>
      <c r="R771" s="455">
        <v>245216</v>
      </c>
      <c r="S771" s="168">
        <v>43820.45</v>
      </c>
      <c r="T771" s="523">
        <v>43821</v>
      </c>
    </row>
    <row r="772" spans="1:20">
      <c r="A772" s="168" t="s">
        <v>1442</v>
      </c>
      <c r="B772" s="455" t="s">
        <v>1549</v>
      </c>
      <c r="C772" s="455" t="s">
        <v>515</v>
      </c>
      <c r="D772" s="168" t="s">
        <v>1579</v>
      </c>
      <c r="E772" s="150">
        <v>67567.320000000007</v>
      </c>
      <c r="F772" s="456">
        <v>67600</v>
      </c>
      <c r="G772" s="168">
        <v>106836.97</v>
      </c>
      <c r="H772" s="168">
        <v>106837</v>
      </c>
      <c r="N772" s="168" t="s">
        <v>1442</v>
      </c>
      <c r="O772" s="455" t="s">
        <v>1549</v>
      </c>
      <c r="P772" s="455" t="s">
        <v>515</v>
      </c>
      <c r="Q772" s="455"/>
      <c r="R772" s="455"/>
      <c r="S772" s="168">
        <v>88819.19</v>
      </c>
      <c r="T772" s="523">
        <v>88819</v>
      </c>
    </row>
    <row r="773" spans="1:20">
      <c r="A773" s="168" t="s">
        <v>1443</v>
      </c>
      <c r="B773" s="455" t="s">
        <v>1549</v>
      </c>
      <c r="C773" s="455" t="s">
        <v>660</v>
      </c>
      <c r="D773" s="168" t="s">
        <v>1579</v>
      </c>
      <c r="E773" s="150">
        <v>0</v>
      </c>
      <c r="F773" s="456">
        <v>0</v>
      </c>
      <c r="G773" s="168">
        <v>0</v>
      </c>
      <c r="H773" s="168">
        <v>0</v>
      </c>
      <c r="N773" s="168" t="s">
        <v>1443</v>
      </c>
      <c r="O773" s="455" t="s">
        <v>1549</v>
      </c>
      <c r="P773" s="455" t="s">
        <v>660</v>
      </c>
      <c r="Q773" s="455"/>
      <c r="R773" s="455"/>
      <c r="S773" s="168">
        <v>0</v>
      </c>
      <c r="T773" s="523">
        <v>0</v>
      </c>
    </row>
    <row r="774" spans="1:20">
      <c r="A774" s="168" t="s">
        <v>1444</v>
      </c>
      <c r="B774" s="455" t="s">
        <v>1549</v>
      </c>
      <c r="C774" s="455" t="s">
        <v>767</v>
      </c>
      <c r="D774" s="168" t="s">
        <v>1579</v>
      </c>
      <c r="E774" s="150">
        <v>11947</v>
      </c>
      <c r="F774" s="456">
        <v>13000</v>
      </c>
      <c r="G774" s="168">
        <v>17245</v>
      </c>
      <c r="H774" s="168">
        <v>17245</v>
      </c>
      <c r="N774" s="168" t="s">
        <v>1444</v>
      </c>
      <c r="O774" s="455" t="s">
        <v>1549</v>
      </c>
      <c r="P774" s="455" t="s">
        <v>767</v>
      </c>
      <c r="Q774" s="455"/>
      <c r="R774" s="455"/>
      <c r="S774" s="168">
        <v>17367</v>
      </c>
      <c r="T774" s="523">
        <v>17367</v>
      </c>
    </row>
    <row r="775" spans="1:20">
      <c r="A775" s="168" t="s">
        <v>1445</v>
      </c>
      <c r="B775" s="455" t="s">
        <v>1549</v>
      </c>
      <c r="C775" s="455" t="s">
        <v>84</v>
      </c>
      <c r="D775" s="168" t="s">
        <v>1579</v>
      </c>
      <c r="E775" s="150">
        <v>179992.82</v>
      </c>
      <c r="F775" s="456">
        <v>180000</v>
      </c>
      <c r="G775" s="168">
        <v>197144.69</v>
      </c>
      <c r="H775" s="168">
        <v>197144</v>
      </c>
      <c r="N775" s="168" t="s">
        <v>1445</v>
      </c>
      <c r="O775" s="455" t="s">
        <v>1549</v>
      </c>
      <c r="P775" s="455" t="s">
        <v>84</v>
      </c>
      <c r="Q775" s="455">
        <v>57864</v>
      </c>
      <c r="R775" s="455">
        <v>57864</v>
      </c>
      <c r="S775" s="168">
        <v>203665.76</v>
      </c>
      <c r="T775" s="523">
        <v>203665</v>
      </c>
    </row>
    <row r="776" spans="1:20">
      <c r="A776" s="168" t="s">
        <v>1446</v>
      </c>
      <c r="B776" s="455" t="s">
        <v>1549</v>
      </c>
      <c r="C776" s="455" t="s">
        <v>572</v>
      </c>
      <c r="D776" s="168" t="s">
        <v>1579</v>
      </c>
      <c r="E776" s="150">
        <v>458.28</v>
      </c>
      <c r="F776" s="456">
        <v>500</v>
      </c>
      <c r="G776" s="168">
        <v>0</v>
      </c>
      <c r="H776" s="168">
        <v>0</v>
      </c>
      <c r="N776" s="168" t="s">
        <v>1446</v>
      </c>
      <c r="O776" s="455" t="s">
        <v>1549</v>
      </c>
      <c r="P776" s="455" t="s">
        <v>572</v>
      </c>
      <c r="Q776" s="455">
        <v>145312</v>
      </c>
      <c r="R776" s="455">
        <v>145312</v>
      </c>
      <c r="S776" s="168">
        <v>0</v>
      </c>
      <c r="T776" s="523">
        <v>0</v>
      </c>
    </row>
    <row r="777" spans="1:20">
      <c r="A777" s="168" t="s">
        <v>1447</v>
      </c>
      <c r="B777" s="455" t="s">
        <v>1549</v>
      </c>
      <c r="C777" s="455" t="s">
        <v>590</v>
      </c>
      <c r="D777" s="168" t="s">
        <v>1579</v>
      </c>
      <c r="E777" s="150">
        <v>59976</v>
      </c>
      <c r="F777" s="456">
        <v>60000</v>
      </c>
      <c r="G777" s="168">
        <v>111931.5</v>
      </c>
      <c r="H777" s="168">
        <v>111931</v>
      </c>
      <c r="N777" s="168" t="s">
        <v>1447</v>
      </c>
      <c r="O777" s="455" t="s">
        <v>1549</v>
      </c>
      <c r="P777" s="455" t="s">
        <v>590</v>
      </c>
      <c r="Q777" s="455">
        <v>298106</v>
      </c>
      <c r="R777" s="455">
        <v>298106</v>
      </c>
      <c r="S777" s="168">
        <v>153788.4</v>
      </c>
      <c r="T777" s="523">
        <v>153789</v>
      </c>
    </row>
    <row r="778" spans="1:20">
      <c r="A778" s="168" t="s">
        <v>1448</v>
      </c>
      <c r="B778" s="455" t="s">
        <v>1549</v>
      </c>
      <c r="C778" s="455" t="s">
        <v>590</v>
      </c>
      <c r="D778" s="168" t="s">
        <v>1579</v>
      </c>
      <c r="E778" s="150">
        <v>240608.16</v>
      </c>
      <c r="F778" s="456">
        <v>240700</v>
      </c>
      <c r="G778" s="168">
        <v>271295.40000000002</v>
      </c>
      <c r="H778" s="168">
        <v>271295</v>
      </c>
      <c r="N778" s="168" t="s">
        <v>1448</v>
      </c>
      <c r="O778" s="455" t="s">
        <v>1549</v>
      </c>
      <c r="P778" s="455" t="s">
        <v>590</v>
      </c>
      <c r="Q778" s="455">
        <v>412279</v>
      </c>
      <c r="R778" s="455">
        <v>412279</v>
      </c>
      <c r="S778" s="168">
        <v>316852.62</v>
      </c>
      <c r="T778" s="523">
        <v>316853</v>
      </c>
    </row>
    <row r="779" spans="1:20">
      <c r="A779" s="168" t="s">
        <v>1449</v>
      </c>
      <c r="B779" s="455" t="s">
        <v>1549</v>
      </c>
      <c r="C779" s="455" t="s">
        <v>590</v>
      </c>
      <c r="D779" s="168" t="s">
        <v>1579</v>
      </c>
      <c r="E779" s="150">
        <v>16190.31</v>
      </c>
      <c r="F779" s="456">
        <v>16200</v>
      </c>
      <c r="G779" s="168">
        <v>16187.57</v>
      </c>
      <c r="H779" s="168">
        <v>16188</v>
      </c>
      <c r="N779" s="168" t="s">
        <v>1449</v>
      </c>
      <c r="O779" s="455" t="s">
        <v>1549</v>
      </c>
      <c r="P779" s="455" t="s">
        <v>590</v>
      </c>
      <c r="Q779" s="455">
        <v>18738</v>
      </c>
      <c r="R779" s="455">
        <v>18738</v>
      </c>
      <c r="S779" s="168">
        <v>16444.099999999999</v>
      </c>
      <c r="T779" s="523">
        <v>16445</v>
      </c>
    </row>
    <row r="780" spans="1:20">
      <c r="A780" s="168" t="s">
        <v>1450</v>
      </c>
      <c r="B780" s="455" t="s">
        <v>1549</v>
      </c>
      <c r="C780" s="455" t="s">
        <v>590</v>
      </c>
      <c r="D780" s="168" t="s">
        <v>1579</v>
      </c>
      <c r="E780" s="150">
        <v>10885.6</v>
      </c>
      <c r="F780" s="456">
        <v>10900</v>
      </c>
      <c r="G780" s="168">
        <v>11960.62</v>
      </c>
      <c r="H780" s="168">
        <v>11960</v>
      </c>
      <c r="N780" s="168" t="s">
        <v>1450</v>
      </c>
      <c r="O780" s="455" t="s">
        <v>1549</v>
      </c>
      <c r="P780" s="455" t="s">
        <v>590</v>
      </c>
      <c r="Q780" s="455">
        <v>28672</v>
      </c>
      <c r="R780" s="455">
        <v>28672</v>
      </c>
      <c r="S780" s="168">
        <v>14042.13</v>
      </c>
      <c r="T780" s="523">
        <v>14043</v>
      </c>
    </row>
    <row r="781" spans="1:20">
      <c r="A781" s="168" t="s">
        <v>1451</v>
      </c>
      <c r="B781" s="455" t="s">
        <v>1549</v>
      </c>
      <c r="C781" s="455" t="s">
        <v>1807</v>
      </c>
      <c r="D781" s="168" t="s">
        <v>1579</v>
      </c>
      <c r="E781" s="150">
        <v>726.4</v>
      </c>
      <c r="F781" s="456">
        <v>800</v>
      </c>
      <c r="G781" s="168">
        <v>686.55</v>
      </c>
      <c r="H781" s="168">
        <v>686</v>
      </c>
      <c r="N781" s="168" t="s">
        <v>1451</v>
      </c>
      <c r="O781" s="455" t="s">
        <v>1549</v>
      </c>
      <c r="P781" s="455" t="s">
        <v>1807</v>
      </c>
      <c r="Q781" s="455">
        <v>952</v>
      </c>
      <c r="R781" s="455">
        <v>952</v>
      </c>
      <c r="S781" s="168">
        <v>765</v>
      </c>
      <c r="T781" s="523">
        <v>765</v>
      </c>
    </row>
    <row r="782" spans="1:20">
      <c r="A782" s="168" t="s">
        <v>1452</v>
      </c>
      <c r="B782" s="455" t="s">
        <v>1551</v>
      </c>
      <c r="C782" s="455" t="s">
        <v>592</v>
      </c>
      <c r="D782" s="168" t="s">
        <v>1579</v>
      </c>
      <c r="E782" s="150">
        <v>0</v>
      </c>
      <c r="F782" s="456">
        <v>282</v>
      </c>
      <c r="G782" s="168">
        <v>12937</v>
      </c>
      <c r="H782" s="168">
        <v>1236726</v>
      </c>
      <c r="N782" s="168" t="s">
        <v>1452</v>
      </c>
      <c r="O782" s="455" t="s">
        <v>1551</v>
      </c>
      <c r="P782" s="455" t="s">
        <v>592</v>
      </c>
      <c r="Q782" s="455">
        <v>41772</v>
      </c>
      <c r="R782" s="455">
        <v>41772</v>
      </c>
      <c r="S782" s="168">
        <v>130588.86</v>
      </c>
      <c r="T782" s="523">
        <v>41772</v>
      </c>
    </row>
    <row r="783" spans="1:20">
      <c r="A783" s="168" t="s">
        <v>1453</v>
      </c>
      <c r="B783" s="455" t="s">
        <v>1552</v>
      </c>
      <c r="C783" s="455" t="s">
        <v>595</v>
      </c>
      <c r="D783" s="168" t="s">
        <v>1579</v>
      </c>
      <c r="E783" s="150">
        <v>8122.36</v>
      </c>
      <c r="F783" s="456">
        <v>8200</v>
      </c>
      <c r="G783" s="168">
        <v>8090.81</v>
      </c>
      <c r="H783" s="168">
        <v>8091</v>
      </c>
      <c r="N783" s="168" t="s">
        <v>1453</v>
      </c>
      <c r="O783" s="455" t="s">
        <v>1552</v>
      </c>
      <c r="P783" s="455" t="s">
        <v>595</v>
      </c>
      <c r="Q783" s="455">
        <v>14259</v>
      </c>
      <c r="R783" s="455">
        <v>14259</v>
      </c>
      <c r="S783" s="168">
        <v>12628.51</v>
      </c>
      <c r="T783" s="523">
        <v>12629</v>
      </c>
    </row>
    <row r="784" spans="1:20">
      <c r="A784" s="168" t="s">
        <v>1454</v>
      </c>
      <c r="B784" s="455" t="s">
        <v>1552</v>
      </c>
      <c r="C784" s="455" t="s">
        <v>1235</v>
      </c>
      <c r="D784" s="168" t="s">
        <v>1579</v>
      </c>
      <c r="E784" s="150">
        <v>26065.71</v>
      </c>
      <c r="F784" s="456">
        <v>26100</v>
      </c>
      <c r="G784" s="168">
        <v>70604.25</v>
      </c>
      <c r="H784" s="168">
        <v>70604</v>
      </c>
      <c r="N784" s="168" t="s">
        <v>1454</v>
      </c>
      <c r="O784" s="455" t="s">
        <v>1552</v>
      </c>
      <c r="P784" s="455" t="s">
        <v>1235</v>
      </c>
      <c r="Q784" s="455">
        <v>33879</v>
      </c>
      <c r="R784" s="455">
        <v>33879</v>
      </c>
      <c r="S784" s="168">
        <v>154176.53</v>
      </c>
      <c r="T784" s="523">
        <v>154176</v>
      </c>
    </row>
    <row r="785" spans="1:23">
      <c r="A785" s="168" t="s">
        <v>1456</v>
      </c>
      <c r="B785" s="455" t="s">
        <v>1552</v>
      </c>
      <c r="C785" s="455" t="s">
        <v>545</v>
      </c>
      <c r="D785" s="168" t="s">
        <v>1579</v>
      </c>
      <c r="E785" s="150">
        <v>21541.09</v>
      </c>
      <c r="F785" s="456">
        <v>21600</v>
      </c>
      <c r="G785" s="168">
        <v>29360.39</v>
      </c>
      <c r="H785" s="168">
        <v>29360</v>
      </c>
      <c r="N785" s="168" t="s">
        <v>1456</v>
      </c>
      <c r="O785" s="455" t="s">
        <v>1552</v>
      </c>
      <c r="P785" s="455" t="s">
        <v>545</v>
      </c>
      <c r="Q785" s="455">
        <v>18554</v>
      </c>
      <c r="R785" s="455">
        <v>18554</v>
      </c>
      <c r="S785" s="168">
        <v>3821.73</v>
      </c>
      <c r="T785" s="523">
        <v>3822</v>
      </c>
      <c r="W785" s="147"/>
    </row>
    <row r="786" spans="1:23">
      <c r="A786" s="168" t="s">
        <v>1457</v>
      </c>
      <c r="B786" s="455" t="s">
        <v>2469</v>
      </c>
      <c r="C786" s="455" t="s">
        <v>2315</v>
      </c>
      <c r="D786" s="168" t="s">
        <v>1579</v>
      </c>
      <c r="E786" s="150">
        <v>0</v>
      </c>
      <c r="F786" s="456">
        <v>857</v>
      </c>
      <c r="G786" s="168">
        <v>27162.69</v>
      </c>
      <c r="H786" s="168">
        <v>27163</v>
      </c>
      <c r="N786" s="168" t="s">
        <v>1457</v>
      </c>
      <c r="O786" s="455" t="s">
        <v>2469</v>
      </c>
      <c r="P786" s="455" t="s">
        <v>2315</v>
      </c>
      <c r="Q786" s="455">
        <v>84387</v>
      </c>
      <c r="R786" s="455">
        <v>84387</v>
      </c>
      <c r="S786" s="168">
        <v>33699.43</v>
      </c>
      <c r="T786" s="523">
        <v>33700</v>
      </c>
    </row>
    <row r="787" spans="1:23" s="147" customFormat="1">
      <c r="A787" s="147" t="s">
        <v>1458</v>
      </c>
      <c r="B787" s="148" t="s">
        <v>2469</v>
      </c>
      <c r="C787" s="148" t="s">
        <v>2333</v>
      </c>
      <c r="D787" s="147" t="s">
        <v>1579</v>
      </c>
      <c r="E787" s="151">
        <v>0</v>
      </c>
      <c r="F787" s="149">
        <v>10194</v>
      </c>
      <c r="G787" s="168">
        <v>0</v>
      </c>
      <c r="H787" s="168">
        <v>0</v>
      </c>
      <c r="N787" s="147" t="s">
        <v>1458</v>
      </c>
      <c r="O787" s="148" t="s">
        <v>2469</v>
      </c>
      <c r="P787" s="148" t="s">
        <v>2333</v>
      </c>
      <c r="Q787" s="148"/>
      <c r="R787" s="148"/>
      <c r="S787" s="168">
        <v>0</v>
      </c>
      <c r="T787" s="523">
        <v>0</v>
      </c>
      <c r="W787" s="168"/>
    </row>
    <row r="788" spans="1:23" s="147" customFormat="1">
      <c r="B788" s="148"/>
      <c r="C788" s="148"/>
      <c r="E788" s="151"/>
      <c r="F788" s="149"/>
      <c r="G788" s="168"/>
      <c r="H788" s="168"/>
      <c r="N788" s="147" t="s">
        <v>3733</v>
      </c>
      <c r="O788" s="148"/>
      <c r="P788" s="148" t="s">
        <v>3734</v>
      </c>
      <c r="Q788" s="148">
        <v>2500</v>
      </c>
      <c r="R788" s="148">
        <v>1500</v>
      </c>
      <c r="S788" s="168"/>
      <c r="T788" s="523"/>
      <c r="W788" s="168"/>
    </row>
    <row r="789" spans="1:23">
      <c r="A789" s="168" t="s">
        <v>1459</v>
      </c>
      <c r="B789" s="455" t="s">
        <v>1553</v>
      </c>
      <c r="C789" s="455" t="s">
        <v>612</v>
      </c>
      <c r="D789" s="168" t="s">
        <v>1579</v>
      </c>
      <c r="E789" s="150">
        <v>132.15</v>
      </c>
      <c r="F789" s="456">
        <v>200</v>
      </c>
      <c r="G789" s="168">
        <v>2430.0500000000002</v>
      </c>
      <c r="H789" s="168">
        <v>2430</v>
      </c>
      <c r="N789" s="168" t="s">
        <v>1459</v>
      </c>
      <c r="O789" s="455" t="s">
        <v>1553</v>
      </c>
      <c r="P789" s="455" t="s">
        <v>612</v>
      </c>
      <c r="Q789" s="455">
        <v>2233</v>
      </c>
      <c r="R789" s="455">
        <v>20000</v>
      </c>
      <c r="S789" s="168">
        <v>17160.96</v>
      </c>
      <c r="T789" s="523">
        <v>17161</v>
      </c>
    </row>
    <row r="790" spans="1:23">
      <c r="A790" s="168" t="s">
        <v>1460</v>
      </c>
      <c r="B790" s="455" t="s">
        <v>1553</v>
      </c>
      <c r="C790" s="455" t="s">
        <v>616</v>
      </c>
      <c r="D790" s="168" t="s">
        <v>1579</v>
      </c>
      <c r="E790" s="150">
        <v>4142.5200000000004</v>
      </c>
      <c r="F790" s="456">
        <v>4200</v>
      </c>
      <c r="G790" s="168">
        <v>1585.74</v>
      </c>
      <c r="H790" s="168">
        <v>1585</v>
      </c>
      <c r="N790" s="168" t="s">
        <v>1460</v>
      </c>
      <c r="O790" s="455" t="s">
        <v>1553</v>
      </c>
      <c r="P790" s="455" t="s">
        <v>616</v>
      </c>
      <c r="Q790" s="455">
        <v>1657</v>
      </c>
      <c r="R790" s="455">
        <v>1657</v>
      </c>
      <c r="S790" s="168">
        <v>2698.13</v>
      </c>
      <c r="T790" s="523">
        <v>2698</v>
      </c>
    </row>
    <row r="791" spans="1:23">
      <c r="A791" s="168" t="s">
        <v>1461</v>
      </c>
      <c r="B791" s="455" t="s">
        <v>1553</v>
      </c>
      <c r="C791" s="455" t="s">
        <v>622</v>
      </c>
      <c r="D791" s="168" t="s">
        <v>1579</v>
      </c>
      <c r="E791" s="150">
        <v>45775.66</v>
      </c>
      <c r="F791" s="456">
        <v>46000</v>
      </c>
      <c r="G791" s="168">
        <v>68779.27</v>
      </c>
      <c r="H791" s="168">
        <v>68780</v>
      </c>
      <c r="N791" s="168" t="s">
        <v>1461</v>
      </c>
      <c r="O791" s="455" t="s">
        <v>1553</v>
      </c>
      <c r="P791" s="455" t="s">
        <v>622</v>
      </c>
      <c r="Q791" s="455">
        <v>58000</v>
      </c>
      <c r="R791" s="455">
        <v>58000</v>
      </c>
      <c r="S791" s="168">
        <v>84842.67</v>
      </c>
      <c r="T791" s="523">
        <v>84842</v>
      </c>
    </row>
    <row r="792" spans="1:23">
      <c r="A792" s="168" t="s">
        <v>1462</v>
      </c>
      <c r="B792" s="455" t="s">
        <v>1553</v>
      </c>
      <c r="C792" s="455" t="s">
        <v>2322</v>
      </c>
      <c r="D792" s="168" t="s">
        <v>1579</v>
      </c>
      <c r="E792" s="150">
        <v>13232.54</v>
      </c>
      <c r="F792" s="456">
        <v>13300</v>
      </c>
      <c r="G792" s="168">
        <v>0</v>
      </c>
      <c r="H792" s="168">
        <v>0</v>
      </c>
      <c r="N792" s="168" t="s">
        <v>1462</v>
      </c>
      <c r="O792" s="455" t="s">
        <v>1553</v>
      </c>
      <c r="P792" s="455" t="s">
        <v>2322</v>
      </c>
      <c r="Q792" s="455">
        <v>14556</v>
      </c>
      <c r="R792" s="455">
        <v>14556</v>
      </c>
      <c r="S792" s="168">
        <v>3023.67</v>
      </c>
      <c r="T792" s="523">
        <v>3024</v>
      </c>
    </row>
    <row r="793" spans="1:23">
      <c r="A793" s="168" t="s">
        <v>1463</v>
      </c>
      <c r="B793" s="455" t="s">
        <v>1553</v>
      </c>
      <c r="C793" s="455" t="s">
        <v>624</v>
      </c>
      <c r="D793" s="168" t="s">
        <v>1579</v>
      </c>
      <c r="E793" s="150">
        <v>1207.5</v>
      </c>
      <c r="F793" s="456">
        <v>1300</v>
      </c>
      <c r="G793" s="168">
        <v>1221.5999999999999</v>
      </c>
      <c r="H793" s="168">
        <v>1221</v>
      </c>
      <c r="N793" s="168" t="s">
        <v>1463</v>
      </c>
      <c r="O793" s="455" t="s">
        <v>1553</v>
      </c>
      <c r="P793" s="455" t="s">
        <v>624</v>
      </c>
      <c r="Q793" s="455">
        <v>1268</v>
      </c>
      <c r="R793" s="455">
        <v>1000</v>
      </c>
      <c r="S793" s="168">
        <v>1555</v>
      </c>
      <c r="T793" s="523">
        <v>1555</v>
      </c>
    </row>
    <row r="794" spans="1:23">
      <c r="A794" s="168" t="s">
        <v>1464</v>
      </c>
      <c r="B794" s="455" t="s">
        <v>1553</v>
      </c>
      <c r="C794" s="455" t="s">
        <v>631</v>
      </c>
      <c r="D794" s="168" t="s">
        <v>1579</v>
      </c>
      <c r="E794" s="150">
        <v>6806.68</v>
      </c>
      <c r="F794" s="456">
        <v>7000</v>
      </c>
      <c r="G794" s="168">
        <v>14279.79</v>
      </c>
      <c r="H794" s="168">
        <v>14279</v>
      </c>
      <c r="N794" s="168" t="s">
        <v>1464</v>
      </c>
      <c r="O794" s="455" t="s">
        <v>1553</v>
      </c>
      <c r="P794" s="455" t="s">
        <v>631</v>
      </c>
      <c r="Q794" s="455">
        <v>0</v>
      </c>
      <c r="R794" s="455">
        <v>3000</v>
      </c>
      <c r="S794" s="168">
        <v>3401.51</v>
      </c>
      <c r="T794" s="523">
        <v>3401</v>
      </c>
    </row>
    <row r="795" spans="1:23">
      <c r="A795" s="168" t="s">
        <v>1465</v>
      </c>
      <c r="B795" s="455" t="s">
        <v>1553</v>
      </c>
      <c r="C795" s="455" t="s">
        <v>633</v>
      </c>
      <c r="D795" s="168" t="s">
        <v>1579</v>
      </c>
      <c r="E795" s="150">
        <v>89070.49</v>
      </c>
      <c r="F795" s="456">
        <v>89100</v>
      </c>
      <c r="G795" s="168">
        <v>82072.84</v>
      </c>
      <c r="H795" s="168">
        <v>82072</v>
      </c>
      <c r="N795" s="168" t="s">
        <v>1465</v>
      </c>
      <c r="O795" s="455" t="s">
        <v>1553</v>
      </c>
      <c r="P795" s="455" t="s">
        <v>633</v>
      </c>
      <c r="Q795" s="455">
        <v>93524</v>
      </c>
      <c r="R795" s="455">
        <v>67000</v>
      </c>
      <c r="S795" s="168">
        <v>64033.74</v>
      </c>
      <c r="T795" s="523">
        <v>64034</v>
      </c>
    </row>
    <row r="796" spans="1:23">
      <c r="A796" s="168" t="s">
        <v>1466</v>
      </c>
      <c r="B796" s="455" t="s">
        <v>1553</v>
      </c>
      <c r="C796" s="455" t="s">
        <v>253</v>
      </c>
      <c r="D796" s="168" t="s">
        <v>1579</v>
      </c>
      <c r="E796" s="150">
        <v>4094.56</v>
      </c>
      <c r="F796" s="456">
        <v>4100</v>
      </c>
      <c r="G796" s="168">
        <v>1065.3900000000001</v>
      </c>
      <c r="H796" s="168">
        <v>1065</v>
      </c>
      <c r="N796" s="168" t="s">
        <v>1466</v>
      </c>
      <c r="O796" s="455" t="s">
        <v>1553</v>
      </c>
      <c r="P796" s="455" t="s">
        <v>253</v>
      </c>
      <c r="Q796" s="455">
        <v>4299</v>
      </c>
      <c r="R796" s="455">
        <v>4299</v>
      </c>
      <c r="S796" s="168">
        <v>21646.55</v>
      </c>
      <c r="T796" s="523">
        <v>21646</v>
      </c>
    </row>
    <row r="797" spans="1:23">
      <c r="A797" s="168" t="s">
        <v>1467</v>
      </c>
      <c r="B797" s="455" t="s">
        <v>1553</v>
      </c>
      <c r="C797" s="455" t="s">
        <v>50</v>
      </c>
      <c r="D797" s="168" t="s">
        <v>1579</v>
      </c>
      <c r="E797" s="150">
        <v>104144.81</v>
      </c>
      <c r="F797" s="456">
        <v>105000</v>
      </c>
      <c r="G797" s="168">
        <v>129415.46</v>
      </c>
      <c r="H797" s="168">
        <v>129415</v>
      </c>
      <c r="N797" s="168" t="s">
        <v>1467</v>
      </c>
      <c r="O797" s="455" t="s">
        <v>1553</v>
      </c>
      <c r="P797" s="455" t="s">
        <v>50</v>
      </c>
      <c r="Q797" s="455">
        <v>109352</v>
      </c>
      <c r="R797" s="455">
        <v>96000</v>
      </c>
      <c r="S797" s="168">
        <v>123330.38</v>
      </c>
      <c r="T797" s="523">
        <v>123330</v>
      </c>
    </row>
    <row r="798" spans="1:23">
      <c r="A798" s="168" t="s">
        <v>1468</v>
      </c>
      <c r="B798" s="455" t="s">
        <v>1553</v>
      </c>
      <c r="C798" s="455" t="s">
        <v>52</v>
      </c>
      <c r="D798" s="168" t="s">
        <v>1579</v>
      </c>
      <c r="E798" s="150">
        <v>16452.77</v>
      </c>
      <c r="F798" s="456">
        <v>17000</v>
      </c>
      <c r="G798" s="168">
        <v>18844.12</v>
      </c>
      <c r="H798" s="168">
        <v>18844</v>
      </c>
      <c r="N798" s="168" t="s">
        <v>1468</v>
      </c>
      <c r="O798" s="455" t="s">
        <v>1553</v>
      </c>
      <c r="P798" s="455" t="s">
        <v>52</v>
      </c>
      <c r="Q798" s="455">
        <v>17275</v>
      </c>
      <c r="R798" s="455">
        <v>17275</v>
      </c>
      <c r="S798" s="168">
        <v>20445.560000000001</v>
      </c>
      <c r="T798" s="523">
        <v>20445</v>
      </c>
    </row>
    <row r="799" spans="1:23">
      <c r="A799" s="168" t="s">
        <v>1469</v>
      </c>
      <c r="B799" s="455" t="s">
        <v>1553</v>
      </c>
      <c r="C799" s="455" t="s">
        <v>52</v>
      </c>
      <c r="D799" s="168" t="s">
        <v>1579</v>
      </c>
      <c r="E799" s="150">
        <v>74365.289999999994</v>
      </c>
      <c r="F799" s="456">
        <v>74366</v>
      </c>
      <c r="G799" s="168">
        <v>12075.31</v>
      </c>
      <c r="H799" s="168">
        <v>12067</v>
      </c>
      <c r="N799" s="168" t="s">
        <v>1469</v>
      </c>
      <c r="O799" s="455" t="s">
        <v>1553</v>
      </c>
      <c r="P799" s="455" t="s">
        <v>52</v>
      </c>
      <c r="Q799" s="455">
        <v>78084</v>
      </c>
      <c r="R799" s="455">
        <v>30000</v>
      </c>
      <c r="S799" s="168">
        <v>76030.210000000006</v>
      </c>
      <c r="T799" s="523">
        <v>76030</v>
      </c>
    </row>
    <row r="800" spans="1:23">
      <c r="A800" s="168" t="s">
        <v>2721</v>
      </c>
      <c r="B800" s="455"/>
      <c r="E800" s="150"/>
      <c r="G800" s="168">
        <v>268821</v>
      </c>
      <c r="H800" s="168">
        <v>268821</v>
      </c>
      <c r="N800" s="168" t="s">
        <v>2721</v>
      </c>
      <c r="O800" s="455"/>
      <c r="P800" s="455"/>
      <c r="Q800" s="455"/>
      <c r="R800" s="455">
        <v>25000</v>
      </c>
      <c r="S800" s="168">
        <v>321096</v>
      </c>
      <c r="T800" s="523">
        <v>321096</v>
      </c>
    </row>
    <row r="801" spans="1:22">
      <c r="A801" s="168" t="s">
        <v>2722</v>
      </c>
      <c r="B801" s="455"/>
      <c r="E801" s="150"/>
      <c r="G801" s="168">
        <v>92860.5</v>
      </c>
      <c r="H801" s="168">
        <v>92860</v>
      </c>
      <c r="N801" s="168" t="s">
        <v>2722</v>
      </c>
      <c r="O801" s="455"/>
      <c r="P801" s="455"/>
      <c r="Q801" s="455"/>
      <c r="R801" s="455"/>
      <c r="S801" s="168">
        <v>376950.47</v>
      </c>
      <c r="T801" s="523">
        <v>376950</v>
      </c>
    </row>
    <row r="802" spans="1:22">
      <c r="A802" s="168" t="s">
        <v>1470</v>
      </c>
      <c r="B802" s="455" t="s">
        <v>1553</v>
      </c>
      <c r="C802" s="455" t="s">
        <v>1455</v>
      </c>
      <c r="D802" s="168" t="s">
        <v>1579</v>
      </c>
      <c r="E802" s="150">
        <v>1452.5</v>
      </c>
      <c r="F802" s="456">
        <v>3800</v>
      </c>
      <c r="G802" s="168">
        <v>26676</v>
      </c>
      <c r="H802" s="168">
        <v>26676</v>
      </c>
      <c r="N802" s="168" t="s">
        <v>1470</v>
      </c>
      <c r="O802" s="455" t="s">
        <v>1553</v>
      </c>
      <c r="P802" s="455" t="s">
        <v>1455</v>
      </c>
      <c r="Q802" s="455">
        <v>20000</v>
      </c>
      <c r="R802" s="455">
        <v>10000</v>
      </c>
      <c r="S802" s="168">
        <v>0</v>
      </c>
      <c r="T802" s="523">
        <v>0</v>
      </c>
    </row>
    <row r="803" spans="1:22">
      <c r="A803" s="168" t="s">
        <v>835</v>
      </c>
      <c r="B803" s="455" t="s">
        <v>1553</v>
      </c>
      <c r="C803" s="455" t="s">
        <v>62</v>
      </c>
      <c r="D803" s="168" t="s">
        <v>1579</v>
      </c>
      <c r="E803" s="150">
        <v>0</v>
      </c>
      <c r="F803" s="456">
        <v>0</v>
      </c>
      <c r="G803" s="168">
        <v>7242</v>
      </c>
      <c r="H803" s="168">
        <v>7242</v>
      </c>
      <c r="N803" s="168" t="s">
        <v>835</v>
      </c>
      <c r="O803" s="455" t="s">
        <v>1553</v>
      </c>
      <c r="P803" s="455" t="s">
        <v>62</v>
      </c>
      <c r="Q803" s="455">
        <v>20000</v>
      </c>
      <c r="R803" s="455">
        <v>10000</v>
      </c>
      <c r="S803" s="168">
        <v>0</v>
      </c>
      <c r="T803" s="523">
        <v>0</v>
      </c>
    </row>
    <row r="804" spans="1:22">
      <c r="A804" s="168" t="s">
        <v>836</v>
      </c>
      <c r="B804" s="455" t="s">
        <v>1553</v>
      </c>
      <c r="C804" s="455" t="s">
        <v>837</v>
      </c>
      <c r="D804" s="168" t="s">
        <v>1579</v>
      </c>
      <c r="E804" s="150">
        <v>174000</v>
      </c>
      <c r="F804" s="456">
        <v>174000</v>
      </c>
      <c r="G804" s="168">
        <v>0</v>
      </c>
      <c r="H804" s="168">
        <v>0</v>
      </c>
      <c r="N804" s="168" t="s">
        <v>836</v>
      </c>
      <c r="O804" s="455" t="s">
        <v>1553</v>
      </c>
      <c r="P804" s="455" t="s">
        <v>837</v>
      </c>
      <c r="Q804" s="455">
        <v>182700</v>
      </c>
      <c r="R804" s="455">
        <v>100000</v>
      </c>
      <c r="S804" s="168">
        <v>0</v>
      </c>
      <c r="T804" s="523">
        <v>0</v>
      </c>
    </row>
    <row r="805" spans="1:22">
      <c r="A805" s="168" t="s">
        <v>838</v>
      </c>
      <c r="B805" s="455" t="s">
        <v>1553</v>
      </c>
      <c r="C805" s="455" t="s">
        <v>839</v>
      </c>
      <c r="D805" s="168" t="s">
        <v>1579</v>
      </c>
      <c r="E805" s="150">
        <v>0</v>
      </c>
      <c r="F805" s="456">
        <v>0</v>
      </c>
      <c r="G805" s="168">
        <v>0</v>
      </c>
      <c r="H805" s="168">
        <v>0</v>
      </c>
      <c r="N805" s="168" t="s">
        <v>838</v>
      </c>
      <c r="O805" s="455" t="s">
        <v>1553</v>
      </c>
      <c r="P805" s="455" t="s">
        <v>839</v>
      </c>
      <c r="Q805" s="455"/>
      <c r="R805" s="455"/>
      <c r="S805" s="168">
        <v>0</v>
      </c>
      <c r="T805" s="523">
        <v>0</v>
      </c>
    </row>
    <row r="806" spans="1:22">
      <c r="A806" s="168" t="s">
        <v>840</v>
      </c>
      <c r="B806" s="455" t="s">
        <v>1553</v>
      </c>
      <c r="C806" s="455" t="s">
        <v>2332</v>
      </c>
      <c r="D806" s="168" t="s">
        <v>1579</v>
      </c>
      <c r="E806" s="150">
        <v>0</v>
      </c>
      <c r="F806" s="456">
        <v>0</v>
      </c>
      <c r="G806" s="168">
        <v>0</v>
      </c>
      <c r="H806" s="168">
        <v>0</v>
      </c>
      <c r="N806" s="168" t="s">
        <v>840</v>
      </c>
      <c r="O806" s="455" t="s">
        <v>1553</v>
      </c>
      <c r="P806" s="455" t="s">
        <v>2332</v>
      </c>
      <c r="Q806" s="455"/>
      <c r="R806" s="455"/>
      <c r="S806" s="168">
        <v>0</v>
      </c>
      <c r="T806" s="523">
        <v>0</v>
      </c>
    </row>
    <row r="807" spans="1:22" ht="15.75" thickBot="1">
      <c r="A807" s="168" t="s">
        <v>841</v>
      </c>
      <c r="B807" s="455" t="s">
        <v>1553</v>
      </c>
      <c r="C807" s="455" t="s">
        <v>359</v>
      </c>
      <c r="D807" s="168" t="s">
        <v>1579</v>
      </c>
      <c r="E807" s="150">
        <v>0</v>
      </c>
      <c r="F807" s="456">
        <v>0</v>
      </c>
      <c r="G807" s="168">
        <v>0</v>
      </c>
      <c r="H807" s="168">
        <v>0</v>
      </c>
      <c r="N807" s="168" t="s">
        <v>841</v>
      </c>
      <c r="O807" s="455" t="s">
        <v>1553</v>
      </c>
      <c r="P807" s="455" t="s">
        <v>359</v>
      </c>
      <c r="Q807" s="455"/>
      <c r="R807" s="455"/>
      <c r="S807" s="168">
        <v>0</v>
      </c>
      <c r="T807" s="523">
        <v>0</v>
      </c>
    </row>
    <row r="808" spans="1:22" ht="16.5" thickTop="1" thickBot="1">
      <c r="A808" s="554" t="s">
        <v>2668</v>
      </c>
      <c r="B808" s="555"/>
      <c r="C808" s="555"/>
      <c r="D808" s="556"/>
      <c r="E808" s="558">
        <f>SUM(E768:E807)</f>
        <v>3025219.3100000005</v>
      </c>
      <c r="F808" s="558">
        <f>SUM(F768:F807)</f>
        <v>3043104</v>
      </c>
      <c r="G808" s="558">
        <f>SUM(G768:G807)</f>
        <v>3663657.7</v>
      </c>
      <c r="H808" s="558">
        <f>SUM(H768:H807)</f>
        <v>4887432</v>
      </c>
      <c r="N808" s="554" t="s">
        <v>2668</v>
      </c>
      <c r="O808" s="555"/>
      <c r="P808" s="555"/>
      <c r="Q808" s="555">
        <f>SUM(Q768:Q807)</f>
        <v>5194852</v>
      </c>
      <c r="R808" s="555">
        <f>SUM(R768:R807)</f>
        <v>5050491</v>
      </c>
      <c r="S808" s="558">
        <f>SUM(S768:S807)</f>
        <v>4510123.7799999993</v>
      </c>
      <c r="T808" s="558">
        <f>SUM(T768:T807)</f>
        <v>4421309</v>
      </c>
      <c r="U808" s="168">
        <f>SUM(S808)</f>
        <v>4510123.7799999993</v>
      </c>
      <c r="V808" s="168">
        <f>SUM(T808)</f>
        <v>4421309</v>
      </c>
    </row>
    <row r="809" spans="1:22" ht="15.75" thickTop="1">
      <c r="B809" s="455"/>
      <c r="E809" s="456">
        <f>SUM(E2:E807)</f>
        <v>-24803765.249999974</v>
      </c>
      <c r="G809" s="168">
        <f>SUM(G2:G808)/2</f>
        <v>-74556903.550000057</v>
      </c>
      <c r="O809" s="455"/>
      <c r="P809" s="455"/>
      <c r="Q809" s="455"/>
      <c r="R809" s="455"/>
      <c r="S809" s="168">
        <v>0</v>
      </c>
      <c r="T809" s="523"/>
      <c r="U809" s="603">
        <f>SUM(U766:U808)</f>
        <v>1707231.6899999995</v>
      </c>
      <c r="V809" s="603">
        <f>SUM(V766:V808)</f>
        <v>-578691</v>
      </c>
    </row>
    <row r="810" spans="1:22">
      <c r="B810" s="455"/>
      <c r="E810" s="456">
        <v>7666459.5099999998</v>
      </c>
    </row>
    <row r="811" spans="1:22">
      <c r="B811" s="455"/>
      <c r="E811" s="456">
        <f>SUM(E809:E810)</f>
        <v>-17137305.739999972</v>
      </c>
    </row>
    <row r="812" spans="1:22" ht="18.75">
      <c r="A812" s="564" t="s">
        <v>842</v>
      </c>
      <c r="B812" s="455"/>
    </row>
    <row r="813" spans="1:22" ht="15.75" thickBot="1">
      <c r="A813" s="168" t="s">
        <v>843</v>
      </c>
      <c r="B813" s="455"/>
      <c r="C813" s="455" t="s">
        <v>1368</v>
      </c>
      <c r="E813" s="456">
        <v>-844777.61</v>
      </c>
      <c r="F813" s="456">
        <v>-1813856</v>
      </c>
    </row>
    <row r="814" spans="1:22" ht="16.5" thickTop="1" thickBot="1">
      <c r="A814" s="554" t="s">
        <v>2668</v>
      </c>
      <c r="B814" s="555"/>
      <c r="C814" s="555"/>
      <c r="D814" s="556"/>
      <c r="E814" s="558">
        <f>SUM(E813)</f>
        <v>-844777.61</v>
      </c>
      <c r="F814" s="558">
        <f>SUM(F813)</f>
        <v>-1813856</v>
      </c>
      <c r="G814" s="558">
        <f>SUM(G813)</f>
        <v>0</v>
      </c>
      <c r="H814" s="558">
        <f>SUM(H813)</f>
        <v>0</v>
      </c>
    </row>
    <row r="815" spans="1:22" ht="15.75" thickTop="1">
      <c r="B815" s="455"/>
    </row>
    <row r="816" spans="1:22">
      <c r="A816" s="168" t="s">
        <v>844</v>
      </c>
      <c r="B816" s="455" t="s">
        <v>1552</v>
      </c>
      <c r="C816" s="455" t="s">
        <v>595</v>
      </c>
      <c r="E816" s="456">
        <v>21465.599999999999</v>
      </c>
      <c r="F816" s="456">
        <v>310500</v>
      </c>
      <c r="G816" s="168">
        <v>0</v>
      </c>
      <c r="H816" s="168">
        <v>0</v>
      </c>
    </row>
    <row r="817" spans="1:8">
      <c r="A817" s="168" t="s">
        <v>845</v>
      </c>
      <c r="B817" s="455" t="s">
        <v>1552</v>
      </c>
      <c r="C817" s="455" t="s">
        <v>338</v>
      </c>
      <c r="E817" s="456">
        <v>28038.16</v>
      </c>
      <c r="F817" s="456">
        <v>257500</v>
      </c>
      <c r="G817" s="168">
        <v>0</v>
      </c>
      <c r="H817" s="168">
        <v>0</v>
      </c>
    </row>
    <row r="818" spans="1:8">
      <c r="A818" s="168" t="s">
        <v>846</v>
      </c>
      <c r="B818" s="455" t="s">
        <v>1552</v>
      </c>
      <c r="C818" s="455" t="s">
        <v>545</v>
      </c>
      <c r="E818" s="456">
        <v>20656.97</v>
      </c>
      <c r="F818" s="456">
        <v>43260</v>
      </c>
      <c r="G818" s="168">
        <v>0</v>
      </c>
      <c r="H818" s="168">
        <v>0</v>
      </c>
    </row>
    <row r="819" spans="1:8">
      <c r="A819" s="168" t="s">
        <v>847</v>
      </c>
      <c r="B819" s="455" t="s">
        <v>1552</v>
      </c>
      <c r="C819" s="455" t="s">
        <v>545</v>
      </c>
      <c r="E819" s="456">
        <v>15843.92</v>
      </c>
      <c r="F819" s="456">
        <v>43260</v>
      </c>
      <c r="G819" s="168">
        <v>0</v>
      </c>
      <c r="H819" s="168">
        <v>0</v>
      </c>
    </row>
    <row r="820" spans="1:8">
      <c r="A820" s="168" t="s">
        <v>848</v>
      </c>
      <c r="B820" s="455" t="s">
        <v>1553</v>
      </c>
      <c r="C820" s="455" t="s">
        <v>612</v>
      </c>
      <c r="E820" s="456">
        <v>0</v>
      </c>
      <c r="F820" s="456">
        <v>28840</v>
      </c>
      <c r="G820" s="168">
        <v>0</v>
      </c>
      <c r="H820" s="168">
        <v>0</v>
      </c>
    </row>
    <row r="821" spans="1:8">
      <c r="A821" s="168" t="s">
        <v>849</v>
      </c>
      <c r="B821" s="455" t="s">
        <v>1553</v>
      </c>
      <c r="C821" s="455" t="s">
        <v>616</v>
      </c>
      <c r="E821" s="456">
        <v>174.57</v>
      </c>
      <c r="F821" s="456">
        <v>46350</v>
      </c>
      <c r="G821" s="168">
        <v>0</v>
      </c>
      <c r="H821" s="168">
        <v>0</v>
      </c>
    </row>
    <row r="822" spans="1:8">
      <c r="A822" s="168" t="s">
        <v>850</v>
      </c>
      <c r="B822" s="455" t="s">
        <v>1553</v>
      </c>
      <c r="C822" s="455" t="s">
        <v>622</v>
      </c>
      <c r="E822" s="456">
        <v>5890.62</v>
      </c>
      <c r="F822" s="456">
        <v>21630</v>
      </c>
      <c r="G822" s="168">
        <v>0</v>
      </c>
      <c r="H822" s="168">
        <v>0</v>
      </c>
    </row>
    <row r="823" spans="1:8">
      <c r="A823" s="168" t="s">
        <v>851</v>
      </c>
      <c r="B823" s="455" t="s">
        <v>1553</v>
      </c>
      <c r="C823" s="455" t="s">
        <v>2322</v>
      </c>
      <c r="E823" s="456">
        <v>0</v>
      </c>
      <c r="F823" s="456">
        <v>12394</v>
      </c>
      <c r="G823" s="168">
        <v>0</v>
      </c>
      <c r="H823" s="168">
        <v>0</v>
      </c>
    </row>
    <row r="824" spans="1:8">
      <c r="A824" s="168" t="s">
        <v>852</v>
      </c>
      <c r="B824" s="455" t="s">
        <v>1553</v>
      </c>
      <c r="C824" s="455" t="s">
        <v>624</v>
      </c>
      <c r="E824" s="456">
        <v>2855</v>
      </c>
      <c r="F824" s="456">
        <v>4327</v>
      </c>
      <c r="G824" s="168">
        <v>0</v>
      </c>
      <c r="H824" s="168">
        <v>0</v>
      </c>
    </row>
    <row r="825" spans="1:8">
      <c r="A825" s="168" t="s">
        <v>853</v>
      </c>
      <c r="B825" s="455" t="s">
        <v>1553</v>
      </c>
      <c r="C825" s="455" t="s">
        <v>854</v>
      </c>
      <c r="E825" s="456">
        <v>0</v>
      </c>
      <c r="F825" s="456">
        <v>154500</v>
      </c>
      <c r="G825" s="168">
        <v>0</v>
      </c>
      <c r="H825" s="168">
        <v>0</v>
      </c>
    </row>
    <row r="826" spans="1:8">
      <c r="A826" s="168" t="s">
        <v>855</v>
      </c>
      <c r="B826" s="455" t="s">
        <v>1553</v>
      </c>
      <c r="C826" s="455" t="s">
        <v>633</v>
      </c>
      <c r="E826" s="456">
        <v>1289.31</v>
      </c>
      <c r="F826" s="456">
        <v>16223</v>
      </c>
      <c r="G826" s="168">
        <v>0</v>
      </c>
      <c r="H826" s="168">
        <v>0</v>
      </c>
    </row>
    <row r="827" spans="1:8">
      <c r="A827" s="168" t="s">
        <v>856</v>
      </c>
      <c r="B827" s="455" t="s">
        <v>1553</v>
      </c>
      <c r="C827" s="455" t="s">
        <v>253</v>
      </c>
      <c r="E827" s="456">
        <v>1620.3</v>
      </c>
      <c r="F827" s="456">
        <v>4867</v>
      </c>
      <c r="G827" s="168">
        <v>0</v>
      </c>
      <c r="H827" s="168">
        <v>0</v>
      </c>
    </row>
    <row r="828" spans="1:8">
      <c r="A828" s="168" t="s">
        <v>857</v>
      </c>
      <c r="B828" s="455" t="s">
        <v>1553</v>
      </c>
      <c r="C828" s="455" t="s">
        <v>52</v>
      </c>
      <c r="E828" s="456">
        <v>1860.01</v>
      </c>
      <c r="F828" s="456">
        <v>10815</v>
      </c>
      <c r="G828" s="168">
        <v>0</v>
      </c>
      <c r="H828" s="168">
        <v>0</v>
      </c>
    </row>
    <row r="829" spans="1:8">
      <c r="A829" s="168" t="s">
        <v>858</v>
      </c>
      <c r="B829" s="455" t="s">
        <v>1553</v>
      </c>
      <c r="C829" s="455" t="s">
        <v>52</v>
      </c>
      <c r="E829" s="456">
        <v>0</v>
      </c>
      <c r="F829" s="456">
        <v>14400</v>
      </c>
      <c r="G829" s="168">
        <v>0</v>
      </c>
      <c r="H829" s="168">
        <v>0</v>
      </c>
    </row>
    <row r="830" spans="1:8">
      <c r="A830" s="168" t="s">
        <v>1474</v>
      </c>
      <c r="B830" s="455" t="s">
        <v>1553</v>
      </c>
      <c r="C830" s="455" t="s">
        <v>261</v>
      </c>
      <c r="E830" s="456">
        <v>-1472199.21</v>
      </c>
      <c r="F830" s="456">
        <v>1223878</v>
      </c>
      <c r="G830" s="168">
        <v>0</v>
      </c>
      <c r="H830" s="168">
        <v>0</v>
      </c>
    </row>
    <row r="831" spans="1:8">
      <c r="A831" s="168" t="s">
        <v>1475</v>
      </c>
      <c r="B831" s="455"/>
      <c r="C831" s="455" t="s">
        <v>2328</v>
      </c>
      <c r="E831" s="456">
        <v>62451.92</v>
      </c>
      <c r="F831" s="456">
        <v>386000</v>
      </c>
      <c r="G831" s="168">
        <v>0</v>
      </c>
      <c r="H831" s="168">
        <v>0</v>
      </c>
    </row>
    <row r="832" spans="1:8">
      <c r="A832" s="168" t="s">
        <v>1476</v>
      </c>
      <c r="B832" s="455"/>
      <c r="C832" s="455" t="s">
        <v>2328</v>
      </c>
      <c r="E832" s="456">
        <v>0</v>
      </c>
      <c r="F832" s="456">
        <v>660000</v>
      </c>
      <c r="G832" s="168">
        <v>0</v>
      </c>
      <c r="H832" s="168">
        <v>0</v>
      </c>
    </row>
    <row r="833" spans="1:8">
      <c r="A833" s="168" t="s">
        <v>1477</v>
      </c>
      <c r="B833" s="455"/>
      <c r="C833" s="455" t="s">
        <v>2328</v>
      </c>
      <c r="E833" s="456">
        <v>0</v>
      </c>
      <c r="F833" s="456">
        <v>-660000</v>
      </c>
      <c r="G833" s="168">
        <v>0</v>
      </c>
      <c r="H833" s="168">
        <v>0</v>
      </c>
    </row>
    <row r="834" spans="1:8" ht="15.75" thickBot="1">
      <c r="A834" s="168" t="s">
        <v>1478</v>
      </c>
      <c r="B834" s="455"/>
      <c r="C834" s="455" t="s">
        <v>2328</v>
      </c>
      <c r="E834" s="456">
        <v>0</v>
      </c>
      <c r="F834" s="456">
        <v>-386000</v>
      </c>
      <c r="G834" s="168">
        <v>0</v>
      </c>
      <c r="H834" s="168">
        <v>0</v>
      </c>
    </row>
    <row r="835" spans="1:8" ht="16.5" thickTop="1" thickBot="1">
      <c r="A835" s="554" t="s">
        <v>2668</v>
      </c>
      <c r="B835" s="555"/>
      <c r="C835" s="555"/>
      <c r="D835" s="556"/>
      <c r="E835" s="558">
        <f>SUM(E816:E834)</f>
        <v>-1310052.83</v>
      </c>
      <c r="F835" s="558">
        <f>SUM(F816:F834)</f>
        <v>2192744</v>
      </c>
      <c r="G835" s="558">
        <f>SUM(G816:G834)</f>
        <v>0</v>
      </c>
      <c r="H835" s="558">
        <f>SUM(H816:H834)</f>
        <v>0</v>
      </c>
    </row>
    <row r="836" spans="1:8" ht="15.75" thickTop="1">
      <c r="B836" s="455"/>
    </row>
    <row r="837" spans="1:8">
      <c r="A837" s="168" t="s">
        <v>1479</v>
      </c>
      <c r="B837" s="455" t="s">
        <v>1241</v>
      </c>
      <c r="C837" s="455" t="s">
        <v>1368</v>
      </c>
      <c r="E837" s="456">
        <v>-8390025.7200000007</v>
      </c>
      <c r="F837" s="456">
        <v>-13972544</v>
      </c>
      <c r="G837" s="168">
        <v>0</v>
      </c>
      <c r="H837" s="168">
        <v>0</v>
      </c>
    </row>
    <row r="838" spans="1:8">
      <c r="A838" s="168" t="s">
        <v>1480</v>
      </c>
      <c r="B838" s="455" t="s">
        <v>1241</v>
      </c>
      <c r="C838" s="455" t="s">
        <v>1368</v>
      </c>
      <c r="E838" s="456">
        <v>0</v>
      </c>
      <c r="F838" s="456">
        <v>-47278</v>
      </c>
      <c r="G838" s="168">
        <v>0</v>
      </c>
      <c r="H838" s="168">
        <v>0</v>
      </c>
    </row>
    <row r="839" spans="1:8">
      <c r="A839" s="168" t="s">
        <v>1481</v>
      </c>
      <c r="B839" s="455" t="s">
        <v>1241</v>
      </c>
      <c r="C839" s="455" t="s">
        <v>1368</v>
      </c>
      <c r="E839" s="456">
        <v>0</v>
      </c>
      <c r="F839" s="456">
        <v>0</v>
      </c>
      <c r="G839" s="168">
        <v>0</v>
      </c>
      <c r="H839" s="168">
        <v>0</v>
      </c>
    </row>
    <row r="840" spans="1:8">
      <c r="A840" s="168" t="s">
        <v>1482</v>
      </c>
      <c r="B840" s="455" t="s">
        <v>1241</v>
      </c>
      <c r="C840" s="455" t="s">
        <v>1368</v>
      </c>
      <c r="E840" s="456">
        <v>-620221.30000000005</v>
      </c>
      <c r="F840" s="456">
        <v>-1280711</v>
      </c>
      <c r="G840" s="168">
        <v>0</v>
      </c>
      <c r="H840" s="168">
        <v>0</v>
      </c>
    </row>
    <row r="841" spans="1:8">
      <c r="A841" s="168" t="s">
        <v>1483</v>
      </c>
      <c r="B841" s="455" t="s">
        <v>1241</v>
      </c>
      <c r="C841" s="455" t="s">
        <v>1368</v>
      </c>
      <c r="E841" s="456">
        <v>0</v>
      </c>
      <c r="F841" s="456">
        <v>0</v>
      </c>
      <c r="G841" s="168">
        <v>0</v>
      </c>
      <c r="H841" s="168">
        <v>0</v>
      </c>
    </row>
    <row r="842" spans="1:8">
      <c r="A842" s="168" t="s">
        <v>1484</v>
      </c>
      <c r="B842" s="455" t="s">
        <v>1241</v>
      </c>
      <c r="C842" s="455" t="s">
        <v>1485</v>
      </c>
      <c r="E842" s="456">
        <v>-208817.34</v>
      </c>
      <c r="F842" s="456">
        <v>0</v>
      </c>
      <c r="G842" s="168">
        <v>0</v>
      </c>
      <c r="H842" s="168">
        <v>0</v>
      </c>
    </row>
    <row r="843" spans="1:8" ht="15.75" thickBot="1">
      <c r="A843" s="168" t="s">
        <v>1486</v>
      </c>
      <c r="B843" s="455" t="s">
        <v>1241</v>
      </c>
      <c r="C843" s="455" t="s">
        <v>560</v>
      </c>
      <c r="E843" s="456">
        <v>0</v>
      </c>
      <c r="F843" s="456">
        <v>0</v>
      </c>
      <c r="G843" s="168">
        <v>0</v>
      </c>
      <c r="H843" s="168">
        <v>0</v>
      </c>
    </row>
    <row r="844" spans="1:8" ht="16.5" thickTop="1" thickBot="1">
      <c r="A844" s="554" t="s">
        <v>2668</v>
      </c>
      <c r="B844" s="555"/>
      <c r="C844" s="555"/>
      <c r="D844" s="556"/>
      <c r="E844" s="558">
        <f>SUM(E837:E843)</f>
        <v>-9219064.3600000013</v>
      </c>
      <c r="F844" s="558">
        <f>SUM(F837:F843)</f>
        <v>-15300533</v>
      </c>
      <c r="G844" s="558">
        <f>SUM(G837:G843)</f>
        <v>0</v>
      </c>
      <c r="H844" s="558">
        <f>SUM(H837:H843)</f>
        <v>0</v>
      </c>
    </row>
    <row r="845" spans="1:8" ht="15.75" thickTop="1">
      <c r="B845" s="455"/>
    </row>
    <row r="846" spans="1:8">
      <c r="A846" s="168" t="s">
        <v>1487</v>
      </c>
      <c r="B846" s="455" t="s">
        <v>1549</v>
      </c>
      <c r="C846" s="455" t="s">
        <v>75</v>
      </c>
      <c r="E846" s="456">
        <v>4191400.13</v>
      </c>
      <c r="F846" s="456">
        <v>4324304</v>
      </c>
      <c r="G846" s="168">
        <v>0</v>
      </c>
      <c r="H846" s="168">
        <v>0</v>
      </c>
    </row>
    <row r="847" spans="1:8">
      <c r="A847" s="168" t="s">
        <v>1488</v>
      </c>
      <c r="B847" s="455" t="s">
        <v>1549</v>
      </c>
      <c r="C847" s="455" t="s">
        <v>77</v>
      </c>
      <c r="E847" s="456">
        <v>475797.19</v>
      </c>
      <c r="F847" s="456">
        <v>417541</v>
      </c>
      <c r="G847" s="168">
        <v>0</v>
      </c>
      <c r="H847" s="168">
        <v>0</v>
      </c>
    </row>
    <row r="848" spans="1:8">
      <c r="A848" s="168" t="s">
        <v>1489</v>
      </c>
      <c r="B848" s="455" t="s">
        <v>1549</v>
      </c>
      <c r="C848" s="455" t="s">
        <v>60</v>
      </c>
      <c r="E848" s="456">
        <v>140237.56</v>
      </c>
      <c r="F848" s="456">
        <v>300238</v>
      </c>
      <c r="G848" s="168">
        <v>0</v>
      </c>
      <c r="H848" s="168">
        <v>0</v>
      </c>
    </row>
    <row r="849" spans="1:8">
      <c r="A849" s="168" t="s">
        <v>1490</v>
      </c>
      <c r="B849" s="455" t="s">
        <v>1549</v>
      </c>
      <c r="C849" s="455" t="s">
        <v>1395</v>
      </c>
      <c r="E849" s="456">
        <v>142571.1</v>
      </c>
      <c r="F849" s="456">
        <v>177633</v>
      </c>
      <c r="G849" s="168">
        <v>0</v>
      </c>
      <c r="H849" s="168">
        <v>0</v>
      </c>
    </row>
    <row r="850" spans="1:8">
      <c r="A850" s="168" t="s">
        <v>1491</v>
      </c>
      <c r="B850" s="455" t="s">
        <v>1549</v>
      </c>
      <c r="C850" s="455" t="s">
        <v>572</v>
      </c>
      <c r="E850" s="456">
        <v>39600</v>
      </c>
      <c r="F850" s="456">
        <v>35572</v>
      </c>
      <c r="G850" s="168">
        <v>0</v>
      </c>
      <c r="H850" s="168">
        <v>0</v>
      </c>
    </row>
    <row r="851" spans="1:8">
      <c r="A851" s="168" t="s">
        <v>1492</v>
      </c>
      <c r="B851" s="455" t="s">
        <v>1549</v>
      </c>
      <c r="C851" s="455" t="s">
        <v>515</v>
      </c>
      <c r="E851" s="456">
        <v>38703.760000000002</v>
      </c>
      <c r="F851" s="456">
        <v>17917</v>
      </c>
      <c r="G851" s="168">
        <v>0</v>
      </c>
      <c r="H851" s="168">
        <v>0</v>
      </c>
    </row>
    <row r="852" spans="1:8">
      <c r="A852" s="168" t="s">
        <v>1493</v>
      </c>
      <c r="B852" s="455" t="s">
        <v>1549</v>
      </c>
      <c r="C852" s="455" t="s">
        <v>660</v>
      </c>
      <c r="E852" s="456">
        <v>93786.13</v>
      </c>
      <c r="F852" s="456">
        <v>27283</v>
      </c>
      <c r="G852" s="168">
        <v>0</v>
      </c>
      <c r="H852" s="168">
        <v>0</v>
      </c>
    </row>
    <row r="853" spans="1:8">
      <c r="A853" s="168" t="s">
        <v>1494</v>
      </c>
      <c r="B853" s="455" t="s">
        <v>1549</v>
      </c>
      <c r="C853" s="455" t="s">
        <v>767</v>
      </c>
      <c r="E853" s="456">
        <v>4572</v>
      </c>
      <c r="F853" s="456">
        <v>45679</v>
      </c>
      <c r="G853" s="168">
        <v>0</v>
      </c>
      <c r="H853" s="168">
        <v>0</v>
      </c>
    </row>
    <row r="854" spans="1:8">
      <c r="A854" s="168" t="s">
        <v>1495</v>
      </c>
      <c r="B854" s="455" t="s">
        <v>1549</v>
      </c>
      <c r="C854" s="455" t="s">
        <v>84</v>
      </c>
      <c r="E854" s="456">
        <v>0</v>
      </c>
      <c r="F854" s="456">
        <v>211594</v>
      </c>
      <c r="G854" s="168">
        <v>0</v>
      </c>
      <c r="H854" s="168">
        <v>0</v>
      </c>
    </row>
    <row r="855" spans="1:8">
      <c r="A855" s="168" t="s">
        <v>1496</v>
      </c>
      <c r="B855" s="455" t="s">
        <v>1549</v>
      </c>
      <c r="C855" s="455" t="s">
        <v>575</v>
      </c>
      <c r="E855" s="456">
        <v>19057.52</v>
      </c>
      <c r="F855" s="456">
        <v>419833</v>
      </c>
      <c r="G855" s="168">
        <v>0</v>
      </c>
      <c r="H855" s="168">
        <v>0</v>
      </c>
    </row>
    <row r="856" spans="1:8">
      <c r="A856" s="168" t="s">
        <v>1497</v>
      </c>
      <c r="B856" s="455" t="s">
        <v>1549</v>
      </c>
      <c r="C856" s="455" t="s">
        <v>575</v>
      </c>
      <c r="E856" s="456">
        <v>370043.19</v>
      </c>
      <c r="F856" s="456">
        <v>787637</v>
      </c>
      <c r="G856" s="168">
        <v>0</v>
      </c>
      <c r="H856" s="168">
        <v>0</v>
      </c>
    </row>
    <row r="857" spans="1:8">
      <c r="A857" s="168" t="s">
        <v>1498</v>
      </c>
      <c r="B857" s="455" t="s">
        <v>1549</v>
      </c>
      <c r="C857" s="455" t="s">
        <v>575</v>
      </c>
      <c r="E857" s="456">
        <v>24313.279999999999</v>
      </c>
      <c r="F857" s="456">
        <v>39148</v>
      </c>
      <c r="G857" s="168">
        <v>0</v>
      </c>
      <c r="H857" s="168">
        <v>0</v>
      </c>
    </row>
    <row r="858" spans="1:8">
      <c r="A858" s="168" t="s">
        <v>1499</v>
      </c>
      <c r="B858" s="455" t="s">
        <v>1549</v>
      </c>
      <c r="C858" s="455" t="s">
        <v>575</v>
      </c>
      <c r="E858" s="456">
        <v>10150.16</v>
      </c>
      <c r="F858" s="456">
        <v>71603</v>
      </c>
      <c r="G858" s="168">
        <v>0</v>
      </c>
      <c r="H858" s="168">
        <v>0</v>
      </c>
    </row>
    <row r="859" spans="1:8">
      <c r="A859" s="168" t="s">
        <v>1500</v>
      </c>
      <c r="B859" s="455" t="s">
        <v>1549</v>
      </c>
      <c r="C859" s="455" t="s">
        <v>1807</v>
      </c>
      <c r="E859" s="456">
        <v>1488</v>
      </c>
      <c r="F859" s="456">
        <v>2625</v>
      </c>
      <c r="G859" s="168">
        <v>0</v>
      </c>
      <c r="H859" s="168">
        <v>0</v>
      </c>
    </row>
    <row r="860" spans="1:8">
      <c r="A860" s="168" t="s">
        <v>1501</v>
      </c>
      <c r="B860" s="455"/>
      <c r="C860" s="455" t="s">
        <v>592</v>
      </c>
      <c r="E860" s="456">
        <v>0</v>
      </c>
      <c r="F860" s="456">
        <v>2979463</v>
      </c>
      <c r="G860" s="168">
        <v>0</v>
      </c>
      <c r="H860" s="168">
        <v>0</v>
      </c>
    </row>
    <row r="861" spans="1:8">
      <c r="A861" s="168" t="s">
        <v>1502</v>
      </c>
      <c r="B861" s="455" t="s">
        <v>1552</v>
      </c>
      <c r="C861" s="455" t="s">
        <v>595</v>
      </c>
      <c r="E861" s="456">
        <v>403899.69</v>
      </c>
      <c r="F861" s="456">
        <v>576000</v>
      </c>
      <c r="G861" s="168">
        <v>0</v>
      </c>
      <c r="H861" s="168">
        <v>0</v>
      </c>
    </row>
    <row r="862" spans="1:8">
      <c r="A862" s="168" t="s">
        <v>1503</v>
      </c>
      <c r="B862" s="455" t="s">
        <v>1552</v>
      </c>
      <c r="C862" s="455" t="s">
        <v>338</v>
      </c>
      <c r="E862" s="456">
        <v>521837.96</v>
      </c>
      <c r="F862" s="456">
        <v>1022300</v>
      </c>
      <c r="G862" s="168">
        <v>0</v>
      </c>
      <c r="H862" s="168">
        <v>0</v>
      </c>
    </row>
    <row r="863" spans="1:8">
      <c r="A863" s="168" t="s">
        <v>1504</v>
      </c>
      <c r="B863" s="455" t="s">
        <v>1552</v>
      </c>
      <c r="C863" s="455" t="s">
        <v>545</v>
      </c>
      <c r="E863" s="456">
        <v>6121.41</v>
      </c>
      <c r="F863" s="456">
        <v>82400</v>
      </c>
      <c r="G863" s="168">
        <v>0</v>
      </c>
      <c r="H863" s="168">
        <v>0</v>
      </c>
    </row>
    <row r="864" spans="1:8">
      <c r="A864" s="168" t="s">
        <v>1505</v>
      </c>
      <c r="B864" s="455" t="s">
        <v>1552</v>
      </c>
      <c r="C864" s="455" t="s">
        <v>545</v>
      </c>
      <c r="E864" s="456">
        <v>135920.68</v>
      </c>
      <c r="F864" s="456">
        <v>151410</v>
      </c>
      <c r="G864" s="168">
        <v>0</v>
      </c>
      <c r="H864" s="168">
        <v>0</v>
      </c>
    </row>
    <row r="865" spans="1:8">
      <c r="A865" s="168" t="s">
        <v>1506</v>
      </c>
      <c r="B865" s="455" t="s">
        <v>1552</v>
      </c>
      <c r="C865" s="455" t="s">
        <v>1507</v>
      </c>
      <c r="E865" s="456">
        <v>23016.75</v>
      </c>
      <c r="F865" s="456">
        <v>97000</v>
      </c>
      <c r="G865" s="168">
        <v>0</v>
      </c>
      <c r="H865" s="168">
        <v>0</v>
      </c>
    </row>
    <row r="866" spans="1:8">
      <c r="A866" s="168" t="s">
        <v>1508</v>
      </c>
      <c r="B866" s="455" t="s">
        <v>2469</v>
      </c>
      <c r="C866" s="455" t="s">
        <v>2315</v>
      </c>
      <c r="E866" s="456">
        <v>228428.12</v>
      </c>
      <c r="F866" s="456">
        <v>364816</v>
      </c>
      <c r="G866" s="168">
        <v>0</v>
      </c>
      <c r="H866" s="168">
        <v>0</v>
      </c>
    </row>
    <row r="867" spans="1:8">
      <c r="A867" s="168" t="s">
        <v>1509</v>
      </c>
      <c r="B867" s="455" t="s">
        <v>2469</v>
      </c>
      <c r="C867" s="455" t="s">
        <v>2333</v>
      </c>
      <c r="E867" s="456">
        <v>0</v>
      </c>
      <c r="F867" s="456">
        <v>0</v>
      </c>
      <c r="G867" s="168">
        <v>0</v>
      </c>
      <c r="H867" s="168">
        <v>0</v>
      </c>
    </row>
    <row r="868" spans="1:8">
      <c r="A868" s="168" t="s">
        <v>1510</v>
      </c>
      <c r="B868" s="455" t="s">
        <v>2469</v>
      </c>
      <c r="C868" s="455" t="s">
        <v>2333</v>
      </c>
      <c r="E868" s="456">
        <v>256444.29</v>
      </c>
      <c r="F868" s="456">
        <v>221810</v>
      </c>
      <c r="G868" s="168">
        <v>0</v>
      </c>
      <c r="H868" s="168">
        <v>0</v>
      </c>
    </row>
    <row r="869" spans="1:8">
      <c r="A869" s="168" t="s">
        <v>1511</v>
      </c>
      <c r="B869" s="455" t="s">
        <v>2469</v>
      </c>
      <c r="C869" s="455" t="s">
        <v>600</v>
      </c>
      <c r="E869" s="456">
        <v>678239.47</v>
      </c>
      <c r="F869" s="456">
        <v>720000</v>
      </c>
      <c r="G869" s="168">
        <v>0</v>
      </c>
      <c r="H869" s="168">
        <v>0</v>
      </c>
    </row>
    <row r="870" spans="1:8">
      <c r="A870" s="168" t="s">
        <v>1512</v>
      </c>
      <c r="B870" s="455" t="s">
        <v>1553</v>
      </c>
      <c r="C870" s="455" t="s">
        <v>111</v>
      </c>
      <c r="E870" s="456">
        <v>421221.7</v>
      </c>
      <c r="F870" s="456">
        <v>250000</v>
      </c>
      <c r="G870" s="168">
        <v>0</v>
      </c>
      <c r="H870" s="168">
        <v>0</v>
      </c>
    </row>
    <row r="871" spans="1:8">
      <c r="A871" s="168" t="s">
        <v>1513</v>
      </c>
      <c r="B871" s="455" t="s">
        <v>1553</v>
      </c>
      <c r="C871" s="455" t="s">
        <v>2450</v>
      </c>
      <c r="E871" s="456">
        <v>152312.39000000001</v>
      </c>
      <c r="F871" s="456">
        <v>125000</v>
      </c>
      <c r="G871" s="168">
        <v>0</v>
      </c>
      <c r="H871" s="168">
        <v>0</v>
      </c>
    </row>
    <row r="872" spans="1:8">
      <c r="A872" s="168" t="s">
        <v>1514</v>
      </c>
      <c r="B872" s="455" t="s">
        <v>1553</v>
      </c>
      <c r="C872" s="455" t="s">
        <v>612</v>
      </c>
      <c r="E872" s="456">
        <v>0</v>
      </c>
      <c r="F872" s="456">
        <v>16850</v>
      </c>
      <c r="G872" s="168">
        <v>0</v>
      </c>
      <c r="H872" s="168">
        <v>0</v>
      </c>
    </row>
    <row r="873" spans="1:8">
      <c r="A873" s="168" t="s">
        <v>1515</v>
      </c>
      <c r="B873" s="455" t="s">
        <v>1553</v>
      </c>
      <c r="C873" s="455" t="s">
        <v>284</v>
      </c>
      <c r="E873" s="456">
        <v>471463.39</v>
      </c>
      <c r="F873" s="456">
        <v>0</v>
      </c>
      <c r="G873" s="168">
        <v>0</v>
      </c>
      <c r="H873" s="168">
        <v>0</v>
      </c>
    </row>
    <row r="874" spans="1:8">
      <c r="A874" s="168" t="s">
        <v>1516</v>
      </c>
      <c r="B874" s="455" t="s">
        <v>1553</v>
      </c>
      <c r="C874" s="455" t="s">
        <v>616</v>
      </c>
      <c r="E874" s="456">
        <v>102611.9</v>
      </c>
      <c r="F874" s="456">
        <v>103000</v>
      </c>
      <c r="G874" s="168">
        <v>0</v>
      </c>
      <c r="H874" s="168">
        <v>0</v>
      </c>
    </row>
    <row r="875" spans="1:8">
      <c r="A875" s="168" t="s">
        <v>1517</v>
      </c>
      <c r="B875" s="455" t="s">
        <v>1553</v>
      </c>
      <c r="C875" s="455" t="s">
        <v>622</v>
      </c>
      <c r="E875" s="456">
        <v>164677.06</v>
      </c>
      <c r="F875" s="456">
        <v>70297</v>
      </c>
      <c r="G875" s="168">
        <v>0</v>
      </c>
      <c r="H875" s="168">
        <v>0</v>
      </c>
    </row>
    <row r="876" spans="1:8">
      <c r="A876" s="168" t="s">
        <v>1518</v>
      </c>
      <c r="B876" s="455" t="s">
        <v>1553</v>
      </c>
      <c r="C876" s="455" t="s">
        <v>2322</v>
      </c>
      <c r="E876" s="456">
        <v>0</v>
      </c>
      <c r="F876" s="456">
        <v>37801</v>
      </c>
      <c r="G876" s="168">
        <v>0</v>
      </c>
      <c r="H876" s="168">
        <v>0</v>
      </c>
    </row>
    <row r="877" spans="1:8">
      <c r="A877" s="168" t="s">
        <v>1519</v>
      </c>
      <c r="B877" s="455" t="s">
        <v>1553</v>
      </c>
      <c r="C877" s="455" t="s">
        <v>1668</v>
      </c>
      <c r="E877" s="456">
        <v>2808.09</v>
      </c>
      <c r="F877" s="456">
        <v>57695</v>
      </c>
      <c r="G877" s="168">
        <v>0</v>
      </c>
      <c r="H877" s="168">
        <v>0</v>
      </c>
    </row>
    <row r="878" spans="1:8">
      <c r="A878" s="168" t="s">
        <v>1520</v>
      </c>
      <c r="B878" s="455" t="s">
        <v>1553</v>
      </c>
      <c r="C878" s="455" t="s">
        <v>624</v>
      </c>
      <c r="E878" s="456">
        <v>2855</v>
      </c>
      <c r="F878" s="456">
        <v>10300</v>
      </c>
      <c r="G878" s="168">
        <v>0</v>
      </c>
      <c r="H878" s="168">
        <v>0</v>
      </c>
    </row>
    <row r="879" spans="1:8">
      <c r="A879" s="168" t="s">
        <v>1521</v>
      </c>
      <c r="B879" s="455" t="s">
        <v>1553</v>
      </c>
      <c r="C879" s="455" t="s">
        <v>631</v>
      </c>
      <c r="E879" s="456">
        <v>88836.84</v>
      </c>
      <c r="F879" s="456">
        <v>62000</v>
      </c>
      <c r="G879" s="168">
        <v>0</v>
      </c>
      <c r="H879" s="168">
        <v>0</v>
      </c>
    </row>
    <row r="880" spans="1:8">
      <c r="A880" s="168" t="s">
        <v>1522</v>
      </c>
      <c r="B880" s="455" t="s">
        <v>1553</v>
      </c>
      <c r="C880" s="455" t="s">
        <v>633</v>
      </c>
      <c r="E880" s="456">
        <v>9211.39</v>
      </c>
      <c r="F880" s="456">
        <v>16223</v>
      </c>
      <c r="G880" s="168">
        <v>0</v>
      </c>
      <c r="H880" s="168">
        <v>0</v>
      </c>
    </row>
    <row r="881" spans="1:8">
      <c r="A881" s="168" t="s">
        <v>1523</v>
      </c>
      <c r="B881" s="455" t="s">
        <v>1553</v>
      </c>
      <c r="C881" s="455" t="s">
        <v>253</v>
      </c>
      <c r="E881" s="456">
        <v>55312.03</v>
      </c>
      <c r="F881" s="456">
        <v>16223</v>
      </c>
      <c r="G881" s="168">
        <v>0</v>
      </c>
      <c r="H881" s="168">
        <v>0</v>
      </c>
    </row>
    <row r="882" spans="1:8">
      <c r="A882" s="168" t="s">
        <v>1524</v>
      </c>
      <c r="B882" s="455" t="s">
        <v>1553</v>
      </c>
      <c r="C882" s="455" t="s">
        <v>1525</v>
      </c>
      <c r="E882" s="456">
        <v>0</v>
      </c>
      <c r="F882" s="456">
        <v>0</v>
      </c>
      <c r="G882" s="168">
        <v>0</v>
      </c>
      <c r="H882" s="168">
        <v>0</v>
      </c>
    </row>
    <row r="883" spans="1:8">
      <c r="A883" s="168" t="s">
        <v>1526</v>
      </c>
      <c r="B883" s="455" t="s">
        <v>1553</v>
      </c>
      <c r="C883" s="455" t="s">
        <v>50</v>
      </c>
      <c r="E883" s="456">
        <v>0</v>
      </c>
      <c r="F883" s="456">
        <v>19200</v>
      </c>
      <c r="G883" s="168">
        <v>0</v>
      </c>
      <c r="H883" s="168">
        <v>0</v>
      </c>
    </row>
    <row r="884" spans="1:8">
      <c r="A884" s="168" t="s">
        <v>1527</v>
      </c>
      <c r="B884" s="455" t="s">
        <v>1553</v>
      </c>
      <c r="C884" s="455" t="s">
        <v>52</v>
      </c>
      <c r="E884" s="456">
        <v>0</v>
      </c>
      <c r="F884" s="456">
        <v>9330</v>
      </c>
      <c r="G884" s="168">
        <v>0</v>
      </c>
      <c r="H884" s="168">
        <v>0</v>
      </c>
    </row>
    <row r="885" spans="1:8">
      <c r="A885" s="168" t="s">
        <v>1528</v>
      </c>
      <c r="B885" s="455" t="s">
        <v>1553</v>
      </c>
      <c r="C885" s="455" t="s">
        <v>52</v>
      </c>
      <c r="E885" s="456">
        <v>4678.1400000000003</v>
      </c>
      <c r="F885" s="456">
        <v>1581439</v>
      </c>
      <c r="G885" s="168">
        <v>0</v>
      </c>
      <c r="H885" s="168">
        <v>0</v>
      </c>
    </row>
    <row r="886" spans="1:8">
      <c r="A886" s="168" t="s">
        <v>1529</v>
      </c>
      <c r="B886" s="455" t="s">
        <v>1553</v>
      </c>
      <c r="C886" s="455" t="s">
        <v>261</v>
      </c>
      <c r="E886" s="456">
        <v>-300544.13</v>
      </c>
      <c r="F886" s="456">
        <v>463558</v>
      </c>
      <c r="G886" s="168">
        <v>0</v>
      </c>
      <c r="H886" s="168">
        <v>0</v>
      </c>
    </row>
    <row r="887" spans="1:8">
      <c r="A887" s="168" t="s">
        <v>1530</v>
      </c>
      <c r="B887" s="455" t="s">
        <v>1553</v>
      </c>
      <c r="C887" s="455" t="s">
        <v>565</v>
      </c>
      <c r="E887" s="456">
        <v>198876.14</v>
      </c>
      <c r="F887" s="456">
        <v>0</v>
      </c>
      <c r="G887" s="168">
        <v>0</v>
      </c>
      <c r="H887" s="168">
        <v>0</v>
      </c>
    </row>
    <row r="888" spans="1:8">
      <c r="A888" s="168" t="s">
        <v>1531</v>
      </c>
      <c r="B888" s="455" t="s">
        <v>1553</v>
      </c>
      <c r="C888" s="455" t="s">
        <v>565</v>
      </c>
      <c r="E888" s="456">
        <v>985502.46</v>
      </c>
      <c r="F888" s="456">
        <v>0</v>
      </c>
      <c r="G888" s="168">
        <v>0</v>
      </c>
      <c r="H888" s="168">
        <v>0</v>
      </c>
    </row>
    <row r="889" spans="1:8">
      <c r="A889" s="168" t="s">
        <v>1532</v>
      </c>
      <c r="B889" s="455" t="s">
        <v>1553</v>
      </c>
      <c r="C889" s="455" t="s">
        <v>854</v>
      </c>
      <c r="E889" s="456">
        <v>4659.17</v>
      </c>
      <c r="F889" s="456">
        <v>154500</v>
      </c>
      <c r="G889" s="168">
        <v>0</v>
      </c>
      <c r="H889" s="168">
        <v>0</v>
      </c>
    </row>
    <row r="890" spans="1:8">
      <c r="A890" s="168" t="s">
        <v>1533</v>
      </c>
      <c r="B890" s="455" t="s">
        <v>1553</v>
      </c>
      <c r="C890" s="455" t="s">
        <v>263</v>
      </c>
      <c r="E890" s="456">
        <v>-2302981.2000000002</v>
      </c>
      <c r="F890" s="456">
        <v>500386</v>
      </c>
      <c r="G890" s="168">
        <v>0</v>
      </c>
      <c r="H890" s="168">
        <v>0</v>
      </c>
    </row>
    <row r="891" spans="1:8">
      <c r="A891" s="168" t="s">
        <v>1534</v>
      </c>
      <c r="B891" s="455" t="s">
        <v>1553</v>
      </c>
      <c r="C891" s="455" t="s">
        <v>1535</v>
      </c>
      <c r="E891" s="456">
        <v>1234738.18</v>
      </c>
      <c r="F891" s="456">
        <v>1225000</v>
      </c>
      <c r="G891" s="168">
        <v>0</v>
      </c>
      <c r="H891" s="168">
        <v>0</v>
      </c>
    </row>
    <row r="892" spans="1:8">
      <c r="A892" s="168" t="s">
        <v>2337</v>
      </c>
      <c r="B892" s="455" t="s">
        <v>1553</v>
      </c>
      <c r="C892" s="455" t="s">
        <v>2338</v>
      </c>
      <c r="E892" s="456">
        <v>569167.57999999996</v>
      </c>
      <c r="F892" s="456">
        <v>72000</v>
      </c>
      <c r="G892" s="168">
        <v>0</v>
      </c>
      <c r="H892" s="168">
        <v>0</v>
      </c>
    </row>
    <row r="893" spans="1:8">
      <c r="A893" s="168" t="s">
        <v>2339</v>
      </c>
      <c r="B893" s="455"/>
      <c r="C893" s="455" t="s">
        <v>575</v>
      </c>
      <c r="E893" s="456">
        <v>100283.87</v>
      </c>
      <c r="F893" s="456">
        <v>473034</v>
      </c>
      <c r="G893" s="168">
        <v>0</v>
      </c>
      <c r="H893" s="168">
        <v>0</v>
      </c>
    </row>
    <row r="894" spans="1:8">
      <c r="A894" s="168" t="s">
        <v>2340</v>
      </c>
      <c r="B894" s="455"/>
      <c r="C894" s="455" t="s">
        <v>1117</v>
      </c>
      <c r="E894" s="456">
        <v>0</v>
      </c>
      <c r="F894" s="456">
        <v>742000</v>
      </c>
      <c r="G894" s="168">
        <v>0</v>
      </c>
      <c r="H894" s="168">
        <v>0</v>
      </c>
    </row>
    <row r="895" spans="1:8">
      <c r="A895" s="168" t="s">
        <v>2341</v>
      </c>
      <c r="B895" s="455"/>
      <c r="C895" s="455" t="s">
        <v>1117</v>
      </c>
      <c r="E895" s="456">
        <v>0</v>
      </c>
      <c r="F895" s="456">
        <v>360000</v>
      </c>
      <c r="G895" s="168">
        <v>0</v>
      </c>
      <c r="H895" s="168">
        <v>0</v>
      </c>
    </row>
    <row r="896" spans="1:8">
      <c r="A896" s="168" t="s">
        <v>2342</v>
      </c>
      <c r="B896" s="455"/>
      <c r="C896" s="455" t="s">
        <v>1117</v>
      </c>
      <c r="E896" s="456">
        <v>0</v>
      </c>
      <c r="F896" s="456">
        <v>-360000</v>
      </c>
      <c r="G896" s="168">
        <v>0</v>
      </c>
      <c r="H896" s="168">
        <v>0</v>
      </c>
    </row>
    <row r="897" spans="1:8" ht="15.75" thickBot="1">
      <c r="A897" s="168" t="s">
        <v>2343</v>
      </c>
      <c r="B897" s="455"/>
      <c r="C897" s="455" t="s">
        <v>1117</v>
      </c>
      <c r="E897" s="456">
        <v>0</v>
      </c>
      <c r="F897" s="456">
        <v>-742000</v>
      </c>
      <c r="G897" s="168">
        <v>0</v>
      </c>
      <c r="H897" s="168">
        <v>0</v>
      </c>
    </row>
    <row r="898" spans="1:8" ht="16.5" thickTop="1" thickBot="1">
      <c r="A898" s="554" t="s">
        <v>2668</v>
      </c>
      <c r="B898" s="555"/>
      <c r="C898" s="555"/>
      <c r="D898" s="556"/>
      <c r="E898" s="558">
        <f>SUM(E846:E897)</f>
        <v>9771318.3899999987</v>
      </c>
      <c r="F898" s="558">
        <f>SUM(F846:F897)</f>
        <v>18357642</v>
      </c>
      <c r="G898" s="558">
        <f>SUM(G846:G897)</f>
        <v>0</v>
      </c>
      <c r="H898" s="558">
        <f>SUM(H846:H897)</f>
        <v>0</v>
      </c>
    </row>
    <row r="899" spans="1:8" ht="15.75" thickTop="1">
      <c r="B899" s="455"/>
    </row>
    <row r="900" spans="1:8" ht="18.75">
      <c r="A900" s="564" t="s">
        <v>34</v>
      </c>
      <c r="B900" s="455"/>
    </row>
    <row r="901" spans="1:8">
      <c r="A901" s="168" t="s">
        <v>2345</v>
      </c>
      <c r="B901" s="455" t="s">
        <v>2346</v>
      </c>
      <c r="E901" s="456">
        <v>0</v>
      </c>
      <c r="F901" s="456">
        <v>0</v>
      </c>
    </row>
    <row r="902" spans="1:8">
      <c r="A902" s="168" t="s">
        <v>2347</v>
      </c>
      <c r="B902" s="455" t="s">
        <v>2346</v>
      </c>
      <c r="E902" s="456">
        <v>0</v>
      </c>
      <c r="F902" s="456">
        <v>0</v>
      </c>
    </row>
    <row r="903" spans="1:8">
      <c r="A903" s="168" t="s">
        <v>2348</v>
      </c>
      <c r="B903" s="455" t="s">
        <v>2350</v>
      </c>
      <c r="E903" s="456">
        <v>0</v>
      </c>
      <c r="F903" s="456">
        <v>0</v>
      </c>
    </row>
    <row r="904" spans="1:8">
      <c r="A904" s="168" t="s">
        <v>2351</v>
      </c>
      <c r="B904" s="455" t="s">
        <v>2344</v>
      </c>
      <c r="E904" s="456">
        <v>0</v>
      </c>
      <c r="F904" s="456">
        <v>0</v>
      </c>
    </row>
    <row r="905" spans="1:8">
      <c r="A905" s="168" t="s">
        <v>2352</v>
      </c>
      <c r="B905" s="455" t="s">
        <v>2353</v>
      </c>
      <c r="E905" s="456">
        <v>0</v>
      </c>
      <c r="F905" s="456">
        <v>0</v>
      </c>
    </row>
    <row r="906" spans="1:8">
      <c r="A906" s="168" t="s">
        <v>2354</v>
      </c>
      <c r="B906" s="455" t="s">
        <v>1709</v>
      </c>
      <c r="E906" s="456">
        <v>0</v>
      </c>
      <c r="F906" s="456">
        <v>0</v>
      </c>
    </row>
    <row r="907" spans="1:8">
      <c r="A907" s="168" t="s">
        <v>2355</v>
      </c>
      <c r="B907" s="455" t="s">
        <v>864</v>
      </c>
      <c r="E907" s="456">
        <v>152212</v>
      </c>
      <c r="F907" s="456">
        <v>0</v>
      </c>
    </row>
    <row r="908" spans="1:8">
      <c r="A908" s="168" t="s">
        <v>2356</v>
      </c>
      <c r="B908" s="455" t="s">
        <v>2357</v>
      </c>
      <c r="E908" s="456">
        <v>0</v>
      </c>
      <c r="F908" s="456">
        <v>0</v>
      </c>
    </row>
    <row r="909" spans="1:8">
      <c r="A909" s="168" t="s">
        <v>2358</v>
      </c>
      <c r="B909" s="455" t="s">
        <v>603</v>
      </c>
      <c r="E909" s="456">
        <v>0</v>
      </c>
      <c r="F909" s="456">
        <v>0</v>
      </c>
    </row>
    <row r="910" spans="1:8">
      <c r="A910" s="168" t="s">
        <v>2359</v>
      </c>
      <c r="B910" s="455" t="s">
        <v>2360</v>
      </c>
      <c r="E910" s="456">
        <v>-201980.16</v>
      </c>
      <c r="F910" s="456">
        <v>0</v>
      </c>
    </row>
    <row r="911" spans="1:8">
      <c r="A911" s="168" t="s">
        <v>2361</v>
      </c>
      <c r="B911" s="455" t="s">
        <v>2362</v>
      </c>
      <c r="E911" s="456">
        <v>0</v>
      </c>
      <c r="F911" s="456">
        <v>0</v>
      </c>
    </row>
    <row r="912" spans="1:8">
      <c r="A912" s="168" t="s">
        <v>2363</v>
      </c>
      <c r="B912" s="455" t="s">
        <v>2344</v>
      </c>
      <c r="E912" s="456">
        <v>0</v>
      </c>
      <c r="F912" s="456">
        <v>0</v>
      </c>
    </row>
    <row r="913" spans="1:6">
      <c r="A913" s="168" t="s">
        <v>2364</v>
      </c>
      <c r="B913" s="455" t="s">
        <v>2365</v>
      </c>
      <c r="E913" s="456">
        <v>0</v>
      </c>
      <c r="F913" s="456">
        <v>0</v>
      </c>
    </row>
    <row r="914" spans="1:6">
      <c r="A914" s="168" t="s">
        <v>2366</v>
      </c>
      <c r="B914" s="455" t="s">
        <v>569</v>
      </c>
      <c r="C914" s="455" t="s">
        <v>2367</v>
      </c>
      <c r="E914" s="456">
        <v>6074211.4800000004</v>
      </c>
      <c r="F914" s="456">
        <v>0</v>
      </c>
    </row>
    <row r="915" spans="1:6">
      <c r="A915" s="168" t="s">
        <v>2368</v>
      </c>
      <c r="B915" s="455" t="s">
        <v>2562</v>
      </c>
      <c r="E915" s="456">
        <v>-603.88</v>
      </c>
      <c r="F915" s="456">
        <v>0</v>
      </c>
    </row>
    <row r="916" spans="1:6">
      <c r="A916" s="168" t="s">
        <v>2369</v>
      </c>
      <c r="B916" s="455" t="s">
        <v>2370</v>
      </c>
      <c r="E916" s="456">
        <v>0</v>
      </c>
      <c r="F916" s="456">
        <v>0</v>
      </c>
    </row>
    <row r="917" spans="1:6">
      <c r="A917" s="168" t="s">
        <v>2371</v>
      </c>
      <c r="B917" s="455" t="s">
        <v>2370</v>
      </c>
      <c r="E917" s="456">
        <v>0</v>
      </c>
      <c r="F917" s="456">
        <v>0</v>
      </c>
    </row>
    <row r="918" spans="1:6">
      <c r="A918" s="168" t="s">
        <v>2077</v>
      </c>
      <c r="B918" s="455" t="s">
        <v>2370</v>
      </c>
      <c r="E918" s="456">
        <v>131578.95000000001</v>
      </c>
      <c r="F918" s="456">
        <v>0</v>
      </c>
    </row>
    <row r="919" spans="1:6">
      <c r="A919" s="168" t="s">
        <v>2078</v>
      </c>
      <c r="B919" s="455" t="s">
        <v>2370</v>
      </c>
      <c r="E919" s="456">
        <v>0</v>
      </c>
      <c r="F919" s="456">
        <v>0</v>
      </c>
    </row>
    <row r="920" spans="1:6">
      <c r="A920" s="168" t="s">
        <v>2079</v>
      </c>
      <c r="B920" s="455" t="s">
        <v>2370</v>
      </c>
      <c r="E920" s="456">
        <v>0</v>
      </c>
      <c r="F920" s="456">
        <v>0</v>
      </c>
    </row>
    <row r="921" spans="1:6">
      <c r="A921" s="168" t="s">
        <v>2080</v>
      </c>
      <c r="B921" s="455" t="s">
        <v>2370</v>
      </c>
      <c r="E921" s="456">
        <v>0</v>
      </c>
      <c r="F921" s="456">
        <v>0</v>
      </c>
    </row>
    <row r="922" spans="1:6">
      <c r="A922" s="168" t="s">
        <v>2081</v>
      </c>
      <c r="B922" s="455" t="s">
        <v>2370</v>
      </c>
      <c r="E922" s="456">
        <v>0</v>
      </c>
      <c r="F922" s="456">
        <v>0</v>
      </c>
    </row>
    <row r="923" spans="1:6">
      <c r="A923" s="168" t="s">
        <v>2082</v>
      </c>
      <c r="B923" s="455" t="s">
        <v>2370</v>
      </c>
      <c r="E923" s="456">
        <v>27555.78</v>
      </c>
      <c r="F923" s="456">
        <v>0</v>
      </c>
    </row>
    <row r="924" spans="1:6">
      <c r="A924" s="168" t="s">
        <v>2083</v>
      </c>
      <c r="B924" s="455" t="s">
        <v>2370</v>
      </c>
      <c r="E924" s="456">
        <v>0</v>
      </c>
      <c r="F924" s="456">
        <v>0</v>
      </c>
    </row>
    <row r="925" spans="1:6">
      <c r="A925" s="168" t="s">
        <v>2084</v>
      </c>
      <c r="B925" s="455" t="s">
        <v>2085</v>
      </c>
      <c r="E925" s="456">
        <v>0</v>
      </c>
      <c r="F925" s="456">
        <v>0</v>
      </c>
    </row>
    <row r="926" spans="1:6">
      <c r="A926" s="168" t="s">
        <v>2086</v>
      </c>
      <c r="B926" s="455" t="s">
        <v>2370</v>
      </c>
      <c r="E926" s="456">
        <v>21731.25</v>
      </c>
      <c r="F926" s="456">
        <v>0</v>
      </c>
    </row>
    <row r="927" spans="1:6">
      <c r="A927" s="168" t="s">
        <v>2087</v>
      </c>
      <c r="B927" s="455" t="s">
        <v>2370</v>
      </c>
      <c r="E927" s="456">
        <v>271731.25</v>
      </c>
      <c r="F927" s="456">
        <v>0</v>
      </c>
    </row>
    <row r="928" spans="1:6">
      <c r="A928" s="168" t="s">
        <v>2088</v>
      </c>
      <c r="B928" s="455" t="s">
        <v>2370</v>
      </c>
      <c r="E928" s="456">
        <v>271731.25</v>
      </c>
      <c r="F928" s="456">
        <v>0</v>
      </c>
    </row>
    <row r="929" spans="1:6">
      <c r="A929" s="168" t="s">
        <v>2089</v>
      </c>
      <c r="B929" s="455" t="s">
        <v>2370</v>
      </c>
      <c r="E929" s="456">
        <v>0</v>
      </c>
      <c r="F929" s="456">
        <v>0</v>
      </c>
    </row>
    <row r="930" spans="1:6">
      <c r="A930" s="168" t="s">
        <v>2090</v>
      </c>
      <c r="B930" s="455" t="s">
        <v>2370</v>
      </c>
      <c r="E930" s="456">
        <v>0</v>
      </c>
      <c r="F930" s="456">
        <v>0</v>
      </c>
    </row>
    <row r="931" spans="1:6">
      <c r="A931" s="168" t="s">
        <v>2091</v>
      </c>
      <c r="B931" s="455" t="s">
        <v>2370</v>
      </c>
      <c r="E931" s="456">
        <v>103510.86</v>
      </c>
      <c r="F931" s="456">
        <v>0</v>
      </c>
    </row>
    <row r="932" spans="1:6">
      <c r="A932" s="168" t="s">
        <v>2092</v>
      </c>
      <c r="B932" s="455" t="s">
        <v>2370</v>
      </c>
      <c r="E932" s="456">
        <v>66715.08</v>
      </c>
      <c r="F932" s="456">
        <v>0</v>
      </c>
    </row>
    <row r="933" spans="1:6">
      <c r="A933" s="168" t="s">
        <v>2093</v>
      </c>
      <c r="B933" s="455" t="s">
        <v>2370</v>
      </c>
      <c r="E933" s="456">
        <v>21731.25</v>
      </c>
      <c r="F933" s="456">
        <v>0</v>
      </c>
    </row>
    <row r="934" spans="1:6">
      <c r="A934" s="168" t="s">
        <v>2094</v>
      </c>
      <c r="B934" s="455" t="s">
        <v>2095</v>
      </c>
      <c r="E934" s="456">
        <v>0</v>
      </c>
      <c r="F934" s="456">
        <v>0</v>
      </c>
    </row>
    <row r="935" spans="1:6">
      <c r="A935" s="168" t="s">
        <v>2096</v>
      </c>
      <c r="B935" s="455" t="s">
        <v>2370</v>
      </c>
      <c r="E935" s="456">
        <v>0</v>
      </c>
      <c r="F935" s="456">
        <v>0</v>
      </c>
    </row>
    <row r="936" spans="1:6">
      <c r="A936" s="168" t="s">
        <v>2097</v>
      </c>
      <c r="B936" s="455" t="s">
        <v>2370</v>
      </c>
      <c r="E936" s="456">
        <v>-43859.65</v>
      </c>
      <c r="F936" s="456">
        <v>0</v>
      </c>
    </row>
    <row r="937" spans="1:6">
      <c r="A937" s="168" t="s">
        <v>2098</v>
      </c>
      <c r="B937" s="455" t="s">
        <v>2370</v>
      </c>
      <c r="E937" s="456">
        <v>0</v>
      </c>
      <c r="F937" s="456">
        <v>0</v>
      </c>
    </row>
    <row r="938" spans="1:6">
      <c r="A938" s="168" t="s">
        <v>2099</v>
      </c>
      <c r="B938" s="455" t="s">
        <v>2370</v>
      </c>
      <c r="E938" s="456">
        <v>0</v>
      </c>
      <c r="F938" s="456">
        <v>0</v>
      </c>
    </row>
    <row r="939" spans="1:6">
      <c r="A939" s="168" t="s">
        <v>2100</v>
      </c>
      <c r="B939" s="455" t="s">
        <v>2370</v>
      </c>
      <c r="E939" s="456">
        <v>-222081.58</v>
      </c>
      <c r="F939" s="456">
        <v>0</v>
      </c>
    </row>
    <row r="940" spans="1:6">
      <c r="A940" s="168" t="s">
        <v>2101</v>
      </c>
      <c r="B940" s="455" t="s">
        <v>2370</v>
      </c>
      <c r="E940" s="456">
        <v>-1403.5</v>
      </c>
      <c r="F940" s="456">
        <v>0</v>
      </c>
    </row>
    <row r="941" spans="1:6">
      <c r="A941" s="168" t="s">
        <v>2102</v>
      </c>
      <c r="B941" s="455" t="s">
        <v>2370</v>
      </c>
      <c r="E941" s="456">
        <v>0</v>
      </c>
      <c r="F941" s="456">
        <v>0</v>
      </c>
    </row>
    <row r="942" spans="1:6">
      <c r="A942" s="168" t="s">
        <v>2103</v>
      </c>
      <c r="B942" s="455" t="s">
        <v>2370</v>
      </c>
      <c r="E942" s="456">
        <v>-11200</v>
      </c>
      <c r="F942" s="456">
        <v>0</v>
      </c>
    </row>
    <row r="943" spans="1:6">
      <c r="A943" s="168" t="s">
        <v>2104</v>
      </c>
      <c r="B943" s="455" t="s">
        <v>2370</v>
      </c>
      <c r="E943" s="456">
        <v>104627</v>
      </c>
      <c r="F943" s="456">
        <v>0</v>
      </c>
    </row>
    <row r="944" spans="1:6">
      <c r="A944" s="168" t="s">
        <v>2105</v>
      </c>
      <c r="B944" s="455" t="s">
        <v>2106</v>
      </c>
      <c r="E944" s="456">
        <v>0</v>
      </c>
      <c r="F944" s="456">
        <v>0</v>
      </c>
    </row>
    <row r="945" spans="1:6">
      <c r="A945" s="168" t="s">
        <v>527</v>
      </c>
      <c r="B945" s="455" t="s">
        <v>746</v>
      </c>
      <c r="C945" s="455" t="s">
        <v>528</v>
      </c>
      <c r="E945" s="456">
        <v>0</v>
      </c>
      <c r="F945" s="456">
        <v>0</v>
      </c>
    </row>
    <row r="946" spans="1:6">
      <c r="A946" s="168" t="s">
        <v>529</v>
      </c>
      <c r="B946" s="455" t="s">
        <v>746</v>
      </c>
      <c r="C946" s="455" t="s">
        <v>530</v>
      </c>
      <c r="E946" s="456">
        <v>0</v>
      </c>
      <c r="F946" s="456">
        <v>0</v>
      </c>
    </row>
    <row r="947" spans="1:6">
      <c r="A947" s="168" t="s">
        <v>531</v>
      </c>
      <c r="B947" s="455" t="s">
        <v>746</v>
      </c>
      <c r="E947" s="456">
        <v>0</v>
      </c>
      <c r="F947" s="456">
        <v>0</v>
      </c>
    </row>
    <row r="948" spans="1:6">
      <c r="A948" s="168" t="s">
        <v>532</v>
      </c>
      <c r="B948" s="455" t="s">
        <v>746</v>
      </c>
      <c r="C948" s="455" t="s">
        <v>533</v>
      </c>
      <c r="E948" s="456">
        <v>0</v>
      </c>
      <c r="F948" s="456">
        <v>0</v>
      </c>
    </row>
    <row r="949" spans="1:6">
      <c r="A949" s="168" t="s">
        <v>534</v>
      </c>
      <c r="B949" s="455" t="s">
        <v>746</v>
      </c>
      <c r="C949" s="455" t="s">
        <v>535</v>
      </c>
      <c r="E949" s="456">
        <v>0</v>
      </c>
      <c r="F949" s="456">
        <v>0</v>
      </c>
    </row>
    <row r="950" spans="1:6">
      <c r="A950" s="168" t="s">
        <v>536</v>
      </c>
      <c r="B950" s="455" t="s">
        <v>746</v>
      </c>
      <c r="E950" s="456">
        <v>0</v>
      </c>
      <c r="F950" s="456">
        <v>0</v>
      </c>
    </row>
    <row r="951" spans="1:6">
      <c r="A951" s="168" t="s">
        <v>537</v>
      </c>
      <c r="B951" s="455"/>
      <c r="E951" s="456">
        <v>0</v>
      </c>
      <c r="F951" s="456">
        <v>0</v>
      </c>
    </row>
    <row r="952" spans="1:6">
      <c r="A952" s="168" t="s">
        <v>538</v>
      </c>
      <c r="B952" s="455" t="s">
        <v>539</v>
      </c>
      <c r="C952" s="455" t="s">
        <v>540</v>
      </c>
      <c r="E952" s="456">
        <v>0</v>
      </c>
      <c r="F952" s="456">
        <v>0</v>
      </c>
    </row>
    <row r="953" spans="1:6">
      <c r="A953" s="168" t="s">
        <v>541</v>
      </c>
      <c r="B953" s="455" t="s">
        <v>746</v>
      </c>
      <c r="C953" s="455" t="s">
        <v>542</v>
      </c>
      <c r="E953" s="456">
        <v>0</v>
      </c>
      <c r="F953" s="456">
        <v>0</v>
      </c>
    </row>
    <row r="954" spans="1:6">
      <c r="A954" s="168" t="s">
        <v>543</v>
      </c>
      <c r="B954" s="455" t="s">
        <v>746</v>
      </c>
      <c r="E954" s="456">
        <v>0</v>
      </c>
      <c r="F954" s="456">
        <v>0</v>
      </c>
    </row>
    <row r="955" spans="1:6">
      <c r="A955" s="168" t="s">
        <v>544</v>
      </c>
      <c r="B955" s="455" t="s">
        <v>746</v>
      </c>
      <c r="E955" s="456">
        <v>0</v>
      </c>
      <c r="F955" s="456">
        <v>0</v>
      </c>
    </row>
    <row r="956" spans="1:6">
      <c r="A956" s="168" t="s">
        <v>1822</v>
      </c>
      <c r="B956" s="455" t="s">
        <v>746</v>
      </c>
      <c r="C956" s="455" t="s">
        <v>1711</v>
      </c>
      <c r="E956" s="456">
        <v>0</v>
      </c>
      <c r="F956" s="456">
        <v>0</v>
      </c>
    </row>
    <row r="957" spans="1:6">
      <c r="A957" s="168" t="s">
        <v>1823</v>
      </c>
      <c r="B957" s="455" t="s">
        <v>746</v>
      </c>
      <c r="C957" s="455" t="s">
        <v>1824</v>
      </c>
      <c r="E957" s="456">
        <v>0</v>
      </c>
      <c r="F957" s="456">
        <v>0</v>
      </c>
    </row>
    <row r="958" spans="1:6">
      <c r="A958" s="168" t="s">
        <v>1825</v>
      </c>
      <c r="B958" s="455" t="s">
        <v>746</v>
      </c>
      <c r="C958" s="455">
        <v>-2</v>
      </c>
      <c r="E958" s="456">
        <v>0</v>
      </c>
      <c r="F958" s="456">
        <v>0</v>
      </c>
    </row>
    <row r="959" spans="1:6">
      <c r="A959" s="168" t="s">
        <v>1826</v>
      </c>
      <c r="B959" s="455" t="s">
        <v>746</v>
      </c>
      <c r="C959" s="455">
        <v>1</v>
      </c>
      <c r="E959" s="456">
        <v>0</v>
      </c>
      <c r="F959" s="456">
        <v>0</v>
      </c>
    </row>
    <row r="960" spans="1:6">
      <c r="A960" s="168" t="s">
        <v>1827</v>
      </c>
      <c r="B960" s="455" t="s">
        <v>1828</v>
      </c>
      <c r="C960" s="455" t="s">
        <v>1829</v>
      </c>
      <c r="E960" s="456">
        <v>0</v>
      </c>
      <c r="F960" s="456">
        <v>0</v>
      </c>
    </row>
    <row r="961" spans="1:6">
      <c r="A961" s="168" t="s">
        <v>1830</v>
      </c>
      <c r="B961" s="455" t="s">
        <v>746</v>
      </c>
      <c r="E961" s="456">
        <v>0</v>
      </c>
      <c r="F961" s="456">
        <v>0</v>
      </c>
    </row>
    <row r="962" spans="1:6">
      <c r="A962" s="168" t="s">
        <v>1831</v>
      </c>
      <c r="B962" s="455" t="s">
        <v>1832</v>
      </c>
      <c r="E962" s="456">
        <v>0</v>
      </c>
      <c r="F962" s="456">
        <v>0</v>
      </c>
    </row>
    <row r="963" spans="1:6">
      <c r="A963" s="168" t="s">
        <v>1833</v>
      </c>
      <c r="B963" s="455" t="s">
        <v>2437</v>
      </c>
      <c r="E963" s="456">
        <v>-233610.57</v>
      </c>
      <c r="F963" s="456">
        <v>0</v>
      </c>
    </row>
    <row r="964" spans="1:6">
      <c r="A964" s="168" t="s">
        <v>1834</v>
      </c>
      <c r="B964" s="455" t="s">
        <v>569</v>
      </c>
      <c r="E964" s="456">
        <v>928.23</v>
      </c>
      <c r="F964" s="456">
        <v>0</v>
      </c>
    </row>
    <row r="965" spans="1:6">
      <c r="A965" s="168" t="s">
        <v>1835</v>
      </c>
      <c r="B965" s="455" t="s">
        <v>566</v>
      </c>
      <c r="E965" s="456">
        <v>0</v>
      </c>
      <c r="F965" s="456">
        <v>0</v>
      </c>
    </row>
    <row r="966" spans="1:6">
      <c r="A966" s="168" t="s">
        <v>1836</v>
      </c>
      <c r="B966" s="455" t="s">
        <v>2327</v>
      </c>
      <c r="E966" s="456">
        <v>0</v>
      </c>
      <c r="F966" s="456">
        <v>0</v>
      </c>
    </row>
    <row r="967" spans="1:6">
      <c r="A967" s="168" t="s">
        <v>1837</v>
      </c>
      <c r="B967" s="455" t="s">
        <v>2149</v>
      </c>
      <c r="E967" s="456">
        <v>318925.52</v>
      </c>
      <c r="F967" s="456">
        <v>0</v>
      </c>
    </row>
    <row r="968" spans="1:6">
      <c r="A968" s="168" t="s">
        <v>2150</v>
      </c>
      <c r="B968" s="455" t="s">
        <v>2327</v>
      </c>
      <c r="E968" s="456">
        <v>0</v>
      </c>
      <c r="F968" s="456">
        <v>0</v>
      </c>
    </row>
    <row r="969" spans="1:6">
      <c r="A969" s="168" t="s">
        <v>2151</v>
      </c>
      <c r="B969" s="455" t="s">
        <v>746</v>
      </c>
      <c r="E969" s="456">
        <v>1118340.7</v>
      </c>
      <c r="F969" s="456">
        <v>0</v>
      </c>
    </row>
    <row r="970" spans="1:6">
      <c r="A970" s="168" t="s">
        <v>2152</v>
      </c>
      <c r="B970" s="455" t="s">
        <v>2153</v>
      </c>
      <c r="E970" s="456">
        <v>-327970.32</v>
      </c>
      <c r="F970" s="456">
        <v>0</v>
      </c>
    </row>
    <row r="971" spans="1:6">
      <c r="A971" s="168" t="s">
        <v>2154</v>
      </c>
      <c r="B971" s="455" t="s">
        <v>2155</v>
      </c>
      <c r="E971" s="456">
        <v>0</v>
      </c>
      <c r="F971" s="456">
        <v>0</v>
      </c>
    </row>
    <row r="972" spans="1:6">
      <c r="A972" s="168" t="s">
        <v>2156</v>
      </c>
      <c r="B972" s="455" t="s">
        <v>2157</v>
      </c>
      <c r="E972" s="456">
        <v>-19459.080000000002</v>
      </c>
      <c r="F972" s="456">
        <v>0</v>
      </c>
    </row>
    <row r="973" spans="1:6">
      <c r="A973" s="168" t="s">
        <v>2158</v>
      </c>
      <c r="B973" s="455" t="s">
        <v>2159</v>
      </c>
      <c r="E973" s="456">
        <v>0</v>
      </c>
      <c r="F973" s="456">
        <v>0</v>
      </c>
    </row>
    <row r="974" spans="1:6">
      <c r="A974" s="168" t="s">
        <v>2160</v>
      </c>
      <c r="B974" s="455" t="s">
        <v>2161</v>
      </c>
      <c r="E974" s="456">
        <v>0</v>
      </c>
      <c r="F974" s="456">
        <v>0</v>
      </c>
    </row>
    <row r="975" spans="1:6">
      <c r="A975" s="168" t="s">
        <v>2162</v>
      </c>
      <c r="B975" s="455" t="s">
        <v>746</v>
      </c>
      <c r="C975" s="455" t="s">
        <v>2163</v>
      </c>
      <c r="E975" s="456">
        <v>0</v>
      </c>
      <c r="F975" s="456">
        <v>0</v>
      </c>
    </row>
    <row r="976" spans="1:6">
      <c r="A976" s="168" t="s">
        <v>2164</v>
      </c>
      <c r="B976" s="455" t="s">
        <v>2165</v>
      </c>
      <c r="E976" s="456">
        <v>1258.99</v>
      </c>
      <c r="F976" s="456">
        <v>0</v>
      </c>
    </row>
    <row r="977" spans="1:6">
      <c r="A977" s="168" t="s">
        <v>2166</v>
      </c>
      <c r="B977" s="455" t="s">
        <v>2167</v>
      </c>
      <c r="E977" s="456">
        <v>0</v>
      </c>
      <c r="F977" s="456">
        <v>0</v>
      </c>
    </row>
    <row r="978" spans="1:6">
      <c r="A978" s="168" t="s">
        <v>2168</v>
      </c>
      <c r="B978" s="455" t="s">
        <v>2169</v>
      </c>
      <c r="E978" s="456">
        <v>3240000</v>
      </c>
      <c r="F978" s="456">
        <v>0</v>
      </c>
    </row>
    <row r="979" spans="1:6">
      <c r="A979" s="168" t="s">
        <v>2170</v>
      </c>
      <c r="B979" s="455"/>
      <c r="E979" s="456">
        <v>-0.08</v>
      </c>
      <c r="F979" s="456">
        <v>0</v>
      </c>
    </row>
    <row r="980" spans="1:6">
      <c r="A980" s="168" t="s">
        <v>2171</v>
      </c>
      <c r="B980" s="455" t="s">
        <v>2172</v>
      </c>
      <c r="E980" s="456">
        <v>0</v>
      </c>
      <c r="F980" s="456">
        <v>0</v>
      </c>
    </row>
    <row r="981" spans="1:6">
      <c r="A981" s="168" t="s">
        <v>2173</v>
      </c>
      <c r="B981" s="455" t="s">
        <v>2174</v>
      </c>
      <c r="E981" s="456">
        <v>0</v>
      </c>
      <c r="F981" s="456">
        <v>0</v>
      </c>
    </row>
    <row r="982" spans="1:6">
      <c r="A982" s="168" t="s">
        <v>2175</v>
      </c>
      <c r="B982" s="455" t="s">
        <v>2176</v>
      </c>
      <c r="E982" s="456">
        <v>0</v>
      </c>
      <c r="F982" s="456">
        <v>0</v>
      </c>
    </row>
    <row r="983" spans="1:6">
      <c r="A983" s="168" t="s">
        <v>2177</v>
      </c>
      <c r="B983" s="455" t="s">
        <v>2178</v>
      </c>
      <c r="E983" s="456">
        <v>0</v>
      </c>
      <c r="F983" s="456">
        <v>0</v>
      </c>
    </row>
    <row r="984" spans="1:6">
      <c r="A984" s="168" t="s">
        <v>2179</v>
      </c>
      <c r="B984" s="455" t="s">
        <v>746</v>
      </c>
      <c r="C984" s="455" t="s">
        <v>2180</v>
      </c>
      <c r="E984" s="456">
        <v>0</v>
      </c>
      <c r="F984" s="456">
        <v>0</v>
      </c>
    </row>
    <row r="985" spans="1:6">
      <c r="A985" s="168" t="s">
        <v>2181</v>
      </c>
      <c r="B985" s="455" t="s">
        <v>2182</v>
      </c>
      <c r="E985" s="456">
        <v>0</v>
      </c>
      <c r="F985" s="456">
        <v>0</v>
      </c>
    </row>
    <row r="986" spans="1:6">
      <c r="A986" s="168" t="s">
        <v>2183</v>
      </c>
      <c r="B986" s="455" t="s">
        <v>2184</v>
      </c>
      <c r="E986" s="456">
        <v>-707153.82</v>
      </c>
      <c r="F986" s="456">
        <v>0</v>
      </c>
    </row>
    <row r="987" spans="1:6">
      <c r="A987" s="168" t="s">
        <v>2185</v>
      </c>
      <c r="B987" s="455" t="s">
        <v>2357</v>
      </c>
      <c r="E987" s="456">
        <v>0</v>
      </c>
      <c r="F987" s="456">
        <v>0</v>
      </c>
    </row>
    <row r="988" spans="1:6">
      <c r="A988" s="168" t="s">
        <v>2186</v>
      </c>
      <c r="B988" s="455" t="s">
        <v>1711</v>
      </c>
      <c r="E988" s="456">
        <v>-993208.67</v>
      </c>
      <c r="F988" s="456">
        <v>0</v>
      </c>
    </row>
    <row r="989" spans="1:6">
      <c r="A989" s="168" t="s">
        <v>2187</v>
      </c>
      <c r="B989" s="455"/>
      <c r="E989" s="456">
        <v>0</v>
      </c>
      <c r="F989" s="456">
        <v>0</v>
      </c>
    </row>
    <row r="990" spans="1:6">
      <c r="A990" s="168" t="s">
        <v>1861</v>
      </c>
      <c r="B990" s="455" t="s">
        <v>1862</v>
      </c>
      <c r="E990" s="456">
        <v>0</v>
      </c>
      <c r="F990" s="456">
        <v>0</v>
      </c>
    </row>
    <row r="991" spans="1:6">
      <c r="A991" s="168" t="s">
        <v>1863</v>
      </c>
      <c r="B991" s="455" t="s">
        <v>746</v>
      </c>
      <c r="E991" s="456">
        <v>-858900</v>
      </c>
      <c r="F991" s="456">
        <v>0</v>
      </c>
    </row>
    <row r="992" spans="1:6">
      <c r="A992" s="168" t="s">
        <v>1864</v>
      </c>
      <c r="B992" s="455" t="s">
        <v>2570</v>
      </c>
      <c r="C992" s="455" t="s">
        <v>1865</v>
      </c>
      <c r="E992" s="456">
        <v>0</v>
      </c>
      <c r="F992" s="456">
        <v>0</v>
      </c>
    </row>
    <row r="993" spans="1:6">
      <c r="A993" s="168" t="s">
        <v>1866</v>
      </c>
      <c r="B993" s="455" t="s">
        <v>1117</v>
      </c>
      <c r="E993" s="456">
        <v>0</v>
      </c>
      <c r="F993" s="456">
        <v>0</v>
      </c>
    </row>
    <row r="994" spans="1:6">
      <c r="A994" s="168" t="s">
        <v>1867</v>
      </c>
      <c r="B994" s="455" t="s">
        <v>1711</v>
      </c>
      <c r="E994" s="456">
        <v>43385</v>
      </c>
      <c r="F994" s="456">
        <v>0</v>
      </c>
    </row>
    <row r="995" spans="1:6">
      <c r="A995" s="168" t="s">
        <v>1868</v>
      </c>
      <c r="B995" s="455" t="s">
        <v>569</v>
      </c>
      <c r="C995" s="455" t="s">
        <v>1869</v>
      </c>
      <c r="E995" s="456">
        <v>0</v>
      </c>
      <c r="F995" s="456">
        <v>0</v>
      </c>
    </row>
    <row r="996" spans="1:6">
      <c r="A996" s="168" t="s">
        <v>1870</v>
      </c>
      <c r="B996" s="455" t="s">
        <v>767</v>
      </c>
      <c r="E996" s="456">
        <v>575003.79</v>
      </c>
      <c r="F996" s="456">
        <v>0</v>
      </c>
    </row>
    <row r="997" spans="1:6">
      <c r="A997" s="168" t="s">
        <v>1871</v>
      </c>
      <c r="B997" s="455" t="s">
        <v>1872</v>
      </c>
      <c r="E997" s="456">
        <v>0</v>
      </c>
      <c r="F997" s="456">
        <v>0</v>
      </c>
    </row>
    <row r="998" spans="1:6">
      <c r="A998" s="168" t="s">
        <v>1873</v>
      </c>
      <c r="B998" s="455" t="s">
        <v>1874</v>
      </c>
      <c r="E998" s="456">
        <v>0</v>
      </c>
      <c r="F998" s="456">
        <v>0</v>
      </c>
    </row>
    <row r="999" spans="1:6">
      <c r="A999" s="168" t="s">
        <v>1875</v>
      </c>
      <c r="B999" s="455" t="s">
        <v>71</v>
      </c>
      <c r="E999" s="456">
        <v>0</v>
      </c>
      <c r="F999" s="456">
        <v>0</v>
      </c>
    </row>
    <row r="1000" spans="1:6">
      <c r="A1000" s="168" t="s">
        <v>1877</v>
      </c>
      <c r="B1000" s="455">
        <v>61300001362</v>
      </c>
      <c r="E1000" s="456">
        <v>-11896.39</v>
      </c>
      <c r="F1000" s="456">
        <v>0</v>
      </c>
    </row>
    <row r="1001" spans="1:6">
      <c r="A1001" s="168" t="s">
        <v>1878</v>
      </c>
      <c r="B1001" s="455" t="s">
        <v>2450</v>
      </c>
      <c r="E1001" s="456">
        <v>-11060</v>
      </c>
      <c r="F1001" s="456">
        <v>0</v>
      </c>
    </row>
    <row r="1002" spans="1:6">
      <c r="A1002" s="168" t="s">
        <v>1879</v>
      </c>
      <c r="B1002" s="455" t="s">
        <v>746</v>
      </c>
      <c r="E1002" s="456">
        <v>-24650.85</v>
      </c>
      <c r="F1002" s="456">
        <v>0</v>
      </c>
    </row>
    <row r="1003" spans="1:6">
      <c r="A1003" s="168" t="s">
        <v>1880</v>
      </c>
      <c r="B1003" s="455" t="s">
        <v>746</v>
      </c>
      <c r="E1003" s="456">
        <v>-4493.58</v>
      </c>
      <c r="F1003" s="456">
        <v>0</v>
      </c>
    </row>
    <row r="1004" spans="1:6">
      <c r="A1004" s="168" t="s">
        <v>1881</v>
      </c>
      <c r="B1004" s="455" t="s">
        <v>746</v>
      </c>
      <c r="E1004" s="456">
        <v>-10162.200000000001</v>
      </c>
      <c r="F1004" s="456">
        <v>0</v>
      </c>
    </row>
    <row r="1005" spans="1:6">
      <c r="A1005" s="168" t="s">
        <v>1882</v>
      </c>
      <c r="B1005" s="455" t="s">
        <v>746</v>
      </c>
      <c r="E1005" s="456">
        <v>-8422.7800000000007</v>
      </c>
      <c r="F1005" s="456">
        <v>0</v>
      </c>
    </row>
    <row r="1006" spans="1:6">
      <c r="A1006" s="168" t="s">
        <v>1883</v>
      </c>
      <c r="B1006" s="455" t="s">
        <v>1884</v>
      </c>
      <c r="E1006" s="456">
        <v>2352819.92</v>
      </c>
      <c r="F1006" s="456">
        <v>0</v>
      </c>
    </row>
    <row r="1007" spans="1:6">
      <c r="A1007" s="168" t="s">
        <v>1885</v>
      </c>
      <c r="B1007" s="455" t="s">
        <v>746</v>
      </c>
      <c r="E1007" s="456">
        <v>-17261.25</v>
      </c>
      <c r="F1007" s="456">
        <v>0</v>
      </c>
    </row>
    <row r="1008" spans="1:6">
      <c r="A1008" s="168" t="s">
        <v>1886</v>
      </c>
      <c r="B1008" s="455" t="s">
        <v>746</v>
      </c>
      <c r="E1008" s="456">
        <v>0</v>
      </c>
      <c r="F1008" s="456">
        <v>0</v>
      </c>
    </row>
    <row r="1009" spans="1:6">
      <c r="A1009" s="168" t="s">
        <v>1887</v>
      </c>
      <c r="B1009" s="455" t="s">
        <v>746</v>
      </c>
      <c r="E1009" s="456">
        <v>0</v>
      </c>
      <c r="F1009" s="456">
        <v>0</v>
      </c>
    </row>
    <row r="1010" spans="1:6">
      <c r="A1010" s="168" t="s">
        <v>1888</v>
      </c>
      <c r="B1010" s="455" t="s">
        <v>746</v>
      </c>
      <c r="C1010" s="455" t="s">
        <v>81</v>
      </c>
      <c r="E1010" s="456">
        <v>0</v>
      </c>
      <c r="F1010" s="456">
        <v>0</v>
      </c>
    </row>
    <row r="1011" spans="1:6">
      <c r="A1011" s="168" t="s">
        <v>1890</v>
      </c>
      <c r="B1011" s="455" t="s">
        <v>746</v>
      </c>
      <c r="C1011" s="455" t="s">
        <v>569</v>
      </c>
      <c r="E1011" s="456">
        <v>5025471.25</v>
      </c>
      <c r="F1011" s="456">
        <v>0</v>
      </c>
    </row>
    <row r="1012" spans="1:6">
      <c r="A1012" s="168" t="s">
        <v>1891</v>
      </c>
      <c r="B1012" s="455" t="s">
        <v>746</v>
      </c>
      <c r="C1012" s="455" t="s">
        <v>1892</v>
      </c>
      <c r="E1012" s="456">
        <v>0</v>
      </c>
      <c r="F1012" s="456">
        <v>0</v>
      </c>
    </row>
    <row r="1013" spans="1:6">
      <c r="A1013" s="168" t="s">
        <v>1893</v>
      </c>
      <c r="B1013" s="455" t="s">
        <v>2159</v>
      </c>
      <c r="E1013" s="456">
        <v>0</v>
      </c>
      <c r="F1013" s="456">
        <v>0</v>
      </c>
    </row>
    <row r="1014" spans="1:6">
      <c r="A1014" s="168" t="s">
        <v>1894</v>
      </c>
      <c r="B1014" s="455" t="s">
        <v>1321</v>
      </c>
      <c r="E1014" s="456">
        <v>0</v>
      </c>
      <c r="F1014" s="456">
        <v>0</v>
      </c>
    </row>
    <row r="1015" spans="1:6">
      <c r="A1015" s="168" t="s">
        <v>1895</v>
      </c>
      <c r="B1015" s="455" t="s">
        <v>1896</v>
      </c>
      <c r="E1015" s="456">
        <v>57303.34</v>
      </c>
      <c r="F1015" s="456">
        <v>0</v>
      </c>
    </row>
    <row r="1016" spans="1:6">
      <c r="A1016" s="168" t="s">
        <v>1897</v>
      </c>
      <c r="B1016" s="455" t="s">
        <v>800</v>
      </c>
      <c r="E1016" s="456">
        <v>0</v>
      </c>
      <c r="F1016" s="456">
        <v>0</v>
      </c>
    </row>
    <row r="1017" spans="1:6">
      <c r="A1017" s="168" t="s">
        <v>1898</v>
      </c>
      <c r="B1017" s="455" t="s">
        <v>265</v>
      </c>
      <c r="E1017" s="456">
        <v>0</v>
      </c>
      <c r="F1017" s="456">
        <v>0</v>
      </c>
    </row>
    <row r="1018" spans="1:6">
      <c r="A1018" s="168" t="s">
        <v>1899</v>
      </c>
      <c r="B1018" s="455" t="s">
        <v>2562</v>
      </c>
      <c r="E1018" s="456">
        <v>0</v>
      </c>
      <c r="F1018" s="456">
        <v>0</v>
      </c>
    </row>
    <row r="1019" spans="1:6">
      <c r="A1019" s="168" t="s">
        <v>1900</v>
      </c>
      <c r="B1019" s="455" t="s">
        <v>1901</v>
      </c>
      <c r="E1019" s="456">
        <v>0</v>
      </c>
      <c r="F1019" s="456">
        <v>0</v>
      </c>
    </row>
    <row r="1020" spans="1:6">
      <c r="A1020" s="168" t="s">
        <v>1902</v>
      </c>
      <c r="B1020" s="455" t="s">
        <v>2338</v>
      </c>
      <c r="E1020" s="456">
        <v>0</v>
      </c>
      <c r="F1020" s="456">
        <v>0</v>
      </c>
    </row>
    <row r="1021" spans="1:6">
      <c r="A1021" s="168" t="s">
        <v>1903</v>
      </c>
      <c r="B1021" s="455" t="s">
        <v>1904</v>
      </c>
      <c r="C1021" s="455" t="s">
        <v>1905</v>
      </c>
      <c r="E1021" s="456">
        <v>0</v>
      </c>
      <c r="F1021" s="456">
        <v>0</v>
      </c>
    </row>
    <row r="1022" spans="1:6">
      <c r="A1022" s="168" t="s">
        <v>1906</v>
      </c>
      <c r="B1022" s="455" t="s">
        <v>1907</v>
      </c>
      <c r="E1022" s="456">
        <v>0</v>
      </c>
      <c r="F1022" s="456">
        <v>0</v>
      </c>
    </row>
    <row r="1023" spans="1:6">
      <c r="A1023" s="168" t="s">
        <v>1908</v>
      </c>
      <c r="B1023" s="455" t="s">
        <v>1909</v>
      </c>
      <c r="C1023" s="455" t="s">
        <v>1910</v>
      </c>
      <c r="E1023" s="456">
        <v>0</v>
      </c>
      <c r="F1023" s="456">
        <v>0</v>
      </c>
    </row>
    <row r="1024" spans="1:6">
      <c r="A1024" s="168" t="s">
        <v>1911</v>
      </c>
      <c r="B1024" s="455" t="s">
        <v>1912</v>
      </c>
      <c r="E1024" s="456">
        <v>0</v>
      </c>
      <c r="F1024" s="456">
        <v>0</v>
      </c>
    </row>
    <row r="1025" spans="1:6">
      <c r="A1025" s="168" t="s">
        <v>1913</v>
      </c>
      <c r="B1025" s="455" t="s">
        <v>2338</v>
      </c>
      <c r="E1025" s="456">
        <v>0</v>
      </c>
      <c r="F1025" s="456">
        <v>0</v>
      </c>
    </row>
    <row r="1026" spans="1:6">
      <c r="A1026" s="168" t="s">
        <v>1914</v>
      </c>
      <c r="B1026" s="455" t="s">
        <v>1915</v>
      </c>
      <c r="C1026" s="455" t="s">
        <v>1916</v>
      </c>
      <c r="E1026" s="456">
        <v>0</v>
      </c>
      <c r="F1026" s="456">
        <v>0</v>
      </c>
    </row>
    <row r="1027" spans="1:6">
      <c r="A1027" s="168" t="s">
        <v>1917</v>
      </c>
      <c r="B1027" s="455" t="s">
        <v>1918</v>
      </c>
      <c r="E1027" s="456">
        <v>0</v>
      </c>
      <c r="F1027" s="456">
        <v>0</v>
      </c>
    </row>
    <row r="1028" spans="1:6">
      <c r="A1028" s="168" t="s">
        <v>1919</v>
      </c>
      <c r="B1028" s="455" t="s">
        <v>1920</v>
      </c>
      <c r="E1028" s="456">
        <v>0</v>
      </c>
      <c r="F1028" s="456">
        <v>0</v>
      </c>
    </row>
    <row r="1029" spans="1:6">
      <c r="A1029" s="168" t="s">
        <v>1921</v>
      </c>
      <c r="B1029" s="455" t="s">
        <v>1922</v>
      </c>
      <c r="E1029" s="456">
        <v>0</v>
      </c>
      <c r="F1029" s="456">
        <v>0</v>
      </c>
    </row>
    <row r="1030" spans="1:6">
      <c r="A1030" s="168" t="s">
        <v>1923</v>
      </c>
      <c r="B1030" s="455" t="s">
        <v>1924</v>
      </c>
      <c r="E1030" s="456">
        <v>0</v>
      </c>
      <c r="F1030" s="456">
        <v>0</v>
      </c>
    </row>
    <row r="1031" spans="1:6">
      <c r="A1031" s="168" t="s">
        <v>1925</v>
      </c>
      <c r="B1031" s="455" t="s">
        <v>1926</v>
      </c>
      <c r="E1031" s="456">
        <v>0</v>
      </c>
      <c r="F1031" s="456">
        <v>0</v>
      </c>
    </row>
    <row r="1032" spans="1:6">
      <c r="A1032" s="168" t="s">
        <v>1927</v>
      </c>
      <c r="B1032" s="455" t="s">
        <v>1928</v>
      </c>
      <c r="E1032" s="456">
        <v>0</v>
      </c>
      <c r="F1032" s="456">
        <v>0</v>
      </c>
    </row>
    <row r="1033" spans="1:6">
      <c r="A1033" s="168" t="s">
        <v>1929</v>
      </c>
      <c r="B1033" s="455" t="s">
        <v>1930</v>
      </c>
      <c r="E1033" s="456">
        <v>0</v>
      </c>
      <c r="F1033" s="456">
        <v>0</v>
      </c>
    </row>
    <row r="1034" spans="1:6">
      <c r="A1034" s="168" t="s">
        <v>1931</v>
      </c>
      <c r="B1034" s="455" t="s">
        <v>1932</v>
      </c>
      <c r="E1034" s="456">
        <v>0</v>
      </c>
      <c r="F1034" s="456">
        <v>0</v>
      </c>
    </row>
    <row r="1035" spans="1:6">
      <c r="A1035" s="168" t="s">
        <v>1933</v>
      </c>
      <c r="B1035" s="455" t="s">
        <v>569</v>
      </c>
      <c r="C1035" s="455" t="s">
        <v>1869</v>
      </c>
      <c r="E1035" s="456">
        <v>0</v>
      </c>
      <c r="F1035" s="456">
        <v>0</v>
      </c>
    </row>
    <row r="1036" spans="1:6">
      <c r="A1036" s="168" t="s">
        <v>1934</v>
      </c>
      <c r="B1036" s="455"/>
      <c r="E1036" s="456">
        <v>0</v>
      </c>
      <c r="F1036" s="456">
        <v>0</v>
      </c>
    </row>
    <row r="1037" spans="1:6">
      <c r="A1037" s="168" t="s">
        <v>1935</v>
      </c>
      <c r="B1037" s="455" t="s">
        <v>1936</v>
      </c>
      <c r="E1037" s="456">
        <v>-748.06</v>
      </c>
      <c r="F1037" s="456">
        <v>0</v>
      </c>
    </row>
    <row r="1038" spans="1:6">
      <c r="A1038" s="168" t="s">
        <v>1937</v>
      </c>
      <c r="B1038" s="455" t="s">
        <v>1938</v>
      </c>
      <c r="C1038" s="455" t="s">
        <v>1939</v>
      </c>
      <c r="E1038" s="456">
        <v>0</v>
      </c>
      <c r="F1038" s="456">
        <v>0</v>
      </c>
    </row>
    <row r="1039" spans="1:6">
      <c r="A1039" s="168" t="s">
        <v>1940</v>
      </c>
      <c r="B1039" s="455" t="s">
        <v>746</v>
      </c>
      <c r="E1039" s="456">
        <v>0</v>
      </c>
      <c r="F1039" s="456">
        <v>0</v>
      </c>
    </row>
    <row r="1040" spans="1:6">
      <c r="A1040" s="168" t="s">
        <v>1941</v>
      </c>
      <c r="B1040" s="455"/>
      <c r="E1040" s="456">
        <v>2228956.7000000002</v>
      </c>
      <c r="F1040" s="456">
        <v>0</v>
      </c>
    </row>
    <row r="1041" spans="1:6">
      <c r="A1041" s="168" t="s">
        <v>1942</v>
      </c>
      <c r="B1041" s="455" t="s">
        <v>2157</v>
      </c>
      <c r="E1041" s="456">
        <v>0</v>
      </c>
      <c r="F1041" s="456">
        <v>0</v>
      </c>
    </row>
    <row r="1042" spans="1:6">
      <c r="A1042" s="168" t="s">
        <v>1943</v>
      </c>
      <c r="B1042" s="455" t="s">
        <v>1944</v>
      </c>
      <c r="E1042" s="456">
        <v>0</v>
      </c>
      <c r="F1042" s="456">
        <v>0</v>
      </c>
    </row>
    <row r="1043" spans="1:6">
      <c r="A1043" s="168" t="s">
        <v>1945</v>
      </c>
      <c r="B1043" s="455" t="s">
        <v>546</v>
      </c>
      <c r="E1043" s="456">
        <v>-2087117.44</v>
      </c>
      <c r="F1043" s="456">
        <v>0</v>
      </c>
    </row>
    <row r="1044" spans="1:6">
      <c r="A1044" s="168" t="s">
        <v>1946</v>
      </c>
      <c r="B1044" s="455" t="s">
        <v>1889</v>
      </c>
      <c r="E1044" s="456">
        <v>0</v>
      </c>
      <c r="F1044" s="456">
        <v>0</v>
      </c>
    </row>
    <row r="1045" spans="1:6">
      <c r="A1045" s="168" t="s">
        <v>1947</v>
      </c>
      <c r="B1045" s="455" t="s">
        <v>1948</v>
      </c>
      <c r="E1045" s="456">
        <v>-1220257.8799999999</v>
      </c>
      <c r="F1045" s="456">
        <v>0</v>
      </c>
    </row>
    <row r="1046" spans="1:6">
      <c r="A1046" s="168" t="s">
        <v>1949</v>
      </c>
      <c r="B1046" s="455" t="s">
        <v>1948</v>
      </c>
      <c r="E1046" s="456">
        <v>0</v>
      </c>
      <c r="F1046" s="456">
        <v>0</v>
      </c>
    </row>
    <row r="1047" spans="1:6">
      <c r="A1047" s="168" t="s">
        <v>1950</v>
      </c>
      <c r="B1047" s="455" t="s">
        <v>1952</v>
      </c>
      <c r="E1047" s="456">
        <v>639331.81999999995</v>
      </c>
      <c r="F1047" s="456">
        <v>0</v>
      </c>
    </row>
    <row r="1048" spans="1:6">
      <c r="A1048" s="168" t="s">
        <v>1953</v>
      </c>
      <c r="B1048" s="455" t="s">
        <v>1952</v>
      </c>
      <c r="E1048" s="456">
        <v>-2544177.0699999998</v>
      </c>
      <c r="F1048" s="456">
        <v>0</v>
      </c>
    </row>
    <row r="1049" spans="1:6">
      <c r="A1049" s="168" t="s">
        <v>1954</v>
      </c>
      <c r="B1049" s="455" t="s">
        <v>1955</v>
      </c>
      <c r="E1049" s="456">
        <v>0</v>
      </c>
      <c r="F1049" s="456">
        <v>0</v>
      </c>
    </row>
    <row r="1050" spans="1:6">
      <c r="A1050" s="168" t="s">
        <v>1956</v>
      </c>
      <c r="B1050" s="455" t="s">
        <v>569</v>
      </c>
      <c r="E1050" s="456">
        <v>0</v>
      </c>
      <c r="F1050" s="456">
        <v>0</v>
      </c>
    </row>
    <row r="1051" spans="1:6">
      <c r="A1051" s="168" t="s">
        <v>1957</v>
      </c>
      <c r="B1051" s="455" t="s">
        <v>569</v>
      </c>
      <c r="E1051" s="456">
        <v>0</v>
      </c>
      <c r="F1051" s="456">
        <v>0</v>
      </c>
    </row>
    <row r="1052" spans="1:6">
      <c r="A1052" s="168" t="s">
        <v>1958</v>
      </c>
      <c r="B1052" s="455" t="s">
        <v>1485</v>
      </c>
      <c r="E1052" s="456">
        <v>0</v>
      </c>
      <c r="F1052" s="456">
        <v>0</v>
      </c>
    </row>
    <row r="1053" spans="1:6">
      <c r="A1053" s="168" t="s">
        <v>1959</v>
      </c>
      <c r="B1053" s="455" t="s">
        <v>1960</v>
      </c>
      <c r="E1053" s="456">
        <v>0</v>
      </c>
      <c r="F1053" s="456">
        <v>0</v>
      </c>
    </row>
    <row r="1054" spans="1:6">
      <c r="A1054" s="168" t="s">
        <v>1961</v>
      </c>
      <c r="B1054" s="455" t="s">
        <v>1962</v>
      </c>
      <c r="C1054" s="455" t="s">
        <v>1963</v>
      </c>
      <c r="E1054" s="456">
        <v>0</v>
      </c>
      <c r="F1054" s="456">
        <v>0</v>
      </c>
    </row>
    <row r="1055" spans="1:6">
      <c r="A1055" s="168" t="s">
        <v>1964</v>
      </c>
      <c r="B1055" s="455" t="s">
        <v>2448</v>
      </c>
      <c r="E1055" s="456">
        <v>-95901.52</v>
      </c>
      <c r="F1055" s="456">
        <v>0</v>
      </c>
    </row>
    <row r="1056" spans="1:6">
      <c r="A1056" s="168" t="s">
        <v>1965</v>
      </c>
      <c r="B1056" s="455" t="s">
        <v>1966</v>
      </c>
      <c r="E1056" s="456">
        <v>0</v>
      </c>
      <c r="F1056" s="456">
        <v>0</v>
      </c>
    </row>
    <row r="1057" spans="1:6">
      <c r="A1057" s="168" t="s">
        <v>1967</v>
      </c>
      <c r="B1057" s="455" t="s">
        <v>1968</v>
      </c>
      <c r="E1057" s="456">
        <v>1067.3</v>
      </c>
      <c r="F1057" s="456">
        <v>0</v>
      </c>
    </row>
    <row r="1058" spans="1:6">
      <c r="A1058" s="168" t="s">
        <v>1969</v>
      </c>
      <c r="B1058" s="455"/>
      <c r="E1058" s="456">
        <v>0</v>
      </c>
      <c r="F1058" s="456">
        <v>0</v>
      </c>
    </row>
    <row r="1059" spans="1:6">
      <c r="A1059" s="168" t="s">
        <v>1970</v>
      </c>
      <c r="B1059" s="455" t="s">
        <v>746</v>
      </c>
      <c r="E1059" s="456">
        <v>0</v>
      </c>
      <c r="F1059" s="456">
        <v>0</v>
      </c>
    </row>
    <row r="1060" spans="1:6">
      <c r="A1060" s="168" t="s">
        <v>1971</v>
      </c>
      <c r="B1060" s="455" t="s">
        <v>1972</v>
      </c>
      <c r="E1060" s="456">
        <v>11060</v>
      </c>
      <c r="F1060" s="456">
        <v>0</v>
      </c>
    </row>
    <row r="1061" spans="1:6">
      <c r="A1061" s="168" t="s">
        <v>1973</v>
      </c>
      <c r="B1061" s="455" t="s">
        <v>1974</v>
      </c>
      <c r="E1061" s="456">
        <v>0</v>
      </c>
      <c r="F1061" s="456">
        <v>0</v>
      </c>
    </row>
    <row r="1062" spans="1:6">
      <c r="A1062" s="168" t="s">
        <v>1975</v>
      </c>
      <c r="B1062" s="455" t="s">
        <v>1976</v>
      </c>
      <c r="E1062" s="456">
        <v>0</v>
      </c>
      <c r="F1062" s="456">
        <v>0</v>
      </c>
    </row>
    <row r="1063" spans="1:6">
      <c r="A1063" s="168" t="s">
        <v>1977</v>
      </c>
      <c r="B1063" s="455" t="s">
        <v>1978</v>
      </c>
      <c r="E1063" s="456">
        <v>11896.39</v>
      </c>
      <c r="F1063" s="456">
        <v>0</v>
      </c>
    </row>
    <row r="1064" spans="1:6">
      <c r="A1064" s="168" t="s">
        <v>1980</v>
      </c>
      <c r="B1064" s="455" t="s">
        <v>1981</v>
      </c>
      <c r="E1064" s="456">
        <v>75835.28</v>
      </c>
      <c r="F1064" s="456">
        <v>0</v>
      </c>
    </row>
    <row r="1065" spans="1:6">
      <c r="A1065" s="168" t="s">
        <v>1982</v>
      </c>
      <c r="B1065" s="455" t="s">
        <v>1983</v>
      </c>
      <c r="C1065" s="455" t="s">
        <v>1984</v>
      </c>
      <c r="E1065" s="456">
        <v>5895.27</v>
      </c>
      <c r="F1065" s="456">
        <v>0</v>
      </c>
    </row>
    <row r="1066" spans="1:6">
      <c r="A1066" s="168" t="s">
        <v>1985</v>
      </c>
      <c r="B1066" s="455" t="s">
        <v>1979</v>
      </c>
      <c r="E1066" s="456">
        <v>0</v>
      </c>
      <c r="F1066" s="456">
        <v>0</v>
      </c>
    </row>
    <row r="1067" spans="1:6">
      <c r="A1067" s="168" t="s">
        <v>1986</v>
      </c>
      <c r="B1067" s="455"/>
      <c r="E1067" s="456">
        <v>-297688.61</v>
      </c>
      <c r="F1067" s="456">
        <v>0</v>
      </c>
    </row>
    <row r="1068" spans="1:6">
      <c r="A1068" s="168" t="s">
        <v>1988</v>
      </c>
      <c r="B1068" s="455" t="s">
        <v>1987</v>
      </c>
      <c r="E1068" s="456">
        <v>0</v>
      </c>
      <c r="F1068" s="456">
        <v>0</v>
      </c>
    </row>
    <row r="1069" spans="1:6">
      <c r="A1069" s="168" t="s">
        <v>1991</v>
      </c>
      <c r="B1069" s="455" t="s">
        <v>1679</v>
      </c>
      <c r="E1069" s="456">
        <v>0</v>
      </c>
      <c r="F1069" s="456">
        <v>0</v>
      </c>
    </row>
    <row r="1070" spans="1:6">
      <c r="A1070" s="168" t="s">
        <v>1993</v>
      </c>
      <c r="B1070" s="455" t="s">
        <v>1992</v>
      </c>
      <c r="E1070" s="456">
        <v>2424521.96</v>
      </c>
      <c r="F1070" s="456">
        <v>0</v>
      </c>
    </row>
    <row r="1071" spans="1:6">
      <c r="A1071" s="168" t="s">
        <v>1994</v>
      </c>
      <c r="B1071" s="455" t="s">
        <v>1995</v>
      </c>
      <c r="E1071" s="456">
        <v>0</v>
      </c>
      <c r="F1071" s="456">
        <v>0</v>
      </c>
    </row>
    <row r="1072" spans="1:6">
      <c r="A1072" s="168" t="s">
        <v>1996</v>
      </c>
      <c r="B1072" s="455" t="s">
        <v>1241</v>
      </c>
      <c r="E1072" s="456">
        <v>0</v>
      </c>
      <c r="F1072" s="456">
        <v>0</v>
      </c>
    </row>
    <row r="1073" spans="1:6">
      <c r="A1073" s="168" t="s">
        <v>1998</v>
      </c>
      <c r="B1073" s="455" t="s">
        <v>1997</v>
      </c>
      <c r="E1073" s="456">
        <v>-1686994.14</v>
      </c>
      <c r="F1073" s="456">
        <v>0</v>
      </c>
    </row>
    <row r="1074" spans="1:6">
      <c r="A1074" s="168" t="s">
        <v>2000</v>
      </c>
      <c r="B1074" s="455" t="s">
        <v>1999</v>
      </c>
      <c r="E1074" s="456">
        <v>0</v>
      </c>
      <c r="F1074" s="456">
        <v>0</v>
      </c>
    </row>
    <row r="1075" spans="1:6">
      <c r="A1075" s="168" t="s">
        <v>2002</v>
      </c>
      <c r="B1075" s="455" t="s">
        <v>2001</v>
      </c>
      <c r="E1075" s="456">
        <v>-9575.35</v>
      </c>
      <c r="F1075" s="456">
        <v>0</v>
      </c>
    </row>
    <row r="1076" spans="1:6">
      <c r="A1076" s="168" t="s">
        <v>2003</v>
      </c>
      <c r="B1076" s="455" t="s">
        <v>2001</v>
      </c>
      <c r="E1076" s="456">
        <v>0</v>
      </c>
      <c r="F1076" s="456">
        <v>0</v>
      </c>
    </row>
    <row r="1077" spans="1:6">
      <c r="A1077" s="168" t="s">
        <v>2005</v>
      </c>
      <c r="B1077" s="455" t="s">
        <v>1989</v>
      </c>
      <c r="E1077" s="456">
        <v>6905313.6699999999</v>
      </c>
      <c r="F1077" s="456">
        <v>0</v>
      </c>
    </row>
    <row r="1078" spans="1:6">
      <c r="A1078" s="168" t="s">
        <v>1189</v>
      </c>
      <c r="B1078" s="455" t="s">
        <v>1190</v>
      </c>
      <c r="E1078" s="456">
        <v>0</v>
      </c>
      <c r="F1078" s="456">
        <v>0</v>
      </c>
    </row>
    <row r="1079" spans="1:6">
      <c r="A1079" s="168" t="s">
        <v>1192</v>
      </c>
      <c r="B1079" s="455" t="s">
        <v>1191</v>
      </c>
      <c r="E1079" s="456">
        <v>0</v>
      </c>
      <c r="F1079" s="456">
        <v>0</v>
      </c>
    </row>
    <row r="1080" spans="1:6">
      <c r="A1080" s="168" t="s">
        <v>1195</v>
      </c>
      <c r="B1080" s="455" t="s">
        <v>1193</v>
      </c>
      <c r="E1080" s="456">
        <v>0</v>
      </c>
      <c r="F1080" s="456">
        <v>0</v>
      </c>
    </row>
    <row r="1081" spans="1:6">
      <c r="A1081" s="168" t="s">
        <v>1196</v>
      </c>
      <c r="B1081" s="455" t="s">
        <v>1193</v>
      </c>
      <c r="C1081" s="455" t="s">
        <v>1865</v>
      </c>
      <c r="E1081" s="456">
        <v>0</v>
      </c>
      <c r="F1081" s="456">
        <v>0</v>
      </c>
    </row>
    <row r="1082" spans="1:6">
      <c r="A1082" s="168" t="s">
        <v>1198</v>
      </c>
      <c r="B1082" s="455" t="s">
        <v>1197</v>
      </c>
      <c r="E1082" s="456">
        <v>16.850000000000001</v>
      </c>
      <c r="F1082" s="456">
        <v>0</v>
      </c>
    </row>
    <row r="1083" spans="1:6">
      <c r="A1083" s="168" t="s">
        <v>1199</v>
      </c>
      <c r="B1083" s="455" t="s">
        <v>2004</v>
      </c>
      <c r="E1083" s="456">
        <v>0</v>
      </c>
      <c r="F1083" s="456">
        <v>0</v>
      </c>
    </row>
    <row r="1084" spans="1:6">
      <c r="A1084" s="168" t="s">
        <v>1200</v>
      </c>
      <c r="B1084" s="455" t="s">
        <v>1989</v>
      </c>
      <c r="E1084" s="456">
        <v>0</v>
      </c>
      <c r="F1084" s="456">
        <v>0</v>
      </c>
    </row>
    <row r="1085" spans="1:6">
      <c r="A1085" s="168" t="s">
        <v>1201</v>
      </c>
      <c r="B1085" s="455" t="s">
        <v>1194</v>
      </c>
      <c r="C1085" s="455" t="s">
        <v>1202</v>
      </c>
      <c r="E1085" s="456">
        <v>130728.31</v>
      </c>
      <c r="F1085" s="456">
        <v>0</v>
      </c>
    </row>
    <row r="1086" spans="1:6">
      <c r="A1086" s="168" t="s">
        <v>1204</v>
      </c>
      <c r="B1086" s="455" t="s">
        <v>1203</v>
      </c>
      <c r="E1086" s="456">
        <v>-130728.31</v>
      </c>
      <c r="F1086" s="456">
        <v>0</v>
      </c>
    </row>
    <row r="1087" spans="1:6">
      <c r="A1087" s="168" t="s">
        <v>1205</v>
      </c>
      <c r="B1087" s="455" t="s">
        <v>1194</v>
      </c>
      <c r="E1087" s="456">
        <v>0</v>
      </c>
      <c r="F1087" s="456">
        <v>0</v>
      </c>
    </row>
    <row r="1088" spans="1:6">
      <c r="A1088" s="168" t="s">
        <v>1208</v>
      </c>
      <c r="B1088" s="455" t="s">
        <v>1206</v>
      </c>
      <c r="C1088" s="455" t="s">
        <v>1207</v>
      </c>
      <c r="E1088" s="456">
        <v>-104.04</v>
      </c>
      <c r="F1088" s="456">
        <v>0</v>
      </c>
    </row>
    <row r="1089" spans="1:6">
      <c r="A1089" s="168" t="s">
        <v>1209</v>
      </c>
      <c r="B1089" s="455" t="s">
        <v>1206</v>
      </c>
      <c r="C1089" s="455" t="s">
        <v>1207</v>
      </c>
      <c r="E1089" s="456">
        <v>0</v>
      </c>
      <c r="F1089" s="456">
        <v>0</v>
      </c>
    </row>
    <row r="1090" spans="1:6">
      <c r="A1090" s="168" t="s">
        <v>1210</v>
      </c>
      <c r="B1090" s="455" t="s">
        <v>1206</v>
      </c>
      <c r="C1090" s="455" t="s">
        <v>1207</v>
      </c>
      <c r="E1090" s="456">
        <v>0</v>
      </c>
      <c r="F1090" s="456">
        <v>0</v>
      </c>
    </row>
    <row r="1091" spans="1:6">
      <c r="A1091" s="168" t="s">
        <v>1211</v>
      </c>
      <c r="B1091" s="455" t="s">
        <v>1206</v>
      </c>
      <c r="C1091" s="455" t="s">
        <v>1207</v>
      </c>
      <c r="E1091" s="456">
        <v>0</v>
      </c>
      <c r="F1091" s="456">
        <v>0</v>
      </c>
    </row>
    <row r="1092" spans="1:6">
      <c r="A1092" s="168" t="s">
        <v>1212</v>
      </c>
      <c r="B1092" s="455" t="s">
        <v>1213</v>
      </c>
      <c r="E1092" s="456">
        <v>0</v>
      </c>
      <c r="F1092" s="456">
        <v>0</v>
      </c>
    </row>
    <row r="1093" spans="1:6">
      <c r="A1093" s="168" t="s">
        <v>1215</v>
      </c>
      <c r="B1093" s="455" t="s">
        <v>1214</v>
      </c>
      <c r="E1093" s="456">
        <v>0</v>
      </c>
      <c r="F1093" s="456">
        <v>0</v>
      </c>
    </row>
    <row r="1094" spans="1:6">
      <c r="A1094" s="168" t="s">
        <v>1217</v>
      </c>
      <c r="B1094" s="455" t="s">
        <v>1216</v>
      </c>
      <c r="E1094" s="456">
        <v>-1619314.19</v>
      </c>
      <c r="F1094" s="456">
        <v>0</v>
      </c>
    </row>
    <row r="1095" spans="1:6">
      <c r="A1095" s="168" t="s">
        <v>1218</v>
      </c>
      <c r="B1095" s="455" t="s">
        <v>1219</v>
      </c>
      <c r="E1095" s="456">
        <v>1.28</v>
      </c>
      <c r="F1095" s="456">
        <v>0</v>
      </c>
    </row>
    <row r="1096" spans="1:6">
      <c r="A1096" s="168" t="s">
        <v>1538</v>
      </c>
      <c r="B1096" s="455" t="s">
        <v>1537</v>
      </c>
      <c r="E1096" s="456">
        <v>-7060213.7400000002</v>
      </c>
      <c r="F1096" s="456">
        <v>0</v>
      </c>
    </row>
    <row r="1097" spans="1:6">
      <c r="A1097" s="168" t="s">
        <v>1539</v>
      </c>
      <c r="B1097" s="455" t="s">
        <v>746</v>
      </c>
      <c r="C1097" s="455" t="s">
        <v>1540</v>
      </c>
      <c r="E1097" s="456">
        <v>-84316.73</v>
      </c>
      <c r="F1097" s="456">
        <v>0</v>
      </c>
    </row>
    <row r="1098" spans="1:6">
      <c r="A1098" s="168" t="s">
        <v>1541</v>
      </c>
      <c r="B1098" s="455" t="s">
        <v>1206</v>
      </c>
      <c r="C1098" s="455" t="s">
        <v>1207</v>
      </c>
      <c r="E1098" s="456">
        <v>0</v>
      </c>
      <c r="F1098" s="456">
        <v>0</v>
      </c>
    </row>
    <row r="1099" spans="1:6">
      <c r="A1099" s="168" t="s">
        <v>1543</v>
      </c>
      <c r="B1099" s="455" t="s">
        <v>1542</v>
      </c>
      <c r="E1099" s="456">
        <v>0</v>
      </c>
      <c r="F1099" s="456">
        <v>0</v>
      </c>
    </row>
    <row r="1100" spans="1:6">
      <c r="A1100" s="168" t="s">
        <v>1545</v>
      </c>
      <c r="B1100" s="455" t="s">
        <v>1544</v>
      </c>
      <c r="E1100" s="456">
        <v>0</v>
      </c>
      <c r="F1100" s="456">
        <v>0</v>
      </c>
    </row>
    <row r="1101" spans="1:6">
      <c r="A1101" s="168" t="s">
        <v>1547</v>
      </c>
      <c r="B1101" s="455" t="s">
        <v>1546</v>
      </c>
      <c r="E1101" s="456">
        <v>0</v>
      </c>
      <c r="F1101" s="456">
        <v>0</v>
      </c>
    </row>
    <row r="1102" spans="1:6">
      <c r="A1102" s="168" t="s">
        <v>1548</v>
      </c>
      <c r="B1102" s="455"/>
      <c r="E1102" s="456">
        <v>-70185.39</v>
      </c>
      <c r="F1102" s="456">
        <v>1767511</v>
      </c>
    </row>
  </sheetData>
  <phoneticPr fontId="15" type="noConversion"/>
  <pageMargins left="0.7" right="0.7" top="0.75" bottom="0.75" header="0.3" footer="0.3"/>
</worksheet>
</file>

<file path=xl/worksheets/sheet52.xml><?xml version="1.0" encoding="utf-8"?>
<worksheet xmlns="http://schemas.openxmlformats.org/spreadsheetml/2006/main" xmlns:r="http://schemas.openxmlformats.org/officeDocument/2006/relationships">
  <dimension ref="A1:O784"/>
  <sheetViews>
    <sheetView view="pageBreakPreview" topLeftCell="A632" zoomScale="87" zoomScaleSheetLayoutView="87" workbookViewId="0">
      <selection activeCell="I666" sqref="I666"/>
    </sheetView>
  </sheetViews>
  <sheetFormatPr defaultColWidth="19" defaultRowHeight="15"/>
  <cols>
    <col min="1" max="4" width="15.7109375" style="139" customWidth="1"/>
    <col min="5" max="5" width="16.5703125" style="140" customWidth="1"/>
    <col min="6" max="6" width="19" style="139" customWidth="1"/>
    <col min="7" max="7" width="15.85546875" style="142" hidden="1" customWidth="1"/>
    <col min="8" max="8" width="19" style="142" hidden="1" customWidth="1"/>
    <col min="9" max="16384" width="19" style="139"/>
  </cols>
  <sheetData>
    <row r="1" spans="1:12">
      <c r="A1" s="139" t="s">
        <v>33</v>
      </c>
      <c r="D1" s="140" t="s">
        <v>1556</v>
      </c>
      <c r="E1" s="140" t="s">
        <v>1710</v>
      </c>
      <c r="F1" s="139" t="s">
        <v>1557</v>
      </c>
      <c r="G1" s="141" t="s">
        <v>2664</v>
      </c>
      <c r="H1" s="141" t="s">
        <v>2665</v>
      </c>
      <c r="I1" s="141" t="s">
        <v>2666</v>
      </c>
      <c r="J1" s="141" t="s">
        <v>2667</v>
      </c>
      <c r="K1" s="139" t="s">
        <v>2169</v>
      </c>
      <c r="L1" s="139" t="s">
        <v>2981</v>
      </c>
    </row>
    <row r="2" spans="1:12">
      <c r="A2" s="139">
        <v>10</v>
      </c>
      <c r="B2" s="139" t="s">
        <v>2736</v>
      </c>
      <c r="C2" s="139" t="s">
        <v>2737</v>
      </c>
      <c r="D2" s="140" t="s">
        <v>21</v>
      </c>
      <c r="E2" s="140" t="s">
        <v>548</v>
      </c>
      <c r="F2" s="139" t="s">
        <v>1558</v>
      </c>
      <c r="G2" s="143">
        <v>-3895935.53</v>
      </c>
      <c r="H2" s="142">
        <v>-4769223</v>
      </c>
      <c r="I2" s="160">
        <v>-4413961.93</v>
      </c>
      <c r="J2" s="139">
        <v>-4777179</v>
      </c>
      <c r="K2" s="139">
        <v>-4777179</v>
      </c>
    </row>
    <row r="3" spans="1:12">
      <c r="A3" s="139">
        <v>10</v>
      </c>
      <c r="B3" s="139" t="s">
        <v>2736</v>
      </c>
      <c r="C3" s="139" t="s">
        <v>2738</v>
      </c>
      <c r="D3" s="140" t="s">
        <v>21</v>
      </c>
      <c r="E3" s="140" t="s">
        <v>550</v>
      </c>
      <c r="F3" s="139" t="s">
        <v>1558</v>
      </c>
      <c r="G3" s="143">
        <v>-316494.03000000003</v>
      </c>
      <c r="H3" s="142">
        <v>-316495</v>
      </c>
      <c r="I3" s="160">
        <v>-367080.3</v>
      </c>
      <c r="J3" s="139">
        <v>-367080.3</v>
      </c>
      <c r="K3" s="139">
        <v>-367080.3</v>
      </c>
    </row>
    <row r="4" spans="1:12">
      <c r="A4" s="139">
        <v>10</v>
      </c>
      <c r="B4" s="139" t="s">
        <v>2736</v>
      </c>
      <c r="C4" s="139" t="s">
        <v>2739</v>
      </c>
      <c r="D4" s="140" t="s">
        <v>21</v>
      </c>
      <c r="E4" s="140" t="s">
        <v>552</v>
      </c>
      <c r="F4" s="139" t="s">
        <v>1558</v>
      </c>
      <c r="G4" s="143">
        <v>-1432991.23</v>
      </c>
      <c r="H4" s="142">
        <v>-1432992</v>
      </c>
      <c r="I4" s="160">
        <v>-1368166.81</v>
      </c>
      <c r="J4" s="139">
        <v>-1368166</v>
      </c>
      <c r="K4" s="139">
        <v>-1368166</v>
      </c>
    </row>
    <row r="5" spans="1:12">
      <c r="A5" s="139">
        <v>10</v>
      </c>
      <c r="B5" s="139" t="s">
        <v>2736</v>
      </c>
      <c r="C5" s="139" t="s">
        <v>2740</v>
      </c>
      <c r="D5" s="140" t="s">
        <v>21</v>
      </c>
      <c r="E5" s="140" t="s">
        <v>554</v>
      </c>
      <c r="F5" s="139" t="s">
        <v>1558</v>
      </c>
      <c r="G5" s="143">
        <v>-1192909.3799999999</v>
      </c>
      <c r="H5" s="142">
        <v>-1192910</v>
      </c>
      <c r="I5" s="160">
        <v>-2564443.09</v>
      </c>
      <c r="J5" s="139">
        <v>-2564443</v>
      </c>
      <c r="K5" s="139">
        <v>-2564443</v>
      </c>
    </row>
    <row r="6" spans="1:12">
      <c r="A6" s="139">
        <v>10</v>
      </c>
      <c r="B6" s="139" t="s">
        <v>2736</v>
      </c>
      <c r="C6" s="139" t="s">
        <v>2741</v>
      </c>
      <c r="D6" s="140"/>
      <c r="E6" s="140" t="s">
        <v>556</v>
      </c>
      <c r="F6" s="139" t="s">
        <v>1558</v>
      </c>
      <c r="G6" s="143">
        <v>0</v>
      </c>
      <c r="H6" s="142">
        <v>0</v>
      </c>
      <c r="I6" s="139">
        <v>0</v>
      </c>
      <c r="J6" s="139">
        <v>0</v>
      </c>
      <c r="K6" s="139">
        <v>0</v>
      </c>
    </row>
    <row r="7" spans="1:12">
      <c r="A7" s="139">
        <v>10</v>
      </c>
      <c r="B7" s="139" t="s">
        <v>2736</v>
      </c>
      <c r="C7" s="139" t="s">
        <v>2742</v>
      </c>
      <c r="D7" s="140"/>
      <c r="E7" s="140" t="s">
        <v>556</v>
      </c>
      <c r="F7" s="139" t="s">
        <v>1558</v>
      </c>
      <c r="G7" s="143">
        <v>0</v>
      </c>
      <c r="H7" s="142">
        <v>0</v>
      </c>
      <c r="I7" s="139">
        <v>0</v>
      </c>
      <c r="J7" s="139">
        <v>0</v>
      </c>
      <c r="K7" s="139">
        <v>0</v>
      </c>
    </row>
    <row r="8" spans="1:12">
      <c r="A8" s="139">
        <v>10</v>
      </c>
      <c r="B8" s="139" t="s">
        <v>2736</v>
      </c>
      <c r="C8" s="139" t="s">
        <v>2743</v>
      </c>
      <c r="D8" s="140"/>
      <c r="E8" s="140" t="s">
        <v>556</v>
      </c>
      <c r="F8" s="139" t="s">
        <v>1558</v>
      </c>
      <c r="G8" s="143">
        <v>0</v>
      </c>
      <c r="H8" s="142">
        <v>0</v>
      </c>
      <c r="I8" s="139">
        <v>0</v>
      </c>
      <c r="J8" s="139">
        <v>0</v>
      </c>
    </row>
    <row r="9" spans="1:12" ht="15.75">
      <c r="D9" s="140"/>
      <c r="G9" s="143"/>
      <c r="I9" s="454">
        <f>SUM(I2:I8)</f>
        <v>-8713652.129999999</v>
      </c>
      <c r="J9" s="139">
        <f>SUM(J2:J8)</f>
        <v>-9076868.3000000007</v>
      </c>
      <c r="K9" s="139" t="s">
        <v>45</v>
      </c>
    </row>
    <row r="10" spans="1:12">
      <c r="D10" s="140"/>
      <c r="G10" s="143"/>
    </row>
    <row r="11" spans="1:12">
      <c r="D11" s="140"/>
      <c r="G11" s="143"/>
    </row>
    <row r="12" spans="1:12">
      <c r="A12" s="139">
        <v>31</v>
      </c>
      <c r="B12" s="139" t="s">
        <v>2845</v>
      </c>
      <c r="C12" s="139" t="s">
        <v>2846</v>
      </c>
      <c r="D12" s="140" t="s">
        <v>431</v>
      </c>
      <c r="E12" s="140" t="s">
        <v>628</v>
      </c>
      <c r="F12" s="139" t="s">
        <v>1565</v>
      </c>
      <c r="G12" s="143">
        <v>-10960.29</v>
      </c>
      <c r="H12" s="142">
        <v>-6879</v>
      </c>
      <c r="I12" s="160">
        <v>-11747.43</v>
      </c>
      <c r="J12" s="139">
        <v>-319</v>
      </c>
      <c r="K12" s="139">
        <v>-319</v>
      </c>
    </row>
    <row r="13" spans="1:12">
      <c r="A13" s="139">
        <v>65</v>
      </c>
      <c r="B13" s="139" t="s">
        <v>2845</v>
      </c>
      <c r="C13" s="139" t="s">
        <v>2900</v>
      </c>
      <c r="D13" s="140" t="s">
        <v>431</v>
      </c>
      <c r="E13" s="140" t="s">
        <v>1368</v>
      </c>
      <c r="F13" s="139" t="s">
        <v>1570</v>
      </c>
      <c r="G13" s="143">
        <v>-81850.44</v>
      </c>
      <c r="H13" s="142">
        <v>-85049</v>
      </c>
      <c r="I13" s="160">
        <v>-94387.76</v>
      </c>
      <c r="J13" s="139">
        <v>-106081</v>
      </c>
      <c r="K13" s="139">
        <v>-106081</v>
      </c>
    </row>
    <row r="14" spans="1:12" ht="15.75">
      <c r="D14" s="140"/>
      <c r="G14" s="143"/>
      <c r="I14" s="454">
        <f>SUM(I12:I13)</f>
        <v>-106135.19</v>
      </c>
      <c r="J14" s="139">
        <f>SUM(J12:J13)</f>
        <v>-106400</v>
      </c>
    </row>
    <row r="15" spans="1:12">
      <c r="D15" s="140"/>
      <c r="G15" s="143"/>
    </row>
    <row r="16" spans="1:12">
      <c r="A16" s="139">
        <v>66</v>
      </c>
      <c r="B16" s="139" t="s">
        <v>2845</v>
      </c>
      <c r="C16" s="139" t="s">
        <v>2906</v>
      </c>
      <c r="D16" s="140" t="s">
        <v>29</v>
      </c>
      <c r="E16" s="140" t="s">
        <v>2328</v>
      </c>
      <c r="F16" s="139" t="s">
        <v>1571</v>
      </c>
      <c r="G16" s="143">
        <v>-3910829.34</v>
      </c>
      <c r="H16" s="142">
        <v>-4348479</v>
      </c>
      <c r="I16" s="160">
        <v>-4232136.21</v>
      </c>
      <c r="J16" s="139">
        <v>-3335595</v>
      </c>
      <c r="K16" s="139">
        <v>-3335595</v>
      </c>
    </row>
    <row r="17" spans="1:11">
      <c r="D17" s="140"/>
      <c r="G17" s="143"/>
      <c r="I17" s="160"/>
      <c r="J17" s="160"/>
    </row>
    <row r="18" spans="1:11">
      <c r="D18" s="140"/>
      <c r="G18" s="143"/>
      <c r="I18" s="160"/>
      <c r="J18" s="160"/>
    </row>
    <row r="19" spans="1:11">
      <c r="A19" s="139">
        <v>81</v>
      </c>
      <c r="B19" s="139" t="s">
        <v>2845</v>
      </c>
      <c r="C19" s="139" t="s">
        <v>2910</v>
      </c>
      <c r="D19" s="140" t="s">
        <v>2971</v>
      </c>
      <c r="G19" s="143"/>
      <c r="J19" s="139">
        <v>-13100000</v>
      </c>
      <c r="K19" s="139">
        <v>-2500000</v>
      </c>
    </row>
    <row r="20" spans="1:11">
      <c r="A20" s="139">
        <v>81</v>
      </c>
      <c r="B20" s="139" t="s">
        <v>2845</v>
      </c>
      <c r="C20" s="139" t="s">
        <v>2911</v>
      </c>
      <c r="D20" s="140" t="s">
        <v>431</v>
      </c>
      <c r="E20" s="140" t="s">
        <v>1368</v>
      </c>
      <c r="F20" s="139" t="s">
        <v>1240</v>
      </c>
      <c r="G20" s="143">
        <v>-21728153.940000001</v>
      </c>
      <c r="H20" s="142">
        <v>-24840000</v>
      </c>
      <c r="I20" s="160">
        <v>-642677.78</v>
      </c>
      <c r="J20" s="139">
        <v>-2500000</v>
      </c>
      <c r="K20" s="139">
        <v>-13100000</v>
      </c>
    </row>
    <row r="21" spans="1:11">
      <c r="D21" s="140"/>
      <c r="G21" s="143"/>
    </row>
    <row r="22" spans="1:11">
      <c r="D22" s="140"/>
      <c r="G22" s="143"/>
    </row>
    <row r="23" spans="1:11">
      <c r="A23" s="139">
        <v>84</v>
      </c>
      <c r="B23" s="139" t="s">
        <v>2845</v>
      </c>
      <c r="C23" s="139" t="s">
        <v>2937</v>
      </c>
      <c r="D23" s="140" t="s">
        <v>1244</v>
      </c>
      <c r="E23" s="140" t="s">
        <v>1368</v>
      </c>
      <c r="F23" s="139" t="s">
        <v>1244</v>
      </c>
      <c r="G23" s="150">
        <v>-13128046.369999999</v>
      </c>
      <c r="H23" s="142">
        <v>-19448368</v>
      </c>
      <c r="I23" s="160">
        <v>-17210149.690000001</v>
      </c>
      <c r="J23" s="168">
        <v>-17635949</v>
      </c>
      <c r="K23" s="168">
        <v>-17635949</v>
      </c>
    </row>
    <row r="24" spans="1:11">
      <c r="A24" s="139">
        <v>84</v>
      </c>
      <c r="B24" s="139" t="s">
        <v>2845</v>
      </c>
      <c r="C24" s="139" t="s">
        <v>2938</v>
      </c>
      <c r="D24" s="140" t="s">
        <v>1244</v>
      </c>
      <c r="E24" s="140" t="s">
        <v>1368</v>
      </c>
      <c r="F24" s="139" t="s">
        <v>1244</v>
      </c>
      <c r="G24" s="150">
        <v>-190170.4</v>
      </c>
      <c r="H24" s="142">
        <v>-232290</v>
      </c>
      <c r="I24" s="160">
        <v>-233465.08</v>
      </c>
      <c r="J24" s="168">
        <v>-404974</v>
      </c>
      <c r="K24" s="139">
        <v>-404974</v>
      </c>
    </row>
    <row r="25" spans="1:11">
      <c r="A25" s="139">
        <v>84</v>
      </c>
      <c r="B25" s="139" t="s">
        <v>2845</v>
      </c>
      <c r="C25" s="139" t="s">
        <v>2939</v>
      </c>
      <c r="D25" s="140" t="s">
        <v>1244</v>
      </c>
      <c r="E25" s="140" t="s">
        <v>1368</v>
      </c>
      <c r="F25" s="139" t="s">
        <v>1244</v>
      </c>
      <c r="G25" s="150">
        <v>-66984.02</v>
      </c>
      <c r="H25" s="142">
        <v>-22136</v>
      </c>
      <c r="I25" s="160">
        <v>-156134.59</v>
      </c>
      <c r="J25" s="139">
        <v>-52748</v>
      </c>
      <c r="K25" s="139">
        <v>-52748</v>
      </c>
    </row>
    <row r="26" spans="1:11">
      <c r="A26" s="139">
        <v>84</v>
      </c>
      <c r="B26" s="139" t="s">
        <v>2845</v>
      </c>
      <c r="C26" s="139" t="s">
        <v>2940</v>
      </c>
      <c r="D26" s="140" t="s">
        <v>1244</v>
      </c>
      <c r="E26" s="140" t="s">
        <v>1368</v>
      </c>
      <c r="F26" s="139" t="s">
        <v>1244</v>
      </c>
      <c r="G26" s="150">
        <v>-7372369.5599999996</v>
      </c>
      <c r="H26" s="142">
        <v>-2476928</v>
      </c>
      <c r="I26" s="160">
        <f>-10426465.6-295466.29+169681.86</f>
        <v>-10552250.029999999</v>
      </c>
      <c r="J26" s="139">
        <v>-11015662</v>
      </c>
      <c r="K26" s="139">
        <v>-11015662</v>
      </c>
    </row>
    <row r="27" spans="1:11">
      <c r="A27" s="139">
        <v>84</v>
      </c>
      <c r="B27" s="139" t="s">
        <v>2845</v>
      </c>
      <c r="C27" s="139" t="s">
        <v>2941</v>
      </c>
      <c r="D27" s="140"/>
      <c r="G27" s="150"/>
      <c r="I27" s="160">
        <v>-682535</v>
      </c>
      <c r="J27" s="139">
        <v>-682535</v>
      </c>
      <c r="K27" s="139">
        <v>-682535</v>
      </c>
    </row>
    <row r="28" spans="1:11">
      <c r="A28" s="139">
        <v>84</v>
      </c>
      <c r="B28" s="139" t="s">
        <v>2845</v>
      </c>
      <c r="C28" s="139" t="s">
        <v>2942</v>
      </c>
      <c r="D28" s="140"/>
      <c r="G28" s="150"/>
      <c r="I28" s="160">
        <v>-366175</v>
      </c>
      <c r="J28" s="139">
        <v>-366175</v>
      </c>
      <c r="K28" s="139">
        <v>-366175</v>
      </c>
    </row>
    <row r="29" spans="1:11" ht="14.25" customHeight="1">
      <c r="A29" s="139">
        <v>84</v>
      </c>
      <c r="B29" s="440" t="s">
        <v>3350</v>
      </c>
      <c r="C29" s="440" t="s">
        <v>3351</v>
      </c>
      <c r="D29" s="140"/>
      <c r="G29" s="150"/>
      <c r="I29" s="160">
        <v>-231262.92</v>
      </c>
    </row>
    <row r="30" spans="1:11" ht="15.75">
      <c r="D30" s="140"/>
      <c r="G30" s="150"/>
      <c r="I30" s="454">
        <f>SUM(I23:I29)</f>
        <v>-29431972.310000002</v>
      </c>
      <c r="J30" s="139">
        <f>SUM(J23:J28)</f>
        <v>-30158043</v>
      </c>
    </row>
    <row r="31" spans="1:11">
      <c r="D31" s="140"/>
      <c r="G31" s="150"/>
    </row>
    <row r="32" spans="1:11">
      <c r="D32" s="140"/>
      <c r="G32" s="150"/>
    </row>
    <row r="33" spans="1:11">
      <c r="A33" s="139">
        <v>10</v>
      </c>
      <c r="B33" s="139" t="s">
        <v>2744</v>
      </c>
      <c r="C33" s="139" t="s">
        <v>2745</v>
      </c>
      <c r="D33" s="140"/>
      <c r="E33" s="140" t="s">
        <v>560</v>
      </c>
      <c r="F33" s="139" t="s">
        <v>1558</v>
      </c>
      <c r="G33" s="143">
        <v>0</v>
      </c>
      <c r="H33" s="142">
        <v>0</v>
      </c>
      <c r="I33" s="160">
        <v>-210885.9</v>
      </c>
      <c r="J33" s="139">
        <v>0</v>
      </c>
    </row>
    <row r="34" spans="1:11">
      <c r="A34" s="139">
        <v>10</v>
      </c>
      <c r="B34" s="139" t="s">
        <v>2744</v>
      </c>
      <c r="C34" s="139" t="s">
        <v>2746</v>
      </c>
      <c r="D34" s="140" t="s">
        <v>431</v>
      </c>
      <c r="E34" s="140" t="s">
        <v>2317</v>
      </c>
      <c r="F34" s="139" t="s">
        <v>1558</v>
      </c>
      <c r="G34" s="143">
        <v>-56950.080000000002</v>
      </c>
      <c r="H34" s="142">
        <v>0</v>
      </c>
      <c r="I34" s="139">
        <v>0</v>
      </c>
      <c r="J34" s="139">
        <v>0</v>
      </c>
    </row>
    <row r="35" spans="1:11" ht="15.75">
      <c r="D35" s="140"/>
      <c r="G35" s="143"/>
      <c r="I35" s="454">
        <f>SUM(I33:I34)</f>
        <v>-210885.9</v>
      </c>
      <c r="J35" s="139">
        <f>SUM(J33:J34)</f>
        <v>0</v>
      </c>
    </row>
    <row r="36" spans="1:11">
      <c r="D36" s="140"/>
      <c r="G36" s="143"/>
    </row>
    <row r="37" spans="1:11">
      <c r="A37" s="139">
        <v>64</v>
      </c>
      <c r="B37" s="139" t="s">
        <v>2893</v>
      </c>
      <c r="C37" s="139" t="s">
        <v>2894</v>
      </c>
      <c r="D37" s="140" t="s">
        <v>1179</v>
      </c>
      <c r="E37" s="140" t="s">
        <v>1147</v>
      </c>
      <c r="F37" s="139" t="s">
        <v>1569</v>
      </c>
      <c r="G37" s="143">
        <v>-32312.2</v>
      </c>
      <c r="H37" s="142">
        <v>-30324</v>
      </c>
      <c r="I37" s="139">
        <v>0</v>
      </c>
      <c r="J37" s="139">
        <v>-16951</v>
      </c>
      <c r="K37" s="139">
        <v>-16951</v>
      </c>
    </row>
    <row r="38" spans="1:11">
      <c r="A38" s="139">
        <v>81</v>
      </c>
      <c r="B38" s="139" t="s">
        <v>2893</v>
      </c>
      <c r="C38" s="139" t="s">
        <v>2894</v>
      </c>
      <c r="D38" s="140" t="s">
        <v>1179</v>
      </c>
      <c r="E38" s="140" t="s">
        <v>1147</v>
      </c>
      <c r="F38" s="139" t="s">
        <v>1573</v>
      </c>
      <c r="G38" s="143">
        <v>-154420.70000000001</v>
      </c>
      <c r="H38" s="142">
        <v>-140990</v>
      </c>
      <c r="I38" s="160">
        <f>-335067.5+150000</f>
        <v>-185067.5</v>
      </c>
      <c r="J38" s="139">
        <v>-8523</v>
      </c>
      <c r="K38" s="139">
        <v>-8523</v>
      </c>
    </row>
    <row r="39" spans="1:11">
      <c r="A39" s="139">
        <v>82</v>
      </c>
      <c r="B39" s="139" t="s">
        <v>2893</v>
      </c>
      <c r="C39" s="139" t="s">
        <v>2919</v>
      </c>
      <c r="D39" s="140" t="s">
        <v>1179</v>
      </c>
      <c r="E39" s="140" t="s">
        <v>1147</v>
      </c>
      <c r="F39" s="139" t="s">
        <v>1574</v>
      </c>
      <c r="G39" s="143">
        <v>-4908</v>
      </c>
      <c r="H39" s="142">
        <v>-5784</v>
      </c>
      <c r="I39" s="160">
        <v>-18244.04</v>
      </c>
      <c r="J39" s="139">
        <v>-11950</v>
      </c>
      <c r="K39" s="139">
        <v>-11950</v>
      </c>
    </row>
    <row r="40" spans="1:11" ht="15.75">
      <c r="D40" s="140"/>
      <c r="G40" s="143"/>
      <c r="I40" s="454">
        <f>SUM(I37:I39)</f>
        <v>-203311.54</v>
      </c>
      <c r="J40" s="139">
        <f>SUM(J37:J39)</f>
        <v>-37424</v>
      </c>
    </row>
    <row r="41" spans="1:11">
      <c r="D41" s="140"/>
      <c r="G41" s="143"/>
    </row>
    <row r="42" spans="1:11" s="158" customFormat="1">
      <c r="A42" s="158">
        <v>50</v>
      </c>
      <c r="B42" s="158" t="s">
        <v>2854</v>
      </c>
      <c r="C42" s="158" t="s">
        <v>2855</v>
      </c>
      <c r="D42" s="449" t="s">
        <v>23</v>
      </c>
      <c r="E42" s="449" t="s">
        <v>221</v>
      </c>
      <c r="F42" s="158" t="s">
        <v>1567</v>
      </c>
      <c r="G42" s="450">
        <f>-552487.3+3442.8</f>
        <v>-549044.5</v>
      </c>
      <c r="H42" s="451">
        <v>0</v>
      </c>
      <c r="I42" s="452">
        <v>-259851.12</v>
      </c>
      <c r="J42" s="158">
        <v>-208145</v>
      </c>
      <c r="K42" s="158">
        <v>-208145</v>
      </c>
    </row>
    <row r="43" spans="1:11">
      <c r="D43" s="140"/>
      <c r="G43" s="143"/>
    </row>
    <row r="44" spans="1:11">
      <c r="D44" s="140"/>
      <c r="G44" s="143"/>
    </row>
    <row r="45" spans="1:11" s="158" customFormat="1">
      <c r="A45" s="158">
        <v>50</v>
      </c>
      <c r="B45" s="158" t="s">
        <v>2856</v>
      </c>
      <c r="C45" s="158" t="s">
        <v>2857</v>
      </c>
      <c r="D45" s="449" t="s">
        <v>24</v>
      </c>
      <c r="E45" s="449" t="s">
        <v>221</v>
      </c>
      <c r="F45" s="158" t="s">
        <v>1567</v>
      </c>
      <c r="G45" s="450">
        <f>-1044067.71-3442.8</f>
        <v>-1047510.51</v>
      </c>
      <c r="H45" s="451">
        <v>-931514</v>
      </c>
      <c r="I45" s="452">
        <v>-1212566.07</v>
      </c>
      <c r="J45" s="158">
        <v>-1352669</v>
      </c>
      <c r="K45" s="158">
        <v>-1352669</v>
      </c>
    </row>
    <row r="46" spans="1:11">
      <c r="D46" s="140"/>
      <c r="G46" s="143"/>
    </row>
    <row r="47" spans="1:11">
      <c r="D47" s="140"/>
      <c r="G47" s="143"/>
    </row>
    <row r="48" spans="1:11">
      <c r="A48" s="139">
        <v>10</v>
      </c>
      <c r="B48" s="139" t="s">
        <v>2747</v>
      </c>
      <c r="C48" s="139" t="s">
        <v>2748</v>
      </c>
      <c r="D48" s="140"/>
      <c r="E48" s="140" t="s">
        <v>563</v>
      </c>
      <c r="F48" s="139" t="s">
        <v>1558</v>
      </c>
      <c r="G48" s="143">
        <v>0</v>
      </c>
      <c r="H48" s="142">
        <v>0</v>
      </c>
      <c r="I48" s="139">
        <v>0</v>
      </c>
      <c r="J48" s="139">
        <v>0</v>
      </c>
    </row>
    <row r="49" spans="1:11">
      <c r="A49" s="139">
        <v>100</v>
      </c>
      <c r="B49" s="139" t="s">
        <v>2747</v>
      </c>
      <c r="C49" s="139" t="s">
        <v>2954</v>
      </c>
      <c r="D49" s="140" t="s">
        <v>30</v>
      </c>
      <c r="E49" s="140" t="s">
        <v>1436</v>
      </c>
      <c r="F49" s="139" t="s">
        <v>1579</v>
      </c>
      <c r="G49" s="143">
        <v>-2200014.21</v>
      </c>
      <c r="H49" s="142">
        <v>-960000</v>
      </c>
      <c r="I49" s="160">
        <v>-2281141.0499999998</v>
      </c>
      <c r="J49" s="139">
        <v>-1281055</v>
      </c>
      <c r="K49" s="139">
        <v>-1281055</v>
      </c>
    </row>
    <row r="50" spans="1:11" ht="15.75">
      <c r="D50" s="140"/>
      <c r="G50" s="143"/>
      <c r="I50" s="454">
        <f>SUM(I48:I49)</f>
        <v>-2281141.0499999998</v>
      </c>
      <c r="J50" s="139">
        <f>SUM(J48:J49)</f>
        <v>-1281055</v>
      </c>
    </row>
    <row r="51" spans="1:11">
      <c r="D51" s="140"/>
      <c r="G51" s="143"/>
    </row>
    <row r="52" spans="1:11">
      <c r="A52" s="139">
        <v>10</v>
      </c>
      <c r="B52" s="139" t="s">
        <v>2749</v>
      </c>
      <c r="C52" s="139" t="s">
        <v>2750</v>
      </c>
      <c r="D52" s="140" t="s">
        <v>22</v>
      </c>
      <c r="E52" s="140" t="s">
        <v>565</v>
      </c>
      <c r="F52" s="139" t="s">
        <v>1558</v>
      </c>
      <c r="G52" s="143">
        <v>-985502.46</v>
      </c>
      <c r="H52" s="142">
        <v>0</v>
      </c>
      <c r="I52" s="139">
        <f>-1149775.8+1149775.8</f>
        <v>0</v>
      </c>
      <c r="J52" s="139">
        <v>-3766689</v>
      </c>
      <c r="K52" s="139">
        <v>-3766689</v>
      </c>
    </row>
    <row r="53" spans="1:11">
      <c r="A53" s="139">
        <v>50</v>
      </c>
      <c r="B53" s="139" t="s">
        <v>2749</v>
      </c>
      <c r="C53" s="139" t="s">
        <v>2858</v>
      </c>
      <c r="D53" s="140" t="s">
        <v>25</v>
      </c>
      <c r="E53" s="140" t="s">
        <v>191</v>
      </c>
      <c r="F53" s="139" t="s">
        <v>1567</v>
      </c>
      <c r="G53" s="143">
        <v>-25302.05</v>
      </c>
      <c r="H53" s="142">
        <v>-30020</v>
      </c>
      <c r="I53" s="160">
        <v>-17415.57</v>
      </c>
      <c r="J53" s="139">
        <v>-100997</v>
      </c>
      <c r="K53" s="139">
        <v>-100997</v>
      </c>
    </row>
    <row r="54" spans="1:11">
      <c r="D54" s="140"/>
      <c r="G54" s="143"/>
    </row>
    <row r="55" spans="1:11">
      <c r="D55" s="140"/>
      <c r="G55" s="143"/>
    </row>
    <row r="56" spans="1:11">
      <c r="A56" s="139">
        <v>81</v>
      </c>
      <c r="B56" s="139" t="s">
        <v>2749</v>
      </c>
      <c r="C56" s="139" t="s">
        <v>2912</v>
      </c>
      <c r="D56" s="140" t="s">
        <v>25</v>
      </c>
      <c r="E56" s="140" t="s">
        <v>2710</v>
      </c>
      <c r="F56" s="139" t="s">
        <v>1573</v>
      </c>
      <c r="G56" s="143">
        <v>-78426.62</v>
      </c>
      <c r="H56" s="142">
        <v>-58806</v>
      </c>
      <c r="I56" s="160">
        <v>-71235.63</v>
      </c>
      <c r="J56" s="139">
        <v>-47241</v>
      </c>
      <c r="K56" s="139">
        <v>-47241</v>
      </c>
    </row>
    <row r="57" spans="1:11">
      <c r="D57" s="140"/>
      <c r="G57" s="143"/>
    </row>
    <row r="58" spans="1:11">
      <c r="D58" s="140"/>
      <c r="G58" s="143"/>
    </row>
    <row r="59" spans="1:11">
      <c r="A59" s="139">
        <v>100</v>
      </c>
      <c r="B59" s="139" t="s">
        <v>2749</v>
      </c>
      <c r="C59" s="139" t="s">
        <v>2955</v>
      </c>
      <c r="D59" s="140" t="s">
        <v>31</v>
      </c>
      <c r="E59" s="140" t="s">
        <v>1235</v>
      </c>
      <c r="F59" s="139" t="s">
        <v>1579</v>
      </c>
      <c r="G59" s="143">
        <v>-828950</v>
      </c>
      <c r="H59" s="142">
        <v>-1800000</v>
      </c>
      <c r="I59" s="160">
        <v>-445740</v>
      </c>
      <c r="J59" s="139">
        <v>-349686</v>
      </c>
      <c r="K59" s="139">
        <v>-349686</v>
      </c>
    </row>
    <row r="60" spans="1:11">
      <c r="D60" s="140"/>
      <c r="G60" s="143"/>
    </row>
    <row r="61" spans="1:11">
      <c r="D61" s="140"/>
      <c r="G61" s="143"/>
    </row>
    <row r="62" spans="1:11" s="158" customFormat="1">
      <c r="A62" s="158">
        <v>10</v>
      </c>
      <c r="B62" s="158" t="s">
        <v>2751</v>
      </c>
      <c r="C62" s="158" t="s">
        <v>2752</v>
      </c>
      <c r="D62" s="449" t="s">
        <v>1730</v>
      </c>
      <c r="E62" s="449" t="s">
        <v>568</v>
      </c>
      <c r="F62" s="158" t="s">
        <v>1558</v>
      </c>
      <c r="G62" s="450">
        <v>-477000</v>
      </c>
      <c r="H62" s="451">
        <v>-477000</v>
      </c>
      <c r="I62" s="452">
        <v>-757352.56</v>
      </c>
      <c r="J62" s="158">
        <v>-543000</v>
      </c>
      <c r="K62" s="158">
        <v>-543000</v>
      </c>
    </row>
    <row r="63" spans="1:11">
      <c r="A63" s="139">
        <v>25</v>
      </c>
      <c r="B63" s="139" t="s">
        <v>2751</v>
      </c>
      <c r="C63" s="139" t="s">
        <v>2752</v>
      </c>
      <c r="D63" s="140" t="s">
        <v>32</v>
      </c>
      <c r="E63" s="140" t="s">
        <v>568</v>
      </c>
      <c r="F63" s="139" t="s">
        <v>1562</v>
      </c>
      <c r="G63" s="143">
        <v>-567000</v>
      </c>
      <c r="H63" s="142">
        <v>0</v>
      </c>
      <c r="I63" s="160">
        <v>-333000</v>
      </c>
      <c r="J63" s="139">
        <v>0</v>
      </c>
      <c r="K63" s="139" t="s">
        <v>45</v>
      </c>
    </row>
    <row r="64" spans="1:11">
      <c r="A64" s="139">
        <v>50</v>
      </c>
      <c r="B64" s="139" t="s">
        <v>2751</v>
      </c>
      <c r="C64" s="139" t="s">
        <v>2859</v>
      </c>
      <c r="D64" s="140" t="s">
        <v>27</v>
      </c>
      <c r="G64" s="143"/>
      <c r="I64" s="160">
        <v>-1250000</v>
      </c>
      <c r="J64" s="139">
        <v>-1250000</v>
      </c>
      <c r="K64" s="139">
        <v>-1250000</v>
      </c>
    </row>
    <row r="65" spans="1:11">
      <c r="A65" s="139">
        <v>50</v>
      </c>
      <c r="B65" s="139" t="s">
        <v>2751</v>
      </c>
      <c r="C65" s="139" t="s">
        <v>2752</v>
      </c>
      <c r="D65" s="140" t="s">
        <v>26</v>
      </c>
      <c r="E65" s="140" t="s">
        <v>224</v>
      </c>
      <c r="F65" s="139" t="s">
        <v>1567</v>
      </c>
      <c r="G65" s="143">
        <v>-10665512</v>
      </c>
      <c r="H65" s="142">
        <v>-10665000</v>
      </c>
      <c r="I65" s="160">
        <v>-14647254</v>
      </c>
      <c r="J65" s="139">
        <v>-14647254</v>
      </c>
      <c r="K65" s="139">
        <v>-14647254</v>
      </c>
    </row>
    <row r="66" spans="1:11">
      <c r="A66" s="139">
        <v>52</v>
      </c>
      <c r="B66" s="139" t="s">
        <v>2751</v>
      </c>
      <c r="C66" s="139" t="s">
        <v>2879</v>
      </c>
      <c r="D66" s="140" t="s">
        <v>27</v>
      </c>
      <c r="E66" s="140" t="s">
        <v>1021</v>
      </c>
      <c r="F66" s="139" t="s">
        <v>1568</v>
      </c>
      <c r="G66" s="143">
        <v>-500000</v>
      </c>
      <c r="H66" s="142">
        <v>-500000</v>
      </c>
      <c r="I66" s="139">
        <v>0</v>
      </c>
      <c r="J66" s="139">
        <v>0</v>
      </c>
      <c r="K66" s="139">
        <v>0</v>
      </c>
    </row>
    <row r="67" spans="1:11">
      <c r="A67" s="139">
        <v>52</v>
      </c>
      <c r="B67" s="139" t="s">
        <v>2751</v>
      </c>
      <c r="C67" s="139" t="s">
        <v>2880</v>
      </c>
      <c r="D67" s="140" t="s">
        <v>28</v>
      </c>
      <c r="E67" s="140" t="s">
        <v>568</v>
      </c>
      <c r="F67" s="139" t="s">
        <v>1568</v>
      </c>
      <c r="G67" s="143">
        <v>-734000</v>
      </c>
      <c r="H67" s="142">
        <v>-734000</v>
      </c>
      <c r="I67" s="160">
        <v>-735000</v>
      </c>
      <c r="J67" s="139">
        <v>-735000</v>
      </c>
      <c r="K67" s="139">
        <v>-735000</v>
      </c>
    </row>
    <row r="68" spans="1:11">
      <c r="A68" s="139">
        <v>65</v>
      </c>
      <c r="B68" s="139" t="s">
        <v>2751</v>
      </c>
      <c r="C68" s="139" t="s">
        <v>2752</v>
      </c>
      <c r="D68" s="140" t="s">
        <v>1730</v>
      </c>
      <c r="E68" s="140" t="s">
        <v>2707</v>
      </c>
      <c r="F68" s="139" t="s">
        <v>1570</v>
      </c>
      <c r="G68" s="143">
        <v>-556645.17000000004</v>
      </c>
      <c r="H68" s="142">
        <v>0</v>
      </c>
      <c r="I68" s="139">
        <v>0</v>
      </c>
      <c r="J68" s="139">
        <v>-1500000</v>
      </c>
      <c r="K68" s="139">
        <v>-1500000</v>
      </c>
    </row>
    <row r="69" spans="1:11">
      <c r="A69" s="139">
        <v>81</v>
      </c>
      <c r="B69" s="139" t="s">
        <v>2751</v>
      </c>
      <c r="C69" s="139" t="s">
        <v>2913</v>
      </c>
      <c r="D69" s="140" t="s">
        <v>1730</v>
      </c>
      <c r="E69" s="140" t="s">
        <v>1384</v>
      </c>
      <c r="F69" s="139" t="s">
        <v>1573</v>
      </c>
      <c r="G69" s="143">
        <v>-836645</v>
      </c>
      <c r="H69" s="142">
        <v>0</v>
      </c>
      <c r="I69" s="139">
        <v>0</v>
      </c>
      <c r="J69" s="139">
        <v>-409000</v>
      </c>
      <c r="K69" s="139">
        <v>-409000</v>
      </c>
    </row>
    <row r="70" spans="1:11">
      <c r="A70" s="139">
        <v>81</v>
      </c>
      <c r="B70" s="139" t="s">
        <v>2751</v>
      </c>
      <c r="C70" s="139" t="s">
        <v>2914</v>
      </c>
      <c r="D70" s="140" t="s">
        <v>1730</v>
      </c>
      <c r="E70" s="140" t="s">
        <v>2567</v>
      </c>
      <c r="F70" s="139" t="s">
        <v>1573</v>
      </c>
      <c r="G70" s="143">
        <v>-650000</v>
      </c>
      <c r="H70" s="142">
        <v>0</v>
      </c>
      <c r="I70" s="139">
        <v>0</v>
      </c>
      <c r="J70" s="139">
        <v>0</v>
      </c>
    </row>
    <row r="71" spans="1:11" ht="15.75">
      <c r="D71" s="140"/>
      <c r="G71" s="143"/>
      <c r="I71" s="454">
        <f>SUM(I62:I70)</f>
        <v>-17722606.559999999</v>
      </c>
      <c r="J71" s="139">
        <f>SUM(J62:J70)</f>
        <v>-19084254</v>
      </c>
    </row>
    <row r="72" spans="1:11">
      <c r="D72" s="140"/>
      <c r="G72" s="143"/>
    </row>
    <row r="73" spans="1:11">
      <c r="A73" s="139">
        <v>82</v>
      </c>
      <c r="B73" s="139" t="s">
        <v>2751</v>
      </c>
      <c r="C73" s="139" t="s">
        <v>2920</v>
      </c>
      <c r="D73" s="140"/>
      <c r="E73" s="140" t="s">
        <v>614</v>
      </c>
      <c r="F73" s="139" t="s">
        <v>1574</v>
      </c>
      <c r="G73" s="143">
        <v>0</v>
      </c>
      <c r="H73" s="142">
        <v>0</v>
      </c>
      <c r="I73" s="160">
        <v>-4466868.22</v>
      </c>
      <c r="J73" s="139">
        <v>-5400000</v>
      </c>
      <c r="K73" s="139">
        <v>-5400000</v>
      </c>
    </row>
    <row r="74" spans="1:11">
      <c r="A74" s="139">
        <v>82</v>
      </c>
      <c r="B74" s="139" t="s">
        <v>2751</v>
      </c>
      <c r="C74" s="139" t="s">
        <v>2752</v>
      </c>
      <c r="D74" s="140"/>
      <c r="E74" s="140" t="s">
        <v>568</v>
      </c>
      <c r="F74" s="139" t="s">
        <v>1574</v>
      </c>
      <c r="G74" s="143">
        <v>0</v>
      </c>
      <c r="H74" s="142">
        <v>0</v>
      </c>
      <c r="I74" s="139">
        <v>0</v>
      </c>
      <c r="J74" s="139">
        <v>0</v>
      </c>
      <c r="K74" s="139">
        <v>0</v>
      </c>
    </row>
    <row r="75" spans="1:11">
      <c r="A75" s="139">
        <v>82</v>
      </c>
      <c r="B75" s="139" t="s">
        <v>2751</v>
      </c>
      <c r="C75" s="139" t="s">
        <v>2880</v>
      </c>
      <c r="D75" s="140"/>
      <c r="E75" s="140" t="s">
        <v>568</v>
      </c>
      <c r="F75" s="139" t="s">
        <v>1574</v>
      </c>
      <c r="G75" s="143">
        <v>0</v>
      </c>
      <c r="H75" s="142">
        <v>0</v>
      </c>
      <c r="I75" s="139">
        <v>0</v>
      </c>
      <c r="J75" s="139">
        <v>0</v>
      </c>
      <c r="K75" s="139">
        <v>0</v>
      </c>
    </row>
    <row r="76" spans="1:11">
      <c r="A76" s="139">
        <v>84</v>
      </c>
      <c r="B76" s="139" t="s">
        <v>2751</v>
      </c>
      <c r="C76" s="139" t="s">
        <v>2913</v>
      </c>
      <c r="D76" s="140"/>
      <c r="G76" s="150"/>
      <c r="I76" s="160">
        <v>-3020000</v>
      </c>
      <c r="J76" s="139">
        <v>-2720000</v>
      </c>
      <c r="K76" s="139">
        <v>-2720000</v>
      </c>
    </row>
    <row r="77" spans="1:11" ht="15.75">
      <c r="D77" s="140"/>
      <c r="G77" s="150"/>
      <c r="I77" s="454">
        <f>SUM(I73:I76)</f>
        <v>-7486868.2199999997</v>
      </c>
      <c r="J77" s="139">
        <f>SUM(J73:J76)</f>
        <v>-8120000</v>
      </c>
    </row>
    <row r="78" spans="1:11">
      <c r="D78" s="140"/>
      <c r="G78" s="150"/>
    </row>
    <row r="79" spans="1:11">
      <c r="A79" s="139">
        <v>10</v>
      </c>
      <c r="B79" s="139" t="s">
        <v>2753</v>
      </c>
      <c r="C79" s="139" t="s">
        <v>2754</v>
      </c>
      <c r="D79" s="140"/>
      <c r="E79" s="140" t="s">
        <v>570</v>
      </c>
      <c r="F79" s="139" t="s">
        <v>1558</v>
      </c>
      <c r="G79" s="143">
        <v>0</v>
      </c>
      <c r="H79" s="142">
        <v>0</v>
      </c>
      <c r="I79" s="139">
        <v>0</v>
      </c>
      <c r="J79" s="139">
        <v>-1500000</v>
      </c>
      <c r="K79" s="139">
        <v>-1500000</v>
      </c>
    </row>
    <row r="80" spans="1:11">
      <c r="D80" s="140"/>
      <c r="G80" s="143"/>
    </row>
    <row r="81" spans="1:12" s="158" customFormat="1">
      <c r="A81" s="158">
        <v>82</v>
      </c>
      <c r="B81" s="453" t="s">
        <v>3334</v>
      </c>
      <c r="C81" s="453" t="s">
        <v>3155</v>
      </c>
      <c r="D81" s="449"/>
      <c r="E81" s="449"/>
      <c r="G81" s="450"/>
      <c r="H81" s="451"/>
      <c r="I81" s="158">
        <f>-92821316-241950+64776</f>
        <v>-92998490</v>
      </c>
    </row>
    <row r="82" spans="1:12">
      <c r="D82" s="140"/>
      <c r="G82" s="143"/>
      <c r="I82" s="480"/>
    </row>
    <row r="83" spans="1:12">
      <c r="A83" s="168">
        <v>10</v>
      </c>
      <c r="B83" s="168" t="s">
        <v>2755</v>
      </c>
      <c r="C83" s="168" t="s">
        <v>2756</v>
      </c>
      <c r="D83" s="455" t="s">
        <v>1549</v>
      </c>
      <c r="E83" s="455" t="s">
        <v>572</v>
      </c>
      <c r="F83" s="168" t="s">
        <v>1558</v>
      </c>
      <c r="G83" s="150">
        <v>715.28</v>
      </c>
      <c r="H83" s="456">
        <v>4500</v>
      </c>
      <c r="I83" s="168">
        <v>0</v>
      </c>
      <c r="J83" s="168">
        <v>0</v>
      </c>
      <c r="K83" s="168"/>
      <c r="L83" s="168">
        <v>0</v>
      </c>
    </row>
    <row r="84" spans="1:12">
      <c r="A84" s="168">
        <v>10</v>
      </c>
      <c r="B84" s="168" t="s">
        <v>2755</v>
      </c>
      <c r="C84" s="168" t="s">
        <v>2757</v>
      </c>
      <c r="D84" s="455" t="s">
        <v>1549</v>
      </c>
      <c r="E84" s="455" t="s">
        <v>2321</v>
      </c>
      <c r="F84" s="168" t="s">
        <v>1558</v>
      </c>
      <c r="G84" s="150">
        <v>13852</v>
      </c>
      <c r="H84" s="456">
        <v>13908</v>
      </c>
      <c r="I84" s="160">
        <v>33350</v>
      </c>
      <c r="J84" s="168">
        <v>33350</v>
      </c>
      <c r="K84" s="168"/>
      <c r="L84" s="168">
        <v>33350</v>
      </c>
    </row>
    <row r="85" spans="1:12">
      <c r="A85" s="168"/>
      <c r="B85" s="168"/>
      <c r="C85" s="168"/>
      <c r="D85" s="455"/>
      <c r="E85" s="455"/>
      <c r="F85" s="168"/>
      <c r="G85" s="150"/>
      <c r="H85" s="456"/>
      <c r="I85" s="168"/>
      <c r="J85" s="168"/>
      <c r="K85" s="168"/>
      <c r="L85" s="168"/>
    </row>
    <row r="86" spans="1:12">
      <c r="A86" s="168"/>
      <c r="B86" s="168"/>
      <c r="C86" s="168"/>
      <c r="D86" s="455"/>
      <c r="E86" s="455"/>
      <c r="F86" s="168"/>
      <c r="G86" s="150"/>
      <c r="H86" s="456"/>
      <c r="I86" s="168"/>
      <c r="J86" s="168"/>
      <c r="K86" s="168"/>
      <c r="L86" s="168"/>
    </row>
    <row r="87" spans="1:12">
      <c r="A87" s="168">
        <v>20</v>
      </c>
      <c r="B87" s="168" t="s">
        <v>2755</v>
      </c>
      <c r="C87" s="168" t="s">
        <v>2825</v>
      </c>
      <c r="D87" s="455" t="s">
        <v>1549</v>
      </c>
      <c r="E87" s="455" t="s">
        <v>75</v>
      </c>
      <c r="F87" s="168" t="s">
        <v>1559</v>
      </c>
      <c r="G87" s="150">
        <v>1204157.06</v>
      </c>
      <c r="H87" s="456">
        <v>1398564</v>
      </c>
      <c r="I87" s="160">
        <v>1260311.5900000001</v>
      </c>
      <c r="J87" s="168">
        <v>1260312</v>
      </c>
      <c r="K87" s="168"/>
      <c r="L87" s="168">
        <v>1260312</v>
      </c>
    </row>
    <row r="88" spans="1:12">
      <c r="A88" s="168">
        <v>20</v>
      </c>
      <c r="B88" s="168" t="s">
        <v>2755</v>
      </c>
      <c r="C88" s="168" t="s">
        <v>2826</v>
      </c>
      <c r="D88" s="455" t="s">
        <v>1549</v>
      </c>
      <c r="E88" s="455" t="s">
        <v>77</v>
      </c>
      <c r="F88" s="168" t="s">
        <v>1559</v>
      </c>
      <c r="G88" s="150">
        <v>184489.53</v>
      </c>
      <c r="H88" s="456">
        <v>185000</v>
      </c>
      <c r="I88" s="160">
        <v>273364.32</v>
      </c>
      <c r="J88" s="168">
        <v>273364</v>
      </c>
      <c r="K88" s="168"/>
      <c r="L88" s="168">
        <v>273364</v>
      </c>
    </row>
    <row r="89" spans="1:12">
      <c r="A89" s="168">
        <v>20</v>
      </c>
      <c r="B89" s="168" t="s">
        <v>2755</v>
      </c>
      <c r="C89" s="168" t="s">
        <v>2827</v>
      </c>
      <c r="D89" s="455" t="s">
        <v>1549</v>
      </c>
      <c r="E89" s="455" t="s">
        <v>60</v>
      </c>
      <c r="F89" s="168" t="s">
        <v>1559</v>
      </c>
      <c r="G89" s="150">
        <v>111352.29</v>
      </c>
      <c r="H89" s="456">
        <v>147000</v>
      </c>
      <c r="I89" s="160">
        <v>87438.53</v>
      </c>
      <c r="J89" s="168">
        <v>87439</v>
      </c>
      <c r="K89" s="168"/>
      <c r="L89" s="168">
        <v>87439</v>
      </c>
    </row>
    <row r="90" spans="1:12">
      <c r="A90" s="168">
        <v>20</v>
      </c>
      <c r="B90" s="168" t="s">
        <v>2755</v>
      </c>
      <c r="C90" s="168" t="s">
        <v>2828</v>
      </c>
      <c r="D90" s="455" t="s">
        <v>1549</v>
      </c>
      <c r="E90" s="455" t="s">
        <v>515</v>
      </c>
      <c r="F90" s="168" t="s">
        <v>1559</v>
      </c>
      <c r="G90" s="150">
        <v>136926.10999999999</v>
      </c>
      <c r="H90" s="456">
        <v>137000</v>
      </c>
      <c r="I90" s="160">
        <v>86039.2</v>
      </c>
      <c r="J90" s="168">
        <v>86040</v>
      </c>
      <c r="K90" s="168"/>
      <c r="L90" s="168">
        <v>86040</v>
      </c>
    </row>
    <row r="91" spans="1:12">
      <c r="A91" s="168">
        <v>20</v>
      </c>
      <c r="B91" s="168" t="s">
        <v>2755</v>
      </c>
      <c r="C91" s="168" t="s">
        <v>2829</v>
      </c>
      <c r="D91" s="455" t="s">
        <v>1549</v>
      </c>
      <c r="E91" s="455" t="s">
        <v>660</v>
      </c>
      <c r="F91" s="168" t="s">
        <v>1559</v>
      </c>
      <c r="G91" s="150">
        <v>0</v>
      </c>
      <c r="H91" s="456">
        <v>0</v>
      </c>
      <c r="I91" s="160">
        <v>0</v>
      </c>
      <c r="J91" s="168">
        <v>0</v>
      </c>
      <c r="K91" s="168"/>
      <c r="L91" s="168">
        <v>0</v>
      </c>
    </row>
    <row r="92" spans="1:12">
      <c r="A92" s="168">
        <v>20</v>
      </c>
      <c r="B92" s="168" t="s">
        <v>2755</v>
      </c>
      <c r="C92" s="168" t="s">
        <v>2830</v>
      </c>
      <c r="D92" s="455" t="s">
        <v>1549</v>
      </c>
      <c r="E92" s="455" t="s">
        <v>767</v>
      </c>
      <c r="F92" s="168" t="s">
        <v>1559</v>
      </c>
      <c r="G92" s="150">
        <v>7051.32</v>
      </c>
      <c r="H92" s="456">
        <v>7087</v>
      </c>
      <c r="I92" s="160">
        <v>4712</v>
      </c>
      <c r="J92" s="168">
        <v>4712</v>
      </c>
      <c r="K92" s="168"/>
      <c r="L92" s="168">
        <v>4712</v>
      </c>
    </row>
    <row r="93" spans="1:12">
      <c r="A93" s="168">
        <v>20</v>
      </c>
      <c r="B93" s="168" t="s">
        <v>2755</v>
      </c>
      <c r="C93" s="168" t="s">
        <v>2831</v>
      </c>
      <c r="D93" s="455" t="s">
        <v>1549</v>
      </c>
      <c r="E93" s="455" t="s">
        <v>84</v>
      </c>
      <c r="F93" s="168" t="s">
        <v>1559</v>
      </c>
      <c r="G93" s="150">
        <v>202494.53</v>
      </c>
      <c r="H93" s="456">
        <v>202500</v>
      </c>
      <c r="I93" s="160">
        <v>220467.89</v>
      </c>
      <c r="J93" s="168">
        <v>220467</v>
      </c>
      <c r="K93" s="168"/>
      <c r="L93" s="168">
        <v>220467</v>
      </c>
    </row>
    <row r="94" spans="1:12">
      <c r="A94" s="168">
        <v>20</v>
      </c>
      <c r="B94" s="168" t="s">
        <v>2755</v>
      </c>
      <c r="C94" s="168" t="s">
        <v>2756</v>
      </c>
      <c r="D94" s="455" t="s">
        <v>1549</v>
      </c>
      <c r="E94" s="455" t="s">
        <v>86</v>
      </c>
      <c r="F94" s="168" t="s">
        <v>1559</v>
      </c>
      <c r="G94" s="150">
        <v>0</v>
      </c>
      <c r="H94" s="456">
        <v>0</v>
      </c>
      <c r="I94" s="160">
        <v>594447.66</v>
      </c>
      <c r="J94" s="168">
        <v>594447</v>
      </c>
      <c r="K94" s="168"/>
      <c r="L94" s="168">
        <v>594447</v>
      </c>
    </row>
    <row r="95" spans="1:12">
      <c r="A95" s="168">
        <v>21</v>
      </c>
      <c r="B95" s="168" t="s">
        <v>2755</v>
      </c>
      <c r="C95" s="168" t="s">
        <v>2825</v>
      </c>
      <c r="D95" s="455" t="s">
        <v>1549</v>
      </c>
      <c r="E95" s="455" t="s">
        <v>75</v>
      </c>
      <c r="F95" s="168" t="s">
        <v>1560</v>
      </c>
      <c r="G95" s="150">
        <v>0</v>
      </c>
      <c r="H95" s="456">
        <v>0</v>
      </c>
      <c r="I95" s="160">
        <v>0</v>
      </c>
      <c r="J95" s="168">
        <v>0</v>
      </c>
      <c r="K95" s="168"/>
      <c r="L95" s="168">
        <v>0</v>
      </c>
    </row>
    <row r="96" spans="1:12">
      <c r="A96" s="168">
        <v>21</v>
      </c>
      <c r="B96" s="168" t="s">
        <v>2755</v>
      </c>
      <c r="C96" s="168" t="s">
        <v>2827</v>
      </c>
      <c r="D96" s="455" t="s">
        <v>1549</v>
      </c>
      <c r="E96" s="455" t="s">
        <v>60</v>
      </c>
      <c r="F96" s="168" t="s">
        <v>1560</v>
      </c>
      <c r="G96" s="150">
        <v>0</v>
      </c>
      <c r="H96" s="456">
        <v>0</v>
      </c>
      <c r="I96" s="160">
        <v>0</v>
      </c>
      <c r="J96" s="168">
        <v>0</v>
      </c>
      <c r="K96" s="168"/>
      <c r="L96" s="168">
        <v>0</v>
      </c>
    </row>
    <row r="97" spans="1:12">
      <c r="A97" s="168">
        <v>21</v>
      </c>
      <c r="B97" s="168" t="s">
        <v>2755</v>
      </c>
      <c r="C97" s="168" t="s">
        <v>2830</v>
      </c>
      <c r="D97" s="455" t="s">
        <v>1549</v>
      </c>
      <c r="E97" s="455" t="s">
        <v>767</v>
      </c>
      <c r="F97" s="168" t="s">
        <v>1560</v>
      </c>
      <c r="G97" s="150">
        <v>0</v>
      </c>
      <c r="H97" s="456">
        <v>0</v>
      </c>
      <c r="I97" s="160">
        <v>0</v>
      </c>
      <c r="J97" s="168">
        <v>0</v>
      </c>
      <c r="K97" s="168"/>
      <c r="L97" s="168">
        <v>0</v>
      </c>
    </row>
    <row r="98" spans="1:12">
      <c r="A98" s="168">
        <v>21</v>
      </c>
      <c r="B98" s="168" t="s">
        <v>2755</v>
      </c>
      <c r="C98" s="168" t="s">
        <v>2831</v>
      </c>
      <c r="D98" s="455" t="s">
        <v>1549</v>
      </c>
      <c r="E98" s="455" t="s">
        <v>84</v>
      </c>
      <c r="F98" s="168" t="s">
        <v>1560</v>
      </c>
      <c r="G98" s="150">
        <v>0</v>
      </c>
      <c r="H98" s="456">
        <v>0</v>
      </c>
      <c r="I98" s="160">
        <v>0</v>
      </c>
      <c r="J98" s="168">
        <v>0</v>
      </c>
      <c r="K98" s="168"/>
      <c r="L98" s="168">
        <v>0</v>
      </c>
    </row>
    <row r="99" spans="1:12">
      <c r="A99" s="168">
        <v>22</v>
      </c>
      <c r="B99" s="168" t="s">
        <v>2755</v>
      </c>
      <c r="C99" s="168" t="s">
        <v>2825</v>
      </c>
      <c r="D99" s="455" t="s">
        <v>1549</v>
      </c>
      <c r="E99" s="455" t="s">
        <v>75</v>
      </c>
      <c r="F99" s="168" t="s">
        <v>1561</v>
      </c>
      <c r="G99" s="150">
        <v>0</v>
      </c>
      <c r="H99" s="456">
        <v>49000</v>
      </c>
      <c r="I99" s="160">
        <v>0</v>
      </c>
      <c r="J99" s="168">
        <v>0</v>
      </c>
      <c r="K99" s="168"/>
      <c r="L99" s="168">
        <v>0</v>
      </c>
    </row>
    <row r="100" spans="1:12">
      <c r="A100" s="168">
        <v>22</v>
      </c>
      <c r="B100" s="168" t="s">
        <v>2755</v>
      </c>
      <c r="C100" s="168" t="s">
        <v>2827</v>
      </c>
      <c r="D100" s="455" t="s">
        <v>1549</v>
      </c>
      <c r="E100" s="455" t="s">
        <v>60</v>
      </c>
      <c r="F100" s="168" t="s">
        <v>1561</v>
      </c>
      <c r="G100" s="150">
        <v>0</v>
      </c>
      <c r="H100" s="456">
        <v>0</v>
      </c>
      <c r="I100" s="160">
        <v>0</v>
      </c>
      <c r="J100" s="168">
        <v>0</v>
      </c>
      <c r="K100" s="168"/>
      <c r="L100" s="168">
        <v>0</v>
      </c>
    </row>
    <row r="101" spans="1:12">
      <c r="A101" s="168">
        <v>22</v>
      </c>
      <c r="B101" s="168" t="s">
        <v>2755</v>
      </c>
      <c r="C101" s="168" t="s">
        <v>2831</v>
      </c>
      <c r="D101" s="455" t="s">
        <v>1549</v>
      </c>
      <c r="E101" s="455" t="s">
        <v>84</v>
      </c>
      <c r="F101" s="168" t="s">
        <v>1561</v>
      </c>
      <c r="G101" s="150">
        <v>0</v>
      </c>
      <c r="H101" s="456">
        <v>18000</v>
      </c>
      <c r="I101" s="160">
        <v>0</v>
      </c>
      <c r="J101" s="168">
        <v>0</v>
      </c>
      <c r="K101" s="168"/>
      <c r="L101" s="168">
        <v>0</v>
      </c>
    </row>
    <row r="102" spans="1:12">
      <c r="A102" s="168">
        <v>27</v>
      </c>
      <c r="B102" s="168" t="s">
        <v>2755</v>
      </c>
      <c r="C102" s="168" t="s">
        <v>2825</v>
      </c>
      <c r="D102" s="455" t="s">
        <v>1549</v>
      </c>
      <c r="E102" s="455" t="s">
        <v>75</v>
      </c>
      <c r="F102" s="168" t="s">
        <v>1563</v>
      </c>
      <c r="G102" s="150">
        <v>1256673.55</v>
      </c>
      <c r="H102" s="456">
        <v>1330000</v>
      </c>
      <c r="I102" s="160">
        <v>1034904.45</v>
      </c>
      <c r="J102" s="168">
        <v>1034905</v>
      </c>
      <c r="K102" s="168"/>
      <c r="L102" s="168">
        <v>1034905</v>
      </c>
    </row>
    <row r="103" spans="1:12">
      <c r="A103" s="168">
        <v>27</v>
      </c>
      <c r="B103" s="168" t="s">
        <v>2755</v>
      </c>
      <c r="C103" s="168" t="s">
        <v>2826</v>
      </c>
      <c r="D103" s="455" t="s">
        <v>1549</v>
      </c>
      <c r="E103" s="455" t="s">
        <v>77</v>
      </c>
      <c r="F103" s="168" t="s">
        <v>1563</v>
      </c>
      <c r="G103" s="150">
        <v>22145.040000000001</v>
      </c>
      <c r="H103" s="456">
        <v>23000</v>
      </c>
      <c r="I103" s="160">
        <v>22442.99</v>
      </c>
      <c r="J103" s="168">
        <v>22443</v>
      </c>
      <c r="K103" s="168"/>
      <c r="L103" s="168">
        <v>22443</v>
      </c>
    </row>
    <row r="104" spans="1:12">
      <c r="A104" s="168">
        <v>27</v>
      </c>
      <c r="B104" s="168" t="s">
        <v>2755</v>
      </c>
      <c r="C104" s="168" t="s">
        <v>2827</v>
      </c>
      <c r="D104" s="455" t="s">
        <v>1549</v>
      </c>
      <c r="E104" s="455" t="s">
        <v>60</v>
      </c>
      <c r="F104" s="168" t="s">
        <v>1563</v>
      </c>
      <c r="G104" s="150">
        <v>120566.7</v>
      </c>
      <c r="H104" s="456">
        <v>124854</v>
      </c>
      <c r="I104" s="160">
        <v>108270.45</v>
      </c>
      <c r="J104" s="168">
        <v>108271</v>
      </c>
      <c r="K104" s="168"/>
      <c r="L104" s="168">
        <v>108271</v>
      </c>
    </row>
    <row r="105" spans="1:12">
      <c r="A105" s="168">
        <v>27</v>
      </c>
      <c r="B105" s="168" t="s">
        <v>2755</v>
      </c>
      <c r="C105" s="168" t="s">
        <v>2828</v>
      </c>
      <c r="D105" s="455" t="s">
        <v>1549</v>
      </c>
      <c r="E105" s="455" t="s">
        <v>515</v>
      </c>
      <c r="F105" s="168" t="s">
        <v>1563</v>
      </c>
      <c r="G105" s="150">
        <v>86442.47</v>
      </c>
      <c r="H105" s="456">
        <v>90000</v>
      </c>
      <c r="I105" s="160">
        <v>276380.2</v>
      </c>
      <c r="J105" s="168">
        <v>276381</v>
      </c>
      <c r="K105" s="168"/>
      <c r="L105" s="168">
        <v>276381</v>
      </c>
    </row>
    <row r="106" spans="1:12">
      <c r="A106" s="168">
        <v>27</v>
      </c>
      <c r="B106" s="168" t="s">
        <v>2755</v>
      </c>
      <c r="C106" s="168" t="s">
        <v>2829</v>
      </c>
      <c r="D106" s="455" t="s">
        <v>1549</v>
      </c>
      <c r="E106" s="455" t="s">
        <v>660</v>
      </c>
      <c r="F106" s="168" t="s">
        <v>1563</v>
      </c>
      <c r="G106" s="150">
        <v>0</v>
      </c>
      <c r="H106" s="456">
        <v>0</v>
      </c>
      <c r="I106" s="160">
        <v>0</v>
      </c>
      <c r="J106" s="168">
        <v>0</v>
      </c>
      <c r="K106" s="168"/>
      <c r="L106" s="168">
        <v>0</v>
      </c>
    </row>
    <row r="107" spans="1:12">
      <c r="A107" s="168">
        <v>27</v>
      </c>
      <c r="B107" s="168" t="s">
        <v>2755</v>
      </c>
      <c r="C107" s="168" t="s">
        <v>2830</v>
      </c>
      <c r="D107" s="455" t="s">
        <v>1549</v>
      </c>
      <c r="E107" s="455" t="s">
        <v>767</v>
      </c>
      <c r="F107" s="168" t="s">
        <v>1563</v>
      </c>
      <c r="G107" s="150">
        <v>20670.2</v>
      </c>
      <c r="H107" s="456">
        <v>20700</v>
      </c>
      <c r="I107" s="160">
        <v>25063.279999999999</v>
      </c>
      <c r="J107" s="168">
        <v>25064</v>
      </c>
      <c r="K107" s="168"/>
      <c r="L107" s="168">
        <v>25064</v>
      </c>
    </row>
    <row r="108" spans="1:12">
      <c r="A108" s="168">
        <v>27</v>
      </c>
      <c r="B108" s="168" t="s">
        <v>2755</v>
      </c>
      <c r="C108" s="168" t="s">
        <v>2831</v>
      </c>
      <c r="D108" s="455" t="s">
        <v>1549</v>
      </c>
      <c r="E108" s="455" t="s">
        <v>84</v>
      </c>
      <c r="F108" s="168" t="s">
        <v>1563</v>
      </c>
      <c r="G108" s="150">
        <v>224416.53</v>
      </c>
      <c r="H108" s="456">
        <v>226000</v>
      </c>
      <c r="I108" s="160">
        <v>212791.04000000001</v>
      </c>
      <c r="J108" s="168">
        <v>212791</v>
      </c>
      <c r="K108" s="168"/>
      <c r="L108" s="168">
        <v>212791</v>
      </c>
    </row>
    <row r="109" spans="1:12">
      <c r="A109" s="168">
        <v>27</v>
      </c>
      <c r="B109" s="168" t="s">
        <v>2755</v>
      </c>
      <c r="C109" s="168" t="s">
        <v>2756</v>
      </c>
      <c r="D109" s="455" t="s">
        <v>1549</v>
      </c>
      <c r="E109" s="455" t="s">
        <v>141</v>
      </c>
      <c r="F109" s="168" t="s">
        <v>1563</v>
      </c>
      <c r="G109" s="150">
        <v>21511.81</v>
      </c>
      <c r="H109" s="456">
        <v>22000</v>
      </c>
      <c r="I109" s="160">
        <v>51439.49</v>
      </c>
      <c r="J109" s="168">
        <v>51439</v>
      </c>
      <c r="K109" s="168"/>
      <c r="L109" s="168">
        <v>51439</v>
      </c>
    </row>
    <row r="110" spans="1:12">
      <c r="A110" s="168">
        <v>31</v>
      </c>
      <c r="B110" s="168" t="s">
        <v>2755</v>
      </c>
      <c r="C110" s="168" t="s">
        <v>2825</v>
      </c>
      <c r="D110" s="455" t="s">
        <v>1549</v>
      </c>
      <c r="E110" s="455" t="s">
        <v>75</v>
      </c>
      <c r="F110" s="168" t="s">
        <v>1565</v>
      </c>
      <c r="G110" s="150">
        <v>197965.68</v>
      </c>
      <c r="H110" s="456">
        <v>200697</v>
      </c>
      <c r="I110" s="160">
        <v>214452.12</v>
      </c>
      <c r="J110" s="168">
        <v>214452</v>
      </c>
      <c r="K110" s="168"/>
      <c r="L110" s="168">
        <v>214452</v>
      </c>
    </row>
    <row r="111" spans="1:12">
      <c r="A111" s="168">
        <v>31</v>
      </c>
      <c r="B111" s="168" t="s">
        <v>2755</v>
      </c>
      <c r="C111" s="168" t="s">
        <v>2827</v>
      </c>
      <c r="D111" s="455" t="s">
        <v>1549</v>
      </c>
      <c r="E111" s="455" t="s">
        <v>60</v>
      </c>
      <c r="F111" s="168" t="s">
        <v>1565</v>
      </c>
      <c r="G111" s="150">
        <v>16501.39</v>
      </c>
      <c r="H111" s="456">
        <v>16564</v>
      </c>
      <c r="I111" s="160">
        <v>17871.009999999998</v>
      </c>
      <c r="J111" s="168">
        <v>17871</v>
      </c>
      <c r="K111" s="168"/>
      <c r="L111" s="168">
        <v>17871</v>
      </c>
    </row>
    <row r="112" spans="1:12">
      <c r="A112" s="168">
        <v>31</v>
      </c>
      <c r="B112" s="168" t="s">
        <v>2755</v>
      </c>
      <c r="C112" s="168" t="s">
        <v>2829</v>
      </c>
      <c r="D112" s="455" t="s">
        <v>1549</v>
      </c>
      <c r="E112" s="455" t="s">
        <v>660</v>
      </c>
      <c r="F112" s="168" t="s">
        <v>1565</v>
      </c>
      <c r="G112" s="150">
        <v>0</v>
      </c>
      <c r="H112" s="456">
        <v>0</v>
      </c>
      <c r="I112" s="160">
        <v>0</v>
      </c>
      <c r="J112" s="168">
        <v>0</v>
      </c>
      <c r="K112" s="168"/>
      <c r="L112" s="168">
        <v>0</v>
      </c>
    </row>
    <row r="113" spans="1:12">
      <c r="A113" s="168">
        <v>31</v>
      </c>
      <c r="B113" s="168" t="s">
        <v>2755</v>
      </c>
      <c r="C113" s="168" t="s">
        <v>2830</v>
      </c>
      <c r="D113" s="455" t="s">
        <v>1549</v>
      </c>
      <c r="E113" s="455" t="s">
        <v>767</v>
      </c>
      <c r="F113" s="168" t="s">
        <v>1565</v>
      </c>
      <c r="G113" s="150">
        <v>0</v>
      </c>
      <c r="H113" s="456">
        <v>0</v>
      </c>
      <c r="I113" s="160">
        <v>0</v>
      </c>
      <c r="J113" s="168">
        <v>0</v>
      </c>
      <c r="K113" s="168"/>
      <c r="L113" s="168">
        <v>0</v>
      </c>
    </row>
    <row r="114" spans="1:12">
      <c r="A114" s="168">
        <v>32</v>
      </c>
      <c r="B114" s="168" t="s">
        <v>2755</v>
      </c>
      <c r="C114" s="168" t="s">
        <v>2825</v>
      </c>
      <c r="D114" s="455" t="s">
        <v>1549</v>
      </c>
      <c r="E114" s="455" t="s">
        <v>75</v>
      </c>
      <c r="F114" s="168" t="s">
        <v>1566</v>
      </c>
      <c r="G114" s="150">
        <v>154400.28</v>
      </c>
      <c r="H114" s="456">
        <v>155000</v>
      </c>
      <c r="I114" s="160">
        <v>165815.04000000001</v>
      </c>
      <c r="J114" s="168">
        <v>165815</v>
      </c>
      <c r="K114" s="168"/>
      <c r="L114" s="168">
        <v>165815</v>
      </c>
    </row>
    <row r="115" spans="1:12">
      <c r="A115" s="168">
        <v>32</v>
      </c>
      <c r="B115" s="168" t="s">
        <v>2755</v>
      </c>
      <c r="C115" s="168" t="s">
        <v>2826</v>
      </c>
      <c r="D115" s="455"/>
      <c r="E115" s="455"/>
      <c r="F115" s="168"/>
      <c r="G115" s="150"/>
      <c r="H115" s="456"/>
      <c r="I115" s="160">
        <v>53970.2</v>
      </c>
      <c r="J115" s="168">
        <v>53970</v>
      </c>
      <c r="K115" s="168"/>
      <c r="L115" s="168">
        <v>53970</v>
      </c>
    </row>
    <row r="116" spans="1:12">
      <c r="A116" s="168">
        <v>32</v>
      </c>
      <c r="B116" s="168" t="s">
        <v>2755</v>
      </c>
      <c r="C116" s="168" t="s">
        <v>2827</v>
      </c>
      <c r="D116" s="455" t="s">
        <v>1549</v>
      </c>
      <c r="E116" s="455" t="s">
        <v>60</v>
      </c>
      <c r="F116" s="168" t="s">
        <v>1566</v>
      </c>
      <c r="G116" s="150">
        <v>12758.94</v>
      </c>
      <c r="H116" s="456">
        <v>13000</v>
      </c>
      <c r="I116" s="160">
        <v>13817.92</v>
      </c>
      <c r="J116" s="168">
        <v>13817</v>
      </c>
      <c r="K116" s="168"/>
      <c r="L116" s="168">
        <v>13817</v>
      </c>
    </row>
    <row r="117" spans="1:12">
      <c r="A117" s="168">
        <v>32</v>
      </c>
      <c r="B117" s="168" t="s">
        <v>2755</v>
      </c>
      <c r="C117" s="168" t="s">
        <v>2828</v>
      </c>
      <c r="D117" s="455" t="s">
        <v>1549</v>
      </c>
      <c r="E117" s="455" t="s">
        <v>515</v>
      </c>
      <c r="F117" s="168" t="s">
        <v>1566</v>
      </c>
      <c r="G117" s="150">
        <v>8520.5</v>
      </c>
      <c r="H117" s="456">
        <v>9000</v>
      </c>
      <c r="I117" s="160">
        <v>0</v>
      </c>
      <c r="J117" s="168">
        <v>0</v>
      </c>
      <c r="K117" s="168"/>
      <c r="L117" s="168">
        <v>0</v>
      </c>
    </row>
    <row r="118" spans="1:12">
      <c r="A118" s="168">
        <v>32</v>
      </c>
      <c r="B118" s="168" t="s">
        <v>2755</v>
      </c>
      <c r="C118" s="168" t="s">
        <v>2830</v>
      </c>
      <c r="D118" s="455" t="s">
        <v>1549</v>
      </c>
      <c r="E118" s="455" t="s">
        <v>767</v>
      </c>
      <c r="F118" s="168" t="s">
        <v>1566</v>
      </c>
      <c r="G118" s="150">
        <v>0</v>
      </c>
      <c r="H118" s="456">
        <v>0</v>
      </c>
      <c r="I118" s="160">
        <v>0</v>
      </c>
      <c r="J118" s="168">
        <v>0</v>
      </c>
      <c r="K118" s="168"/>
      <c r="L118" s="168">
        <v>0</v>
      </c>
    </row>
    <row r="119" spans="1:12">
      <c r="A119" s="168">
        <v>32</v>
      </c>
      <c r="B119" s="168" t="s">
        <v>2755</v>
      </c>
      <c r="C119" s="168" t="s">
        <v>2831</v>
      </c>
      <c r="D119" s="455"/>
      <c r="E119" s="455"/>
      <c r="F119" s="168"/>
      <c r="G119" s="150"/>
      <c r="H119" s="456"/>
      <c r="I119" s="160">
        <v>1048.4000000000001</v>
      </c>
      <c r="J119" s="168">
        <v>1048</v>
      </c>
      <c r="K119" s="168"/>
      <c r="L119" s="168">
        <v>1048</v>
      </c>
    </row>
    <row r="120" spans="1:12">
      <c r="A120" s="168">
        <v>50</v>
      </c>
      <c r="B120" s="168" t="s">
        <v>2755</v>
      </c>
      <c r="C120" s="168" t="s">
        <v>2825</v>
      </c>
      <c r="D120" s="455" t="s">
        <v>1549</v>
      </c>
      <c r="E120" s="455" t="s">
        <v>75</v>
      </c>
      <c r="F120" s="168" t="s">
        <v>1567</v>
      </c>
      <c r="G120" s="150">
        <v>1186517.93</v>
      </c>
      <c r="H120" s="456">
        <v>2500000</v>
      </c>
      <c r="I120" s="160">
        <v>1907109.85</v>
      </c>
      <c r="J120" s="168">
        <v>1907127</v>
      </c>
      <c r="K120" s="168"/>
      <c r="L120" s="168">
        <v>1907127</v>
      </c>
    </row>
    <row r="121" spans="1:12">
      <c r="A121" s="168">
        <v>50</v>
      </c>
      <c r="B121" s="168" t="s">
        <v>2755</v>
      </c>
      <c r="C121" s="168" t="s">
        <v>2826</v>
      </c>
      <c r="D121" s="455" t="s">
        <v>1549</v>
      </c>
      <c r="E121" s="455" t="s">
        <v>77</v>
      </c>
      <c r="F121" s="168" t="s">
        <v>1567</v>
      </c>
      <c r="G121" s="150">
        <v>113355.53</v>
      </c>
      <c r="H121" s="456">
        <v>114000</v>
      </c>
      <c r="I121" s="160">
        <v>439635.02</v>
      </c>
      <c r="J121" s="168">
        <v>439635</v>
      </c>
      <c r="K121" s="168"/>
      <c r="L121" s="168">
        <v>439635</v>
      </c>
    </row>
    <row r="122" spans="1:12">
      <c r="A122" s="168">
        <v>50</v>
      </c>
      <c r="B122" s="168" t="s">
        <v>2755</v>
      </c>
      <c r="C122" s="168" t="s">
        <v>2827</v>
      </c>
      <c r="D122" s="455" t="s">
        <v>1549</v>
      </c>
      <c r="E122" s="455" t="s">
        <v>60</v>
      </c>
      <c r="F122" s="168" t="s">
        <v>1567</v>
      </c>
      <c r="G122" s="150">
        <v>654638.66</v>
      </c>
      <c r="H122" s="456">
        <v>212394</v>
      </c>
      <c r="I122" s="160">
        <v>162995.56</v>
      </c>
      <c r="J122" s="168">
        <v>162996</v>
      </c>
      <c r="K122" s="168"/>
      <c r="L122" s="168">
        <v>162996</v>
      </c>
    </row>
    <row r="123" spans="1:12">
      <c r="A123" s="168">
        <v>50</v>
      </c>
      <c r="B123" s="168" t="s">
        <v>2755</v>
      </c>
      <c r="C123" s="168" t="s">
        <v>2828</v>
      </c>
      <c r="D123" s="455" t="s">
        <v>1549</v>
      </c>
      <c r="E123" s="455" t="s">
        <v>515</v>
      </c>
      <c r="F123" s="168" t="s">
        <v>1567</v>
      </c>
      <c r="G123" s="150">
        <v>159134.39999999999</v>
      </c>
      <c r="H123" s="456">
        <v>190000</v>
      </c>
      <c r="I123" s="160">
        <v>115641.3</v>
      </c>
      <c r="J123" s="168">
        <v>115642</v>
      </c>
      <c r="K123" s="168"/>
      <c r="L123" s="168">
        <v>115642</v>
      </c>
    </row>
    <row r="124" spans="1:12">
      <c r="A124" s="168">
        <v>50</v>
      </c>
      <c r="B124" s="168" t="s">
        <v>2755</v>
      </c>
      <c r="C124" s="168" t="s">
        <v>2829</v>
      </c>
      <c r="D124" s="455" t="s">
        <v>1549</v>
      </c>
      <c r="E124" s="455" t="s">
        <v>660</v>
      </c>
      <c r="F124" s="168" t="s">
        <v>1567</v>
      </c>
      <c r="G124" s="150">
        <v>0</v>
      </c>
      <c r="H124" s="456">
        <v>0</v>
      </c>
      <c r="I124" s="160">
        <v>0</v>
      </c>
      <c r="J124" s="168">
        <v>0</v>
      </c>
      <c r="K124" s="168"/>
      <c r="L124" s="168">
        <v>0</v>
      </c>
    </row>
    <row r="125" spans="1:12">
      <c r="A125" s="168">
        <v>50</v>
      </c>
      <c r="B125" s="168" t="s">
        <v>2755</v>
      </c>
      <c r="C125" s="168" t="s">
        <v>2830</v>
      </c>
      <c r="D125" s="455" t="s">
        <v>1549</v>
      </c>
      <c r="E125" s="455" t="s">
        <v>767</v>
      </c>
      <c r="F125" s="168" t="s">
        <v>1567</v>
      </c>
      <c r="G125" s="150">
        <v>44380.95</v>
      </c>
      <c r="H125" s="456">
        <v>45000</v>
      </c>
      <c r="I125" s="160">
        <v>17754.84</v>
      </c>
      <c r="J125" s="168">
        <v>17755</v>
      </c>
      <c r="K125" s="168"/>
      <c r="L125" s="168">
        <v>17755</v>
      </c>
    </row>
    <row r="126" spans="1:12">
      <c r="A126" s="168">
        <v>50</v>
      </c>
      <c r="B126" s="168" t="s">
        <v>2755</v>
      </c>
      <c r="C126" s="168" t="s">
        <v>2831</v>
      </c>
      <c r="D126" s="455" t="s">
        <v>1549</v>
      </c>
      <c r="E126" s="455" t="s">
        <v>84</v>
      </c>
      <c r="F126" s="168" t="s">
        <v>1567</v>
      </c>
      <c r="G126" s="150">
        <v>260960.68</v>
      </c>
      <c r="H126" s="456">
        <v>261600</v>
      </c>
      <c r="I126" s="160">
        <v>379027.3</v>
      </c>
      <c r="J126" s="168">
        <v>379027</v>
      </c>
      <c r="K126" s="168"/>
      <c r="L126" s="168">
        <v>379027</v>
      </c>
    </row>
    <row r="127" spans="1:12">
      <c r="A127" s="168">
        <v>50</v>
      </c>
      <c r="B127" s="168" t="s">
        <v>2755</v>
      </c>
      <c r="C127" s="168" t="s">
        <v>2756</v>
      </c>
      <c r="D127" s="455" t="s">
        <v>1549</v>
      </c>
      <c r="E127" s="455" t="s">
        <v>86</v>
      </c>
      <c r="F127" s="168" t="s">
        <v>1567</v>
      </c>
      <c r="G127" s="150">
        <v>11023.61</v>
      </c>
      <c r="H127" s="456">
        <v>12000</v>
      </c>
      <c r="I127" s="160">
        <v>70461.75</v>
      </c>
      <c r="J127" s="168">
        <v>70461</v>
      </c>
      <c r="K127" s="168"/>
      <c r="L127" s="168">
        <v>70461</v>
      </c>
    </row>
    <row r="128" spans="1:12">
      <c r="A128" s="168">
        <v>51</v>
      </c>
      <c r="B128" s="168" t="s">
        <v>2755</v>
      </c>
      <c r="C128" s="168" t="s">
        <v>2825</v>
      </c>
      <c r="D128" s="455" t="s">
        <v>1549</v>
      </c>
      <c r="E128" s="455" t="s">
        <v>75</v>
      </c>
      <c r="F128" s="168" t="s">
        <v>1990</v>
      </c>
      <c r="G128" s="150">
        <v>45677.760000000002</v>
      </c>
      <c r="H128" s="456">
        <v>72500</v>
      </c>
      <c r="I128" s="160">
        <v>52834</v>
      </c>
      <c r="J128" s="168">
        <v>52834</v>
      </c>
      <c r="K128" s="168"/>
      <c r="L128" s="168">
        <v>52834</v>
      </c>
    </row>
    <row r="129" spans="1:12">
      <c r="A129" s="168">
        <v>51</v>
      </c>
      <c r="B129" s="168" t="s">
        <v>2755</v>
      </c>
      <c r="C129" s="168" t="s">
        <v>2826</v>
      </c>
      <c r="D129" s="455" t="s">
        <v>1549</v>
      </c>
      <c r="E129" s="455" t="s">
        <v>77</v>
      </c>
      <c r="F129" s="168" t="s">
        <v>1990</v>
      </c>
      <c r="G129" s="150">
        <v>922.31</v>
      </c>
      <c r="H129" s="456">
        <v>1300</v>
      </c>
      <c r="I129" s="160">
        <v>27927.58</v>
      </c>
      <c r="J129" s="168">
        <v>27927</v>
      </c>
      <c r="K129" s="168"/>
      <c r="L129" s="168">
        <v>27927</v>
      </c>
    </row>
    <row r="130" spans="1:12">
      <c r="A130" s="168">
        <v>51</v>
      </c>
      <c r="B130" s="168" t="s">
        <v>2755</v>
      </c>
      <c r="C130" s="168" t="s">
        <v>2827</v>
      </c>
      <c r="D130" s="455" t="s">
        <v>1549</v>
      </c>
      <c r="E130" s="455" t="s">
        <v>60</v>
      </c>
      <c r="F130" s="168" t="s">
        <v>1990</v>
      </c>
      <c r="G130" s="150">
        <v>6040.72</v>
      </c>
      <c r="H130" s="456">
        <v>6041</v>
      </c>
      <c r="I130" s="160">
        <v>4402.83</v>
      </c>
      <c r="J130" s="168">
        <v>4403</v>
      </c>
      <c r="K130" s="168"/>
      <c r="L130" s="168">
        <v>4403</v>
      </c>
    </row>
    <row r="131" spans="1:12">
      <c r="A131" s="168">
        <v>51</v>
      </c>
      <c r="B131" s="168" t="s">
        <v>2755</v>
      </c>
      <c r="C131" s="168" t="s">
        <v>2878</v>
      </c>
      <c r="D131" s="455"/>
      <c r="E131" s="455"/>
      <c r="F131" s="168"/>
      <c r="G131" s="150"/>
      <c r="H131" s="456"/>
      <c r="I131" s="160">
        <v>18213.3</v>
      </c>
      <c r="J131" s="168">
        <v>18214</v>
      </c>
      <c r="K131" s="168"/>
      <c r="L131" s="168">
        <v>18214</v>
      </c>
    </row>
    <row r="132" spans="1:12">
      <c r="A132" s="168">
        <v>52</v>
      </c>
      <c r="B132" s="168" t="s">
        <v>2755</v>
      </c>
      <c r="C132" s="168" t="s">
        <v>2825</v>
      </c>
      <c r="D132" s="455" t="s">
        <v>1549</v>
      </c>
      <c r="E132" s="455" t="s">
        <v>75</v>
      </c>
      <c r="F132" s="168" t="s">
        <v>1568</v>
      </c>
      <c r="G132" s="150">
        <v>140833.68</v>
      </c>
      <c r="H132" s="456">
        <v>141000</v>
      </c>
      <c r="I132" s="160">
        <v>152578.07999999999</v>
      </c>
      <c r="J132" s="168">
        <v>152578</v>
      </c>
      <c r="K132" s="168"/>
      <c r="L132" s="168">
        <v>152578</v>
      </c>
    </row>
    <row r="133" spans="1:12">
      <c r="A133" s="168">
        <v>52</v>
      </c>
      <c r="B133" s="168" t="s">
        <v>2755</v>
      </c>
      <c r="C133" s="168" t="s">
        <v>2826</v>
      </c>
      <c r="D133" s="455" t="s">
        <v>1549</v>
      </c>
      <c r="E133" s="455" t="s">
        <v>77</v>
      </c>
      <c r="F133" s="168" t="s">
        <v>1568</v>
      </c>
      <c r="G133" s="150">
        <v>0</v>
      </c>
      <c r="H133" s="456">
        <v>0</v>
      </c>
      <c r="I133" s="160">
        <v>4939.96</v>
      </c>
      <c r="J133" s="168">
        <v>4940</v>
      </c>
      <c r="K133" s="168"/>
      <c r="L133" s="168">
        <v>4940</v>
      </c>
    </row>
    <row r="134" spans="1:12">
      <c r="A134" s="168">
        <v>52</v>
      </c>
      <c r="B134" s="168" t="s">
        <v>2755</v>
      </c>
      <c r="C134" s="168" t="s">
        <v>2827</v>
      </c>
      <c r="D134" s="455" t="s">
        <v>1549</v>
      </c>
      <c r="E134" s="455" t="s">
        <v>60</v>
      </c>
      <c r="F134" s="168" t="s">
        <v>1568</v>
      </c>
      <c r="G134" s="150">
        <v>11740.39</v>
      </c>
      <c r="H134" s="456">
        <v>11840</v>
      </c>
      <c r="I134" s="160">
        <v>12714.84</v>
      </c>
      <c r="J134" s="168">
        <v>12715</v>
      </c>
      <c r="K134" s="168"/>
      <c r="L134" s="168">
        <v>12715</v>
      </c>
    </row>
    <row r="135" spans="1:12">
      <c r="A135" s="168">
        <v>52</v>
      </c>
      <c r="B135" s="168" t="s">
        <v>2755</v>
      </c>
      <c r="C135" s="168" t="s">
        <v>2830</v>
      </c>
      <c r="D135" s="455" t="s">
        <v>1549</v>
      </c>
      <c r="E135" s="455" t="s">
        <v>767</v>
      </c>
      <c r="F135" s="168" t="s">
        <v>1568</v>
      </c>
      <c r="G135" s="150">
        <v>0</v>
      </c>
      <c r="H135" s="456">
        <v>0</v>
      </c>
      <c r="I135" s="160">
        <v>0</v>
      </c>
      <c r="J135" s="168">
        <v>0</v>
      </c>
      <c r="K135" s="168"/>
      <c r="L135" s="168">
        <v>0</v>
      </c>
    </row>
    <row r="136" spans="1:12">
      <c r="A136" s="168">
        <v>52</v>
      </c>
      <c r="B136" s="168" t="s">
        <v>2755</v>
      </c>
      <c r="C136" s="168" t="s">
        <v>2831</v>
      </c>
      <c r="D136" s="455" t="s">
        <v>1549</v>
      </c>
      <c r="E136" s="455" t="s">
        <v>84</v>
      </c>
      <c r="F136" s="168" t="s">
        <v>1568</v>
      </c>
      <c r="G136" s="150">
        <v>44295</v>
      </c>
      <c r="H136" s="456">
        <v>44295</v>
      </c>
      <c r="I136" s="160">
        <v>49618</v>
      </c>
      <c r="J136" s="168">
        <v>49618</v>
      </c>
      <c r="K136" s="168"/>
      <c r="L136" s="168">
        <v>49618</v>
      </c>
    </row>
    <row r="137" spans="1:12">
      <c r="A137" s="168">
        <v>63</v>
      </c>
      <c r="B137" s="168" t="s">
        <v>2755</v>
      </c>
      <c r="C137" s="168" t="s">
        <v>2825</v>
      </c>
      <c r="D137" s="455" t="s">
        <v>1549</v>
      </c>
      <c r="E137" s="455" t="s">
        <v>75</v>
      </c>
      <c r="F137" s="168" t="s">
        <v>1229</v>
      </c>
      <c r="G137" s="150">
        <v>176421.36</v>
      </c>
      <c r="H137" s="456">
        <v>177000</v>
      </c>
      <c r="I137" s="160">
        <v>31853.26</v>
      </c>
      <c r="J137" s="168">
        <v>31853</v>
      </c>
      <c r="K137" s="168"/>
      <c r="L137" s="168">
        <v>31853</v>
      </c>
    </row>
    <row r="138" spans="1:12">
      <c r="A138" s="168">
        <v>63</v>
      </c>
      <c r="B138" s="168" t="s">
        <v>2755</v>
      </c>
      <c r="C138" s="168" t="s">
        <v>2827</v>
      </c>
      <c r="D138" s="455" t="s">
        <v>1549</v>
      </c>
      <c r="E138" s="455" t="s">
        <v>60</v>
      </c>
      <c r="F138" s="168" t="s">
        <v>1229</v>
      </c>
      <c r="G138" s="150">
        <v>14706.03</v>
      </c>
      <c r="H138" s="456">
        <v>14806</v>
      </c>
      <c r="I138" s="160">
        <v>15926.63</v>
      </c>
      <c r="J138" s="168">
        <v>15927</v>
      </c>
      <c r="K138" s="168"/>
      <c r="L138" s="168">
        <v>15927</v>
      </c>
    </row>
    <row r="139" spans="1:12">
      <c r="A139" s="168">
        <v>63</v>
      </c>
      <c r="B139" s="168" t="s">
        <v>2755</v>
      </c>
      <c r="C139" s="168" t="s">
        <v>2828</v>
      </c>
      <c r="D139" s="455" t="s">
        <v>1549</v>
      </c>
      <c r="E139" s="455" t="s">
        <v>515</v>
      </c>
      <c r="F139" s="168" t="s">
        <v>1229</v>
      </c>
      <c r="G139" s="150">
        <v>24504.48</v>
      </c>
      <c r="H139" s="456">
        <v>24604</v>
      </c>
      <c r="I139" s="160">
        <v>4084.08</v>
      </c>
      <c r="J139" s="168">
        <v>4084</v>
      </c>
      <c r="K139" s="168"/>
      <c r="L139" s="168">
        <v>4084</v>
      </c>
    </row>
    <row r="140" spans="1:12">
      <c r="A140" s="168">
        <v>63</v>
      </c>
      <c r="B140" s="168" t="s">
        <v>2755</v>
      </c>
      <c r="C140" s="168" t="s">
        <v>2829</v>
      </c>
      <c r="D140" s="455" t="s">
        <v>1549</v>
      </c>
      <c r="E140" s="455" t="s">
        <v>660</v>
      </c>
      <c r="F140" s="168" t="s">
        <v>1229</v>
      </c>
      <c r="G140" s="150">
        <v>0</v>
      </c>
      <c r="H140" s="456">
        <v>0</v>
      </c>
      <c r="I140" s="160">
        <v>0</v>
      </c>
      <c r="J140" s="168">
        <v>0</v>
      </c>
      <c r="K140" s="168"/>
      <c r="L140" s="168">
        <v>0</v>
      </c>
    </row>
    <row r="141" spans="1:12">
      <c r="A141" s="168">
        <v>63</v>
      </c>
      <c r="B141" s="168" t="s">
        <v>2755</v>
      </c>
      <c r="C141" s="168" t="s">
        <v>2830</v>
      </c>
      <c r="D141" s="455" t="s">
        <v>1549</v>
      </c>
      <c r="E141" s="455" t="s">
        <v>767</v>
      </c>
      <c r="F141" s="168" t="s">
        <v>1229</v>
      </c>
      <c r="G141" s="150">
        <v>7068</v>
      </c>
      <c r="H141" s="456">
        <v>7000</v>
      </c>
      <c r="I141" s="160">
        <v>1248</v>
      </c>
      <c r="J141" s="168">
        <v>1248</v>
      </c>
      <c r="K141" s="168"/>
      <c r="L141" s="168">
        <v>1248</v>
      </c>
    </row>
    <row r="142" spans="1:12">
      <c r="A142" s="168">
        <v>63</v>
      </c>
      <c r="B142" s="168" t="s">
        <v>2755</v>
      </c>
      <c r="C142" s="168" t="s">
        <v>2831</v>
      </c>
      <c r="D142" s="455" t="s">
        <v>1549</v>
      </c>
      <c r="E142" s="455" t="s">
        <v>84</v>
      </c>
      <c r="F142" s="168" t="s">
        <v>1229</v>
      </c>
      <c r="G142" s="150">
        <v>75065.759999999995</v>
      </c>
      <c r="H142" s="456">
        <v>75800</v>
      </c>
      <c r="I142" s="160">
        <v>12510.96</v>
      </c>
      <c r="J142" s="168">
        <v>12511</v>
      </c>
      <c r="K142" s="168"/>
      <c r="L142" s="168">
        <v>12511</v>
      </c>
    </row>
    <row r="143" spans="1:12">
      <c r="A143" s="168">
        <v>64</v>
      </c>
      <c r="B143" s="168" t="s">
        <v>2755</v>
      </c>
      <c r="C143" s="168" t="s">
        <v>2825</v>
      </c>
      <c r="D143" s="455" t="s">
        <v>1549</v>
      </c>
      <c r="E143" s="455" t="s">
        <v>75</v>
      </c>
      <c r="F143" s="168" t="s">
        <v>1569</v>
      </c>
      <c r="G143" s="150">
        <v>1205204.58</v>
      </c>
      <c r="H143" s="456">
        <v>1243100</v>
      </c>
      <c r="I143" s="160">
        <v>1479666.04</v>
      </c>
      <c r="J143" s="168">
        <v>1479666</v>
      </c>
      <c r="K143" s="168"/>
      <c r="L143" s="168">
        <v>1479666</v>
      </c>
    </row>
    <row r="144" spans="1:12">
      <c r="A144" s="168">
        <v>64</v>
      </c>
      <c r="B144" s="168" t="s">
        <v>2755</v>
      </c>
      <c r="C144" s="168" t="s">
        <v>2826</v>
      </c>
      <c r="D144" s="455" t="s">
        <v>1549</v>
      </c>
      <c r="E144" s="455" t="s">
        <v>77</v>
      </c>
      <c r="F144" s="168" t="s">
        <v>1569</v>
      </c>
      <c r="G144" s="150">
        <v>161632.22</v>
      </c>
      <c r="H144" s="456">
        <v>161700</v>
      </c>
      <c r="I144" s="160">
        <v>516692.56</v>
      </c>
      <c r="J144" s="168">
        <v>516692</v>
      </c>
      <c r="K144" s="168"/>
      <c r="L144" s="168">
        <v>516692</v>
      </c>
    </row>
    <row r="145" spans="1:12">
      <c r="A145" s="168">
        <v>64</v>
      </c>
      <c r="B145" s="168" t="s">
        <v>2755</v>
      </c>
      <c r="C145" s="168" t="s">
        <v>2827</v>
      </c>
      <c r="D145" s="455" t="s">
        <v>1549</v>
      </c>
      <c r="E145" s="455" t="s">
        <v>60</v>
      </c>
      <c r="F145" s="168" t="s">
        <v>1569</v>
      </c>
      <c r="G145" s="150">
        <v>90946.44</v>
      </c>
      <c r="H145" s="456">
        <v>105156</v>
      </c>
      <c r="I145" s="160">
        <v>125141.05</v>
      </c>
      <c r="J145" s="168">
        <v>125142</v>
      </c>
      <c r="K145" s="168"/>
      <c r="L145" s="168">
        <v>125142</v>
      </c>
    </row>
    <row r="146" spans="1:12">
      <c r="A146" s="168">
        <v>64</v>
      </c>
      <c r="B146" s="168" t="s">
        <v>2755</v>
      </c>
      <c r="C146" s="168" t="s">
        <v>2828</v>
      </c>
      <c r="D146" s="455" t="s">
        <v>1549</v>
      </c>
      <c r="E146" s="455" t="s">
        <v>515</v>
      </c>
      <c r="F146" s="168" t="s">
        <v>1569</v>
      </c>
      <c r="G146" s="150">
        <v>0</v>
      </c>
      <c r="H146" s="456">
        <v>0</v>
      </c>
      <c r="I146" s="168">
        <v>0</v>
      </c>
      <c r="J146" s="168">
        <v>0</v>
      </c>
      <c r="K146" s="168"/>
      <c r="L146" s="168">
        <v>0</v>
      </c>
    </row>
    <row r="147" spans="1:12">
      <c r="A147" s="168">
        <v>64</v>
      </c>
      <c r="B147" s="168" t="s">
        <v>2755</v>
      </c>
      <c r="C147" s="168" t="s">
        <v>2829</v>
      </c>
      <c r="D147" s="455" t="s">
        <v>1549</v>
      </c>
      <c r="E147" s="455" t="s">
        <v>660</v>
      </c>
      <c r="F147" s="168" t="s">
        <v>1569</v>
      </c>
      <c r="G147" s="150">
        <v>0</v>
      </c>
      <c r="H147" s="456">
        <v>0</v>
      </c>
      <c r="I147" s="168">
        <v>0</v>
      </c>
      <c r="J147" s="168">
        <v>0</v>
      </c>
      <c r="K147" s="168"/>
      <c r="L147" s="168">
        <v>0</v>
      </c>
    </row>
    <row r="148" spans="1:12">
      <c r="A148" s="168">
        <v>64</v>
      </c>
      <c r="B148" s="168" t="s">
        <v>2755</v>
      </c>
      <c r="C148" s="168" t="s">
        <v>2830</v>
      </c>
      <c r="D148" s="455" t="s">
        <v>1549</v>
      </c>
      <c r="E148" s="455" t="s">
        <v>767</v>
      </c>
      <c r="F148" s="168" t="s">
        <v>1569</v>
      </c>
      <c r="G148" s="150">
        <v>0</v>
      </c>
      <c r="H148" s="456">
        <v>0</v>
      </c>
      <c r="I148" s="168">
        <v>0</v>
      </c>
      <c r="J148" s="168">
        <v>0</v>
      </c>
      <c r="K148" s="168"/>
      <c r="L148" s="168">
        <v>0</v>
      </c>
    </row>
    <row r="149" spans="1:12">
      <c r="A149" s="168">
        <v>65</v>
      </c>
      <c r="B149" s="168" t="s">
        <v>2755</v>
      </c>
      <c r="C149" s="168" t="s">
        <v>2825</v>
      </c>
      <c r="D149" s="455" t="s">
        <v>1549</v>
      </c>
      <c r="E149" s="455" t="s">
        <v>75</v>
      </c>
      <c r="F149" s="168" t="s">
        <v>1570</v>
      </c>
      <c r="G149" s="150">
        <v>114792.12</v>
      </c>
      <c r="H149" s="456">
        <v>115000</v>
      </c>
      <c r="I149" s="160">
        <v>124987.48</v>
      </c>
      <c r="J149" s="168">
        <v>124987</v>
      </c>
      <c r="K149" s="168"/>
      <c r="L149" s="168">
        <v>124987</v>
      </c>
    </row>
    <row r="150" spans="1:12">
      <c r="A150" s="168">
        <v>65</v>
      </c>
      <c r="B150" s="168" t="s">
        <v>2755</v>
      </c>
      <c r="C150" s="168" t="s">
        <v>2826</v>
      </c>
      <c r="D150" s="455" t="s">
        <v>1549</v>
      </c>
      <c r="E150" s="455" t="s">
        <v>77</v>
      </c>
      <c r="F150" s="168" t="s">
        <v>1570</v>
      </c>
      <c r="G150" s="150">
        <v>3466.8</v>
      </c>
      <c r="H150" s="456">
        <v>3500</v>
      </c>
      <c r="I150" s="160">
        <v>13715.45</v>
      </c>
      <c r="J150" s="168">
        <v>13715</v>
      </c>
      <c r="K150" s="168"/>
      <c r="L150" s="168">
        <v>13715</v>
      </c>
    </row>
    <row r="151" spans="1:12">
      <c r="A151" s="168">
        <v>65</v>
      </c>
      <c r="B151" s="168" t="s">
        <v>2755</v>
      </c>
      <c r="C151" s="168" t="s">
        <v>2827</v>
      </c>
      <c r="D151" s="455" t="s">
        <v>1549</v>
      </c>
      <c r="E151" s="455" t="s">
        <v>60</v>
      </c>
      <c r="F151" s="168" t="s">
        <v>1570</v>
      </c>
      <c r="G151" s="150">
        <v>9630.2099999999991</v>
      </c>
      <c r="H151" s="456">
        <v>9730</v>
      </c>
      <c r="I151" s="160">
        <v>10429.530000000001</v>
      </c>
      <c r="J151" s="168">
        <v>10430</v>
      </c>
      <c r="K151" s="168"/>
      <c r="L151" s="168">
        <v>10430</v>
      </c>
    </row>
    <row r="152" spans="1:12">
      <c r="A152" s="168">
        <v>66</v>
      </c>
      <c r="B152" s="168" t="s">
        <v>2755</v>
      </c>
      <c r="C152" s="168" t="s">
        <v>2825</v>
      </c>
      <c r="D152" s="455" t="s">
        <v>1549</v>
      </c>
      <c r="E152" s="455" t="s">
        <v>75</v>
      </c>
      <c r="F152" s="168" t="s">
        <v>1571</v>
      </c>
      <c r="G152" s="150">
        <v>1499634.28</v>
      </c>
      <c r="H152" s="456">
        <v>1500000</v>
      </c>
      <c r="I152" s="160">
        <v>1659604.99</v>
      </c>
      <c r="J152" s="168">
        <v>1659605</v>
      </c>
      <c r="K152" s="168"/>
      <c r="L152" s="168">
        <v>1659605</v>
      </c>
    </row>
    <row r="153" spans="1:12">
      <c r="A153" s="168">
        <v>66</v>
      </c>
      <c r="B153" s="168" t="s">
        <v>2755</v>
      </c>
      <c r="C153" s="168" t="s">
        <v>2826</v>
      </c>
      <c r="D153" s="455" t="s">
        <v>1549</v>
      </c>
      <c r="E153" s="455" t="s">
        <v>77</v>
      </c>
      <c r="F153" s="168" t="s">
        <v>1571</v>
      </c>
      <c r="G153" s="150">
        <v>227917.51</v>
      </c>
      <c r="H153" s="456">
        <v>228000</v>
      </c>
      <c r="I153" s="160">
        <v>462512.03</v>
      </c>
      <c r="J153" s="168">
        <v>462512</v>
      </c>
      <c r="K153" s="168"/>
      <c r="L153" s="168">
        <v>462512</v>
      </c>
    </row>
    <row r="154" spans="1:12">
      <c r="A154" s="168">
        <v>66</v>
      </c>
      <c r="B154" s="168" t="s">
        <v>2755</v>
      </c>
      <c r="C154" s="168" t="s">
        <v>2827</v>
      </c>
      <c r="D154" s="455" t="s">
        <v>1549</v>
      </c>
      <c r="E154" s="455" t="s">
        <v>60</v>
      </c>
      <c r="F154" s="168" t="s">
        <v>1571</v>
      </c>
      <c r="G154" s="150">
        <v>116460.75</v>
      </c>
      <c r="H154" s="456">
        <v>126162</v>
      </c>
      <c r="I154" s="160">
        <v>140499.20000000001</v>
      </c>
      <c r="J154" s="168">
        <v>140500</v>
      </c>
      <c r="K154" s="168"/>
      <c r="L154" s="168">
        <v>140500</v>
      </c>
    </row>
    <row r="155" spans="1:12">
      <c r="A155" s="168">
        <v>66</v>
      </c>
      <c r="B155" s="168" t="s">
        <v>2755</v>
      </c>
      <c r="C155" s="168" t="s">
        <v>2878</v>
      </c>
      <c r="D155" s="455" t="s">
        <v>1549</v>
      </c>
      <c r="E155" s="455" t="s">
        <v>1395</v>
      </c>
      <c r="F155" s="168" t="s">
        <v>1571</v>
      </c>
      <c r="G155" s="150">
        <v>0</v>
      </c>
      <c r="H155" s="456">
        <v>0</v>
      </c>
      <c r="I155" s="160">
        <v>781.19</v>
      </c>
      <c r="J155" s="168">
        <v>781</v>
      </c>
      <c r="K155" s="168"/>
      <c r="L155" s="168">
        <v>781</v>
      </c>
    </row>
    <row r="156" spans="1:12">
      <c r="A156" s="168">
        <v>66</v>
      </c>
      <c r="B156" s="168" t="s">
        <v>2755</v>
      </c>
      <c r="C156" s="168" t="s">
        <v>2828</v>
      </c>
      <c r="D156" s="455" t="s">
        <v>1549</v>
      </c>
      <c r="E156" s="455" t="s">
        <v>515</v>
      </c>
      <c r="F156" s="168" t="s">
        <v>1571</v>
      </c>
      <c r="G156" s="150">
        <v>0</v>
      </c>
      <c r="H156" s="456">
        <v>0</v>
      </c>
      <c r="I156" s="160">
        <v>0</v>
      </c>
      <c r="J156" s="168">
        <v>0</v>
      </c>
      <c r="K156" s="168"/>
      <c r="L156" s="168">
        <v>0</v>
      </c>
    </row>
    <row r="157" spans="1:12">
      <c r="A157" s="168">
        <v>66</v>
      </c>
      <c r="B157" s="168" t="s">
        <v>2755</v>
      </c>
      <c r="C157" s="168" t="s">
        <v>2829</v>
      </c>
      <c r="D157" s="455" t="s">
        <v>1549</v>
      </c>
      <c r="E157" s="455" t="s">
        <v>660</v>
      </c>
      <c r="F157" s="168" t="s">
        <v>1571</v>
      </c>
      <c r="G157" s="150">
        <v>0</v>
      </c>
      <c r="H157" s="456">
        <v>0</v>
      </c>
      <c r="I157" s="160">
        <v>0</v>
      </c>
      <c r="J157" s="168">
        <v>0</v>
      </c>
      <c r="K157" s="168"/>
      <c r="L157" s="168">
        <v>0</v>
      </c>
    </row>
    <row r="158" spans="1:12">
      <c r="A158" s="168">
        <v>66</v>
      </c>
      <c r="B158" s="168" t="s">
        <v>2755</v>
      </c>
      <c r="C158" s="168" t="s">
        <v>2830</v>
      </c>
      <c r="D158" s="455" t="s">
        <v>1549</v>
      </c>
      <c r="E158" s="455" t="s">
        <v>767</v>
      </c>
      <c r="F158" s="168" t="s">
        <v>1571</v>
      </c>
      <c r="G158" s="150">
        <v>0</v>
      </c>
      <c r="H158" s="456">
        <v>0</v>
      </c>
      <c r="I158" s="160">
        <v>0</v>
      </c>
      <c r="J158" s="168">
        <v>0</v>
      </c>
      <c r="K158" s="168"/>
      <c r="L158" s="168">
        <v>0</v>
      </c>
    </row>
    <row r="159" spans="1:12">
      <c r="A159" s="168">
        <v>80</v>
      </c>
      <c r="B159" s="168" t="s">
        <v>2755</v>
      </c>
      <c r="C159" s="168" t="s">
        <v>2825</v>
      </c>
      <c r="D159" s="455" t="s">
        <v>1549</v>
      </c>
      <c r="E159" s="455" t="s">
        <v>75</v>
      </c>
      <c r="F159" s="168" t="s">
        <v>1572</v>
      </c>
      <c r="G159" s="150">
        <v>305431.32</v>
      </c>
      <c r="H159" s="456">
        <v>643587</v>
      </c>
      <c r="I159" s="160">
        <v>411376.33</v>
      </c>
      <c r="J159" s="168">
        <v>411377</v>
      </c>
      <c r="K159" s="168"/>
      <c r="L159" s="168">
        <v>411377</v>
      </c>
    </row>
    <row r="160" spans="1:12">
      <c r="A160" s="168">
        <v>80</v>
      </c>
      <c r="B160" s="168" t="s">
        <v>2755</v>
      </c>
      <c r="C160" s="168" t="s">
        <v>2826</v>
      </c>
      <c r="D160" s="455" t="s">
        <v>1549</v>
      </c>
      <c r="E160" s="455" t="s">
        <v>77</v>
      </c>
      <c r="F160" s="168" t="s">
        <v>1572</v>
      </c>
      <c r="G160" s="150">
        <v>381.93</v>
      </c>
      <c r="H160" s="456">
        <v>400</v>
      </c>
      <c r="I160" s="160">
        <v>7671.38</v>
      </c>
      <c r="J160" s="168">
        <v>7671</v>
      </c>
      <c r="K160" s="168"/>
      <c r="L160" s="168">
        <v>7671</v>
      </c>
    </row>
    <row r="161" spans="1:12">
      <c r="A161" s="168">
        <v>80</v>
      </c>
      <c r="B161" s="168" t="s">
        <v>2755</v>
      </c>
      <c r="C161" s="168" t="s">
        <v>2827</v>
      </c>
      <c r="D161" s="455" t="s">
        <v>1549</v>
      </c>
      <c r="E161" s="455" t="s">
        <v>60</v>
      </c>
      <c r="F161" s="168" t="s">
        <v>1572</v>
      </c>
      <c r="G161" s="150">
        <v>41614.32</v>
      </c>
      <c r="H161" s="456">
        <v>102891</v>
      </c>
      <c r="I161" s="160">
        <v>40410.730000000003</v>
      </c>
      <c r="J161" s="168">
        <v>40411</v>
      </c>
      <c r="K161" s="168"/>
      <c r="L161" s="168">
        <v>40411</v>
      </c>
    </row>
    <row r="162" spans="1:12">
      <c r="A162" s="168">
        <v>80</v>
      </c>
      <c r="B162" s="168" t="s">
        <v>2755</v>
      </c>
      <c r="C162" s="168" t="s">
        <v>2828</v>
      </c>
      <c r="D162" s="455" t="s">
        <v>1549</v>
      </c>
      <c r="E162" s="455" t="s">
        <v>515</v>
      </c>
      <c r="F162" s="168" t="s">
        <v>1572</v>
      </c>
      <c r="G162" s="150">
        <v>40854.54</v>
      </c>
      <c r="H162" s="456">
        <v>40855</v>
      </c>
      <c r="I162" s="160">
        <v>45946.14</v>
      </c>
      <c r="J162" s="168">
        <v>45947</v>
      </c>
      <c r="K162" s="168"/>
      <c r="L162" s="168">
        <v>45947</v>
      </c>
    </row>
    <row r="163" spans="1:12">
      <c r="A163" s="168">
        <v>80</v>
      </c>
      <c r="B163" s="168" t="s">
        <v>2755</v>
      </c>
      <c r="C163" s="168" t="s">
        <v>2829</v>
      </c>
      <c r="D163" s="455" t="s">
        <v>1549</v>
      </c>
      <c r="E163" s="455" t="s">
        <v>660</v>
      </c>
      <c r="F163" s="168" t="s">
        <v>1572</v>
      </c>
      <c r="G163" s="150">
        <v>0</v>
      </c>
      <c r="H163" s="456">
        <v>0</v>
      </c>
      <c r="I163" s="160">
        <v>0</v>
      </c>
      <c r="J163" s="168">
        <v>0</v>
      </c>
      <c r="K163" s="168"/>
      <c r="L163" s="168">
        <v>0</v>
      </c>
    </row>
    <row r="164" spans="1:12">
      <c r="A164" s="168">
        <v>80</v>
      </c>
      <c r="B164" s="168" t="s">
        <v>2755</v>
      </c>
      <c r="C164" s="168" t="s">
        <v>2830</v>
      </c>
      <c r="D164" s="455" t="s">
        <v>1549</v>
      </c>
      <c r="E164" s="455" t="s">
        <v>767</v>
      </c>
      <c r="F164" s="168" t="s">
        <v>1572</v>
      </c>
      <c r="G164" s="150">
        <v>7068</v>
      </c>
      <c r="H164" s="456">
        <v>7100</v>
      </c>
      <c r="I164" s="160">
        <v>8244</v>
      </c>
      <c r="J164" s="168">
        <v>8244</v>
      </c>
      <c r="K164" s="168"/>
      <c r="L164" s="168">
        <v>8244</v>
      </c>
    </row>
    <row r="165" spans="1:12">
      <c r="A165" s="168">
        <v>80</v>
      </c>
      <c r="B165" s="168" t="s">
        <v>2755</v>
      </c>
      <c r="C165" s="168" t="s">
        <v>2831</v>
      </c>
      <c r="D165" s="455" t="s">
        <v>1549</v>
      </c>
      <c r="E165" s="455" t="s">
        <v>84</v>
      </c>
      <c r="F165" s="168" t="s">
        <v>1572</v>
      </c>
      <c r="G165" s="150">
        <v>190579.08</v>
      </c>
      <c r="H165" s="456">
        <v>200000</v>
      </c>
      <c r="I165" s="160">
        <v>176657.59</v>
      </c>
      <c r="J165" s="168">
        <v>176657</v>
      </c>
      <c r="K165" s="168"/>
      <c r="L165" s="168">
        <v>176657</v>
      </c>
    </row>
    <row r="166" spans="1:12">
      <c r="A166" s="168">
        <v>81</v>
      </c>
      <c r="B166" s="168" t="s">
        <v>2755</v>
      </c>
      <c r="C166" s="168" t="s">
        <v>2825</v>
      </c>
      <c r="D166" s="455" t="s">
        <v>1549</v>
      </c>
      <c r="E166" s="455" t="s">
        <v>75</v>
      </c>
      <c r="F166" s="168" t="s">
        <v>1573</v>
      </c>
      <c r="G166" s="150">
        <v>1748379.14</v>
      </c>
      <c r="H166" s="456">
        <v>1748500</v>
      </c>
      <c r="I166" s="160">
        <v>1772332.1</v>
      </c>
      <c r="J166" s="168">
        <v>1772333</v>
      </c>
      <c r="K166" s="168"/>
      <c r="L166" s="168">
        <v>1772333</v>
      </c>
    </row>
    <row r="167" spans="1:12">
      <c r="A167" s="168">
        <v>81</v>
      </c>
      <c r="B167" s="168" t="s">
        <v>2755</v>
      </c>
      <c r="C167" s="168" t="s">
        <v>2826</v>
      </c>
      <c r="D167" s="455" t="s">
        <v>1549</v>
      </c>
      <c r="E167" s="455" t="s">
        <v>77</v>
      </c>
      <c r="F167" s="168" t="s">
        <v>1573</v>
      </c>
      <c r="G167" s="150">
        <v>305722.94</v>
      </c>
      <c r="H167" s="456">
        <v>306000</v>
      </c>
      <c r="I167" s="160">
        <v>467848.34</v>
      </c>
      <c r="J167" s="168">
        <v>467848</v>
      </c>
      <c r="K167" s="168"/>
      <c r="L167" s="168">
        <v>467848</v>
      </c>
    </row>
    <row r="168" spans="1:12">
      <c r="A168" s="168">
        <v>81</v>
      </c>
      <c r="B168" s="168" t="s">
        <v>2755</v>
      </c>
      <c r="C168" s="168" t="s">
        <v>2827</v>
      </c>
      <c r="D168" s="455" t="s">
        <v>1549</v>
      </c>
      <c r="E168" s="455" t="s">
        <v>60</v>
      </c>
      <c r="F168" s="168" t="s">
        <v>1573</v>
      </c>
      <c r="G168" s="150">
        <v>129996.95</v>
      </c>
      <c r="H168" s="456">
        <v>163181</v>
      </c>
      <c r="I168" s="160">
        <v>141930.85999999999</v>
      </c>
      <c r="J168" s="168">
        <v>141931</v>
      </c>
      <c r="K168" s="168"/>
      <c r="L168" s="168">
        <v>141931</v>
      </c>
    </row>
    <row r="169" spans="1:12">
      <c r="A169" s="168">
        <v>81</v>
      </c>
      <c r="B169" s="168" t="s">
        <v>2755</v>
      </c>
      <c r="C169" s="168" t="s">
        <v>2878</v>
      </c>
      <c r="D169" s="455" t="s">
        <v>1549</v>
      </c>
      <c r="E169" s="455" t="s">
        <v>1395</v>
      </c>
      <c r="F169" s="168" t="s">
        <v>1573</v>
      </c>
      <c r="G169" s="150">
        <v>38755.57</v>
      </c>
      <c r="H169" s="456">
        <v>38800</v>
      </c>
      <c r="I169" s="160">
        <v>38227.480000000003</v>
      </c>
      <c r="J169" s="168">
        <v>38228</v>
      </c>
      <c r="K169" s="168"/>
      <c r="L169" s="168">
        <v>38228</v>
      </c>
    </row>
    <row r="170" spans="1:12">
      <c r="A170" s="168">
        <v>81</v>
      </c>
      <c r="B170" s="168" t="s">
        <v>2755</v>
      </c>
      <c r="C170" s="168" t="s">
        <v>2828</v>
      </c>
      <c r="D170" s="455" t="s">
        <v>1549</v>
      </c>
      <c r="E170" s="455" t="s">
        <v>515</v>
      </c>
      <c r="F170" s="168" t="s">
        <v>1573</v>
      </c>
      <c r="G170" s="150">
        <v>622.49</v>
      </c>
      <c r="H170" s="456">
        <v>700</v>
      </c>
      <c r="I170" s="160">
        <v>18278.939999999999</v>
      </c>
      <c r="J170" s="168">
        <v>18278</v>
      </c>
      <c r="K170" s="168"/>
      <c r="L170" s="168">
        <v>18278</v>
      </c>
    </row>
    <row r="171" spans="1:12">
      <c r="A171" s="168">
        <v>81</v>
      </c>
      <c r="B171" s="168" t="s">
        <v>2755</v>
      </c>
      <c r="C171" s="168" t="s">
        <v>2829</v>
      </c>
      <c r="D171" s="455" t="s">
        <v>1549</v>
      </c>
      <c r="E171" s="455" t="s">
        <v>660</v>
      </c>
      <c r="F171" s="168" t="s">
        <v>1573</v>
      </c>
      <c r="G171" s="150">
        <v>0</v>
      </c>
      <c r="H171" s="456">
        <v>0</v>
      </c>
      <c r="I171" s="160">
        <v>0</v>
      </c>
      <c r="J171" s="168">
        <v>0</v>
      </c>
      <c r="K171" s="168"/>
      <c r="L171" s="168">
        <v>0</v>
      </c>
    </row>
    <row r="172" spans="1:12">
      <c r="A172" s="168">
        <v>81</v>
      </c>
      <c r="B172" s="168" t="s">
        <v>2755</v>
      </c>
      <c r="C172" s="168" t="s">
        <v>2830</v>
      </c>
      <c r="D172" s="455" t="s">
        <v>1549</v>
      </c>
      <c r="E172" s="455" t="s">
        <v>767</v>
      </c>
      <c r="F172" s="168" t="s">
        <v>1573</v>
      </c>
      <c r="G172" s="150">
        <v>7068</v>
      </c>
      <c r="H172" s="456">
        <v>7100</v>
      </c>
      <c r="I172" s="160">
        <v>8244</v>
      </c>
      <c r="J172" s="168">
        <v>8244</v>
      </c>
      <c r="K172" s="168"/>
      <c r="L172" s="168">
        <v>8244</v>
      </c>
    </row>
    <row r="173" spans="1:12">
      <c r="A173" s="168">
        <v>81</v>
      </c>
      <c r="B173" s="168" t="s">
        <v>2755</v>
      </c>
      <c r="C173" s="168" t="s">
        <v>2831</v>
      </c>
      <c r="D173" s="455" t="s">
        <v>1549</v>
      </c>
      <c r="E173" s="455" t="s">
        <v>84</v>
      </c>
      <c r="F173" s="168" t="s">
        <v>1573</v>
      </c>
      <c r="G173" s="150">
        <v>45824.17</v>
      </c>
      <c r="H173" s="456">
        <v>46000</v>
      </c>
      <c r="I173" s="160">
        <v>48210.75</v>
      </c>
      <c r="J173" s="168">
        <v>48210</v>
      </c>
      <c r="K173" s="168"/>
      <c r="L173" s="168">
        <v>48210</v>
      </c>
    </row>
    <row r="174" spans="1:12">
      <c r="A174" s="168">
        <v>84</v>
      </c>
      <c r="B174" s="168" t="s">
        <v>2755</v>
      </c>
      <c r="C174" s="168" t="s">
        <v>2825</v>
      </c>
      <c r="D174" s="455" t="s">
        <v>1549</v>
      </c>
      <c r="E174" s="455" t="s">
        <v>75</v>
      </c>
      <c r="F174" s="168" t="s">
        <v>1244</v>
      </c>
      <c r="G174" s="150">
        <v>832516.2</v>
      </c>
      <c r="H174" s="456">
        <v>1475000</v>
      </c>
      <c r="I174" s="160">
        <v>1086333.26</v>
      </c>
      <c r="J174" s="168">
        <v>1088354</v>
      </c>
      <c r="K174" s="168"/>
      <c r="L174" s="168">
        <v>1088354</v>
      </c>
    </row>
    <row r="175" spans="1:12">
      <c r="A175" s="168">
        <v>84</v>
      </c>
      <c r="B175" s="168" t="s">
        <v>2755</v>
      </c>
      <c r="C175" s="168" t="s">
        <v>2826</v>
      </c>
      <c r="D175" s="455" t="s">
        <v>1549</v>
      </c>
      <c r="E175" s="455" t="s">
        <v>77</v>
      </c>
      <c r="F175" s="168" t="s">
        <v>1244</v>
      </c>
      <c r="G175" s="150">
        <v>507366.75</v>
      </c>
      <c r="H175" s="456">
        <v>508000</v>
      </c>
      <c r="I175" s="160">
        <v>689062.63</v>
      </c>
      <c r="J175" s="168">
        <v>689062</v>
      </c>
      <c r="K175" s="168"/>
      <c r="L175" s="168">
        <v>689062</v>
      </c>
    </row>
    <row r="176" spans="1:12">
      <c r="A176" s="168">
        <v>84</v>
      </c>
      <c r="B176" s="168" t="s">
        <v>2755</v>
      </c>
      <c r="C176" s="168" t="s">
        <v>2827</v>
      </c>
      <c r="D176" s="455" t="s">
        <v>1549</v>
      </c>
      <c r="E176" s="455" t="s">
        <v>60</v>
      </c>
      <c r="F176" s="168" t="s">
        <v>1244</v>
      </c>
      <c r="G176" s="150">
        <v>124440.09</v>
      </c>
      <c r="H176" s="456">
        <v>125224</v>
      </c>
      <c r="I176" s="160">
        <v>87863.039999999994</v>
      </c>
      <c r="J176" s="168">
        <v>87864</v>
      </c>
      <c r="K176" s="168"/>
      <c r="L176" s="168">
        <v>87864</v>
      </c>
    </row>
    <row r="177" spans="1:12">
      <c r="A177" s="168">
        <v>84</v>
      </c>
      <c r="B177" s="168" t="s">
        <v>2755</v>
      </c>
      <c r="C177" s="168" t="s">
        <v>2878</v>
      </c>
      <c r="D177" s="455" t="s">
        <v>1549</v>
      </c>
      <c r="E177" s="455" t="s">
        <v>1395</v>
      </c>
      <c r="F177" s="168" t="s">
        <v>1244</v>
      </c>
      <c r="G177" s="150">
        <v>119358.56</v>
      </c>
      <c r="H177" s="456">
        <v>120000</v>
      </c>
      <c r="I177" s="160">
        <v>77347.89</v>
      </c>
      <c r="J177" s="168">
        <v>77348</v>
      </c>
      <c r="K177" s="168"/>
      <c r="L177" s="168">
        <v>77348</v>
      </c>
    </row>
    <row r="178" spans="1:12">
      <c r="A178" s="168">
        <v>84</v>
      </c>
      <c r="B178" s="168" t="s">
        <v>2755</v>
      </c>
      <c r="C178" s="168" t="s">
        <v>2828</v>
      </c>
      <c r="D178" s="455" t="s">
        <v>1549</v>
      </c>
      <c r="E178" s="455" t="s">
        <v>515</v>
      </c>
      <c r="F178" s="168" t="s">
        <v>1244</v>
      </c>
      <c r="G178" s="150">
        <v>1439.92</v>
      </c>
      <c r="H178" s="456">
        <v>1500</v>
      </c>
      <c r="I178" s="160">
        <v>29970.65</v>
      </c>
      <c r="J178" s="168">
        <v>29971</v>
      </c>
      <c r="K178" s="168"/>
      <c r="L178" s="168">
        <v>29971</v>
      </c>
    </row>
    <row r="179" spans="1:12">
      <c r="A179" s="168">
        <v>84</v>
      </c>
      <c r="B179" s="168" t="s">
        <v>2755</v>
      </c>
      <c r="C179" s="168" t="s">
        <v>2829</v>
      </c>
      <c r="D179" s="455" t="s">
        <v>1549</v>
      </c>
      <c r="E179" s="455" t="s">
        <v>660</v>
      </c>
      <c r="F179" s="168" t="s">
        <v>1244</v>
      </c>
      <c r="G179" s="150">
        <v>0</v>
      </c>
      <c r="H179" s="456">
        <v>0</v>
      </c>
      <c r="I179" s="160">
        <v>0</v>
      </c>
      <c r="J179" s="168">
        <v>0</v>
      </c>
      <c r="K179" s="168"/>
      <c r="L179" s="168">
        <v>0</v>
      </c>
    </row>
    <row r="180" spans="1:12">
      <c r="A180" s="168">
        <v>84</v>
      </c>
      <c r="B180" s="168" t="s">
        <v>2755</v>
      </c>
      <c r="C180" s="168" t="s">
        <v>2830</v>
      </c>
      <c r="D180" s="455" t="s">
        <v>1549</v>
      </c>
      <c r="E180" s="455" t="s">
        <v>767</v>
      </c>
      <c r="F180" s="168" t="s">
        <v>1244</v>
      </c>
      <c r="G180" s="150">
        <v>13908</v>
      </c>
      <c r="H180" s="456">
        <v>15000</v>
      </c>
      <c r="I180" s="160">
        <v>990.4</v>
      </c>
      <c r="J180" s="168">
        <v>991</v>
      </c>
      <c r="K180" s="168"/>
      <c r="L180" s="168">
        <v>991</v>
      </c>
    </row>
    <row r="181" spans="1:12">
      <c r="A181" s="168">
        <v>84</v>
      </c>
      <c r="B181" s="168" t="s">
        <v>2755</v>
      </c>
      <c r="C181" s="168" t="s">
        <v>2831</v>
      </c>
      <c r="D181" s="455"/>
      <c r="E181" s="455"/>
      <c r="F181" s="168"/>
      <c r="G181" s="150"/>
      <c r="H181" s="456"/>
      <c r="I181" s="160">
        <v>12052.42</v>
      </c>
      <c r="J181" s="168">
        <v>12052</v>
      </c>
      <c r="K181" s="168"/>
      <c r="L181" s="168">
        <v>12052</v>
      </c>
    </row>
    <row r="182" spans="1:12">
      <c r="A182" s="168">
        <v>84</v>
      </c>
      <c r="B182" s="168" t="s">
        <v>2755</v>
      </c>
      <c r="C182" s="168" t="s">
        <v>2756</v>
      </c>
      <c r="D182" s="455"/>
      <c r="E182" s="455"/>
      <c r="F182" s="168"/>
      <c r="G182" s="150"/>
      <c r="H182" s="456"/>
      <c r="I182" s="160">
        <v>1225</v>
      </c>
      <c r="J182" s="168">
        <v>1225</v>
      </c>
      <c r="K182" s="168"/>
      <c r="L182" s="168">
        <v>1225</v>
      </c>
    </row>
    <row r="183" spans="1:12">
      <c r="A183" s="168">
        <v>87</v>
      </c>
      <c r="B183" s="168" t="s">
        <v>2755</v>
      </c>
      <c r="C183" s="168" t="s">
        <v>2825</v>
      </c>
      <c r="D183" s="455" t="s">
        <v>1549</v>
      </c>
      <c r="E183" s="455" t="s">
        <v>75</v>
      </c>
      <c r="F183" s="168" t="s">
        <v>458</v>
      </c>
      <c r="G183" s="150">
        <v>0</v>
      </c>
      <c r="H183" s="456">
        <v>70000</v>
      </c>
      <c r="I183" s="160">
        <v>89293.67</v>
      </c>
      <c r="J183" s="168">
        <v>89295</v>
      </c>
      <c r="K183" s="168"/>
      <c r="L183" s="168">
        <v>89295</v>
      </c>
    </row>
    <row r="184" spans="1:12">
      <c r="A184" s="168">
        <v>87</v>
      </c>
      <c r="B184" s="168" t="s">
        <v>2755</v>
      </c>
      <c r="C184" s="168" t="s">
        <v>2827</v>
      </c>
      <c r="D184" s="455" t="s">
        <v>1549</v>
      </c>
      <c r="E184" s="455" t="s">
        <v>60</v>
      </c>
      <c r="F184" s="168" t="s">
        <v>458</v>
      </c>
      <c r="G184" s="150">
        <v>0</v>
      </c>
      <c r="H184" s="456">
        <v>5700</v>
      </c>
      <c r="I184" s="160">
        <v>10686.61</v>
      </c>
      <c r="J184" s="168">
        <v>10687</v>
      </c>
      <c r="K184" s="168"/>
      <c r="L184" s="168">
        <v>10687</v>
      </c>
    </row>
    <row r="185" spans="1:12">
      <c r="A185" s="168">
        <v>87</v>
      </c>
      <c r="B185" s="168" t="s">
        <v>2755</v>
      </c>
      <c r="C185" s="168" t="s">
        <v>2830</v>
      </c>
      <c r="D185" s="455"/>
      <c r="E185" s="455"/>
      <c r="F185" s="168"/>
      <c r="G185" s="150"/>
      <c r="H185" s="456"/>
      <c r="I185" s="160">
        <v>3424</v>
      </c>
      <c r="J185" s="168">
        <v>3424</v>
      </c>
      <c r="K185" s="168"/>
      <c r="L185" s="168">
        <v>3424</v>
      </c>
    </row>
    <row r="186" spans="1:12">
      <c r="A186" s="168">
        <v>87</v>
      </c>
      <c r="B186" s="168" t="s">
        <v>2755</v>
      </c>
      <c r="C186" s="168" t="s">
        <v>2831</v>
      </c>
      <c r="D186" s="455"/>
      <c r="E186" s="455"/>
      <c r="F186" s="168"/>
      <c r="G186" s="150"/>
      <c r="H186" s="456"/>
      <c r="I186" s="160">
        <v>14652.9</v>
      </c>
      <c r="J186" s="168">
        <v>14652</v>
      </c>
      <c r="K186" s="168"/>
      <c r="L186" s="168">
        <v>14652</v>
      </c>
    </row>
    <row r="187" spans="1:12">
      <c r="A187" s="168">
        <v>100</v>
      </c>
      <c r="B187" s="168" t="s">
        <v>2755</v>
      </c>
      <c r="C187" s="168" t="s">
        <v>2825</v>
      </c>
      <c r="D187" s="455" t="s">
        <v>1549</v>
      </c>
      <c r="E187" s="455" t="s">
        <v>75</v>
      </c>
      <c r="F187" s="168" t="s">
        <v>1579</v>
      </c>
      <c r="G187" s="150">
        <v>1540877.02</v>
      </c>
      <c r="H187" s="456">
        <v>1541000</v>
      </c>
      <c r="I187" s="160">
        <v>1605110.55</v>
      </c>
      <c r="J187" s="168">
        <v>1605110</v>
      </c>
      <c r="K187" s="168"/>
      <c r="L187" s="168">
        <v>1605110</v>
      </c>
    </row>
    <row r="188" spans="1:12">
      <c r="A188" s="168">
        <v>100</v>
      </c>
      <c r="B188" s="168" t="s">
        <v>2755</v>
      </c>
      <c r="C188" s="168" t="s">
        <v>2826</v>
      </c>
      <c r="D188" s="455" t="s">
        <v>1549</v>
      </c>
      <c r="E188" s="455" t="s">
        <v>77</v>
      </c>
      <c r="F188" s="168" t="s">
        <v>1579</v>
      </c>
      <c r="G188" s="150">
        <v>156662.29999999999</v>
      </c>
      <c r="H188" s="456">
        <v>157000</v>
      </c>
      <c r="I188" s="160">
        <v>257721.3</v>
      </c>
      <c r="J188" s="168">
        <v>257722</v>
      </c>
      <c r="K188" s="168"/>
      <c r="L188" s="168">
        <v>257722</v>
      </c>
    </row>
    <row r="189" spans="1:12">
      <c r="A189" s="168">
        <v>100</v>
      </c>
      <c r="B189" s="168" t="s">
        <v>2755</v>
      </c>
      <c r="C189" s="168" t="s">
        <v>2827</v>
      </c>
      <c r="D189" s="455" t="s">
        <v>1549</v>
      </c>
      <c r="E189" s="455" t="s">
        <v>60</v>
      </c>
      <c r="F189" s="168" t="s">
        <v>1579</v>
      </c>
      <c r="G189" s="150">
        <v>108270.19</v>
      </c>
      <c r="H189" s="456">
        <v>108305</v>
      </c>
      <c r="I189" s="160">
        <v>153436.57999999999</v>
      </c>
      <c r="J189" s="168">
        <v>153437</v>
      </c>
      <c r="K189" s="168"/>
      <c r="L189" s="168">
        <v>153437</v>
      </c>
    </row>
    <row r="190" spans="1:12">
      <c r="A190" s="168">
        <v>100</v>
      </c>
      <c r="B190" s="168" t="s">
        <v>2755</v>
      </c>
      <c r="C190" s="168" t="s">
        <v>2878</v>
      </c>
      <c r="D190" s="455" t="s">
        <v>1549</v>
      </c>
      <c r="E190" s="455" t="s">
        <v>1395</v>
      </c>
      <c r="F190" s="168" t="s">
        <v>1579</v>
      </c>
      <c r="G190" s="150">
        <v>40451.279999999999</v>
      </c>
      <c r="H190" s="456">
        <v>40500</v>
      </c>
      <c r="I190" s="160">
        <v>38576.76</v>
      </c>
      <c r="J190" s="168">
        <v>38576</v>
      </c>
      <c r="K190" s="168"/>
      <c r="L190" s="168">
        <v>38576</v>
      </c>
    </row>
    <row r="191" spans="1:12">
      <c r="A191" s="168">
        <v>100</v>
      </c>
      <c r="B191" s="168" t="s">
        <v>2755</v>
      </c>
      <c r="C191" s="168" t="s">
        <v>2828</v>
      </c>
      <c r="D191" s="455" t="s">
        <v>1549</v>
      </c>
      <c r="E191" s="455" t="s">
        <v>515</v>
      </c>
      <c r="F191" s="168" t="s">
        <v>1579</v>
      </c>
      <c r="G191" s="150">
        <v>67567.320000000007</v>
      </c>
      <c r="H191" s="456">
        <v>67600</v>
      </c>
      <c r="I191" s="160">
        <v>106836.97</v>
      </c>
      <c r="J191" s="168">
        <v>106837</v>
      </c>
      <c r="K191" s="168"/>
      <c r="L191" s="168">
        <v>106837</v>
      </c>
    </row>
    <row r="192" spans="1:12">
      <c r="A192" s="168">
        <v>100</v>
      </c>
      <c r="B192" s="168" t="s">
        <v>2755</v>
      </c>
      <c r="C192" s="168" t="s">
        <v>2829</v>
      </c>
      <c r="D192" s="455" t="s">
        <v>1549</v>
      </c>
      <c r="E192" s="455" t="s">
        <v>660</v>
      </c>
      <c r="F192" s="168" t="s">
        <v>1579</v>
      </c>
      <c r="G192" s="150">
        <v>0</v>
      </c>
      <c r="H192" s="456">
        <v>0</v>
      </c>
      <c r="I192" s="160">
        <v>0</v>
      </c>
      <c r="J192" s="168">
        <v>0</v>
      </c>
      <c r="K192" s="168"/>
      <c r="L192" s="168">
        <v>0</v>
      </c>
    </row>
    <row r="193" spans="1:12">
      <c r="A193" s="168">
        <v>100</v>
      </c>
      <c r="B193" s="168" t="s">
        <v>2755</v>
      </c>
      <c r="C193" s="168" t="s">
        <v>2830</v>
      </c>
      <c r="D193" s="455" t="s">
        <v>1549</v>
      </c>
      <c r="E193" s="455" t="s">
        <v>767</v>
      </c>
      <c r="F193" s="168" t="s">
        <v>1579</v>
      </c>
      <c r="G193" s="150">
        <v>11947</v>
      </c>
      <c r="H193" s="456">
        <v>13000</v>
      </c>
      <c r="I193" s="160">
        <v>17245</v>
      </c>
      <c r="J193" s="168">
        <v>17245</v>
      </c>
      <c r="K193" s="168"/>
      <c r="L193" s="168">
        <v>17245</v>
      </c>
    </row>
    <row r="194" spans="1:12">
      <c r="A194" s="168">
        <v>100</v>
      </c>
      <c r="B194" s="168" t="s">
        <v>2755</v>
      </c>
      <c r="C194" s="168" t="s">
        <v>2831</v>
      </c>
      <c r="D194" s="455" t="s">
        <v>1549</v>
      </c>
      <c r="E194" s="455" t="s">
        <v>84</v>
      </c>
      <c r="F194" s="168" t="s">
        <v>1579</v>
      </c>
      <c r="G194" s="150">
        <v>179992.82</v>
      </c>
      <c r="H194" s="456">
        <v>180000</v>
      </c>
      <c r="I194" s="160">
        <v>197144.69</v>
      </c>
      <c r="J194" s="168">
        <v>197144</v>
      </c>
      <c r="K194" s="168"/>
      <c r="L194" s="168">
        <v>197144</v>
      </c>
    </row>
    <row r="195" spans="1:12">
      <c r="A195" s="168">
        <v>100</v>
      </c>
      <c r="B195" s="168" t="s">
        <v>2755</v>
      </c>
      <c r="C195" s="168" t="s">
        <v>2756</v>
      </c>
      <c r="D195" s="455" t="s">
        <v>1549</v>
      </c>
      <c r="E195" s="455" t="s">
        <v>572</v>
      </c>
      <c r="F195" s="168" t="s">
        <v>1579</v>
      </c>
      <c r="G195" s="150">
        <v>458.28</v>
      </c>
      <c r="H195" s="456">
        <v>500</v>
      </c>
      <c r="I195" s="160">
        <v>0</v>
      </c>
      <c r="J195" s="168">
        <v>0</v>
      </c>
      <c r="K195" s="168"/>
      <c r="L195" s="168">
        <v>0</v>
      </c>
    </row>
    <row r="196" spans="1:12">
      <c r="A196" s="168">
        <v>10</v>
      </c>
      <c r="B196" s="168" t="s">
        <v>2758</v>
      </c>
      <c r="C196" s="168" t="s">
        <v>2759</v>
      </c>
      <c r="D196" s="455" t="s">
        <v>1550</v>
      </c>
      <c r="E196" s="455" t="s">
        <v>575</v>
      </c>
      <c r="F196" s="168" t="s">
        <v>1558</v>
      </c>
      <c r="G196" s="150">
        <v>13827.15</v>
      </c>
      <c r="H196" s="456">
        <v>13836</v>
      </c>
      <c r="I196" s="160">
        <v>11173.77</v>
      </c>
      <c r="J196" s="168">
        <v>11174</v>
      </c>
      <c r="K196" s="168"/>
      <c r="L196" s="168">
        <v>11174</v>
      </c>
    </row>
    <row r="197" spans="1:12">
      <c r="A197" s="168">
        <v>10</v>
      </c>
      <c r="B197" s="168" t="s">
        <v>2758</v>
      </c>
      <c r="C197" s="168" t="s">
        <v>2760</v>
      </c>
      <c r="D197" s="455" t="s">
        <v>1549</v>
      </c>
      <c r="E197" s="455" t="s">
        <v>577</v>
      </c>
      <c r="F197" s="168" t="s">
        <v>1558</v>
      </c>
      <c r="G197" s="150">
        <v>0</v>
      </c>
      <c r="H197" s="456">
        <v>0</v>
      </c>
      <c r="I197" s="160">
        <v>0</v>
      </c>
      <c r="J197" s="168">
        <v>0</v>
      </c>
      <c r="K197" s="168"/>
      <c r="L197" s="168">
        <v>0</v>
      </c>
    </row>
    <row r="198" spans="1:12">
      <c r="A198" s="168">
        <v>10</v>
      </c>
      <c r="B198" s="168" t="s">
        <v>2758</v>
      </c>
      <c r="C198" s="168" t="s">
        <v>2761</v>
      </c>
      <c r="D198" s="455" t="s">
        <v>1549</v>
      </c>
      <c r="E198" s="455" t="s">
        <v>577</v>
      </c>
      <c r="F198" s="168" t="s">
        <v>1558</v>
      </c>
      <c r="G198" s="150">
        <v>0</v>
      </c>
      <c r="H198" s="456">
        <v>0</v>
      </c>
      <c r="I198" s="160">
        <v>0</v>
      </c>
      <c r="J198" s="168">
        <v>0</v>
      </c>
      <c r="K198" s="168"/>
      <c r="L198" s="168">
        <v>0</v>
      </c>
    </row>
    <row r="199" spans="1:12">
      <c r="A199" s="168">
        <v>10</v>
      </c>
      <c r="B199" s="168" t="s">
        <v>2758</v>
      </c>
      <c r="C199" s="168" t="s">
        <v>2762</v>
      </c>
      <c r="D199" s="455" t="s">
        <v>1549</v>
      </c>
      <c r="E199" s="455" t="s">
        <v>1807</v>
      </c>
      <c r="F199" s="168" t="s">
        <v>1558</v>
      </c>
      <c r="G199" s="150">
        <v>0</v>
      </c>
      <c r="H199" s="456">
        <v>0</v>
      </c>
      <c r="I199" s="160">
        <v>0</v>
      </c>
      <c r="J199" s="168">
        <v>0</v>
      </c>
      <c r="K199" s="168"/>
      <c r="L199" s="168">
        <v>0</v>
      </c>
    </row>
    <row r="200" spans="1:12">
      <c r="A200" s="168">
        <v>10</v>
      </c>
      <c r="B200" s="168" t="s">
        <v>2758</v>
      </c>
      <c r="C200" s="168" t="s">
        <v>2763</v>
      </c>
      <c r="D200" s="455" t="s">
        <v>1549</v>
      </c>
      <c r="E200" s="455" t="s">
        <v>2321</v>
      </c>
      <c r="F200" s="168" t="s">
        <v>1558</v>
      </c>
      <c r="G200" s="150">
        <v>7027.2</v>
      </c>
      <c r="H200" s="456">
        <v>7100</v>
      </c>
      <c r="I200" s="160">
        <v>0</v>
      </c>
      <c r="J200" s="168">
        <v>0</v>
      </c>
      <c r="K200" s="168"/>
      <c r="L200" s="168">
        <v>0</v>
      </c>
    </row>
    <row r="201" spans="1:12">
      <c r="A201" s="168">
        <v>20</v>
      </c>
      <c r="B201" s="168" t="s">
        <v>2758</v>
      </c>
      <c r="C201" s="168" t="s">
        <v>2832</v>
      </c>
      <c r="D201" s="455" t="s">
        <v>1549</v>
      </c>
      <c r="E201" s="455" t="s">
        <v>590</v>
      </c>
      <c r="F201" s="168" t="s">
        <v>1559</v>
      </c>
      <c r="G201" s="150">
        <v>33708</v>
      </c>
      <c r="H201" s="456">
        <v>33800</v>
      </c>
      <c r="I201" s="160">
        <v>33139.199999999997</v>
      </c>
      <c r="J201" s="168">
        <v>33139</v>
      </c>
      <c r="K201" s="168"/>
      <c r="L201" s="168">
        <v>33139</v>
      </c>
    </row>
    <row r="202" spans="1:12">
      <c r="A202" s="168">
        <v>20</v>
      </c>
      <c r="B202" s="168" t="s">
        <v>2758</v>
      </c>
      <c r="C202" s="168" t="s">
        <v>2833</v>
      </c>
      <c r="D202" s="455" t="s">
        <v>1549</v>
      </c>
      <c r="E202" s="455" t="s">
        <v>590</v>
      </c>
      <c r="F202" s="168" t="s">
        <v>1559</v>
      </c>
      <c r="G202" s="150">
        <v>198197.61</v>
      </c>
      <c r="H202" s="456">
        <v>198200</v>
      </c>
      <c r="I202" s="160">
        <v>208135.36</v>
      </c>
      <c r="J202" s="168">
        <v>208136</v>
      </c>
      <c r="K202" s="168"/>
      <c r="L202" s="168">
        <v>208136</v>
      </c>
    </row>
    <row r="203" spans="1:12">
      <c r="A203" s="168">
        <v>20</v>
      </c>
      <c r="B203" s="168" t="s">
        <v>2758</v>
      </c>
      <c r="C203" s="168" t="s">
        <v>2759</v>
      </c>
      <c r="D203" s="455" t="s">
        <v>1549</v>
      </c>
      <c r="E203" s="455" t="s">
        <v>590</v>
      </c>
      <c r="F203" s="168" t="s">
        <v>1559</v>
      </c>
      <c r="G203" s="150">
        <v>13270.72</v>
      </c>
      <c r="H203" s="456">
        <v>13300</v>
      </c>
      <c r="I203" s="160">
        <v>10509.92</v>
      </c>
      <c r="J203" s="168">
        <v>10510</v>
      </c>
      <c r="K203" s="168"/>
      <c r="L203" s="168">
        <v>10510</v>
      </c>
    </row>
    <row r="204" spans="1:12">
      <c r="A204" s="168">
        <v>20</v>
      </c>
      <c r="B204" s="168" t="s">
        <v>2758</v>
      </c>
      <c r="C204" s="168" t="s">
        <v>2834</v>
      </c>
      <c r="D204" s="455" t="s">
        <v>1549</v>
      </c>
      <c r="E204" s="455" t="s">
        <v>590</v>
      </c>
      <c r="F204" s="168" t="s">
        <v>1559</v>
      </c>
      <c r="G204" s="150">
        <v>10468.07</v>
      </c>
      <c r="H204" s="456">
        <v>10500</v>
      </c>
      <c r="I204" s="160">
        <v>12173.43</v>
      </c>
      <c r="J204" s="168">
        <v>12174</v>
      </c>
      <c r="K204" s="168"/>
      <c r="L204" s="168">
        <v>12174</v>
      </c>
    </row>
    <row r="205" spans="1:12">
      <c r="A205" s="168">
        <v>20</v>
      </c>
      <c r="B205" s="168" t="s">
        <v>2758</v>
      </c>
      <c r="C205" s="168" t="s">
        <v>2762</v>
      </c>
      <c r="D205" s="455" t="s">
        <v>1549</v>
      </c>
      <c r="E205" s="455" t="s">
        <v>1807</v>
      </c>
      <c r="F205" s="168" t="s">
        <v>1559</v>
      </c>
      <c r="G205" s="150">
        <v>547.20000000000005</v>
      </c>
      <c r="H205" s="456">
        <v>640</v>
      </c>
      <c r="I205" s="160">
        <v>525.78</v>
      </c>
      <c r="J205" s="168">
        <v>526</v>
      </c>
      <c r="K205" s="168"/>
      <c r="L205" s="168">
        <v>526</v>
      </c>
    </row>
    <row r="206" spans="1:12">
      <c r="A206" s="168">
        <v>21</v>
      </c>
      <c r="B206" s="168" t="s">
        <v>2758</v>
      </c>
      <c r="C206" s="168" t="s">
        <v>2833</v>
      </c>
      <c r="D206" s="455" t="s">
        <v>1549</v>
      </c>
      <c r="E206" s="455" t="s">
        <v>575</v>
      </c>
      <c r="F206" s="168" t="s">
        <v>1560</v>
      </c>
      <c r="G206" s="150">
        <v>0</v>
      </c>
      <c r="H206" s="456">
        <v>0</v>
      </c>
      <c r="I206" s="160">
        <v>0</v>
      </c>
      <c r="J206" s="168">
        <v>0</v>
      </c>
      <c r="K206" s="168"/>
      <c r="L206" s="168">
        <v>0</v>
      </c>
    </row>
    <row r="207" spans="1:12">
      <c r="A207" s="168">
        <v>21</v>
      </c>
      <c r="B207" s="168" t="s">
        <v>2758</v>
      </c>
      <c r="C207" s="168" t="s">
        <v>2759</v>
      </c>
      <c r="D207" s="455" t="s">
        <v>1549</v>
      </c>
      <c r="E207" s="455" t="s">
        <v>575</v>
      </c>
      <c r="F207" s="168" t="s">
        <v>1560</v>
      </c>
      <c r="G207" s="150">
        <v>0</v>
      </c>
      <c r="H207" s="456">
        <v>0</v>
      </c>
      <c r="I207" s="160">
        <v>0</v>
      </c>
      <c r="J207" s="168">
        <v>0</v>
      </c>
      <c r="K207" s="168"/>
      <c r="L207" s="168">
        <v>0</v>
      </c>
    </row>
    <row r="208" spans="1:12">
      <c r="A208" s="168">
        <v>21</v>
      </c>
      <c r="B208" s="168" t="s">
        <v>2758</v>
      </c>
      <c r="C208" s="168" t="s">
        <v>2762</v>
      </c>
      <c r="D208" s="455" t="s">
        <v>1549</v>
      </c>
      <c r="E208" s="455" t="s">
        <v>1807</v>
      </c>
      <c r="F208" s="168" t="s">
        <v>1560</v>
      </c>
      <c r="G208" s="150">
        <v>0</v>
      </c>
      <c r="H208" s="456">
        <v>0</v>
      </c>
      <c r="I208" s="160">
        <v>0</v>
      </c>
      <c r="J208" s="168">
        <v>0</v>
      </c>
      <c r="K208" s="168"/>
      <c r="L208" s="168">
        <v>0</v>
      </c>
    </row>
    <row r="209" spans="1:12">
      <c r="A209" s="168">
        <v>27</v>
      </c>
      <c r="B209" s="168" t="s">
        <v>2758</v>
      </c>
      <c r="C209" s="168" t="s">
        <v>2832</v>
      </c>
      <c r="D209" s="455" t="s">
        <v>1549</v>
      </c>
      <c r="E209" s="455" t="s">
        <v>590</v>
      </c>
      <c r="F209" s="168" t="s">
        <v>1563</v>
      </c>
      <c r="G209" s="150">
        <v>65199.12</v>
      </c>
      <c r="H209" s="456">
        <v>65500</v>
      </c>
      <c r="I209" s="160">
        <v>78810.320000000007</v>
      </c>
      <c r="J209" s="168">
        <v>78811</v>
      </c>
      <c r="K209" s="168"/>
      <c r="L209" s="168">
        <v>78811</v>
      </c>
    </row>
    <row r="210" spans="1:12">
      <c r="A210" s="168">
        <v>27</v>
      </c>
      <c r="B210" s="168" t="s">
        <v>2758</v>
      </c>
      <c r="C210" s="168" t="s">
        <v>2833</v>
      </c>
      <c r="D210" s="455" t="s">
        <v>1549</v>
      </c>
      <c r="E210" s="455" t="s">
        <v>590</v>
      </c>
      <c r="F210" s="168" t="s">
        <v>1563</v>
      </c>
      <c r="G210" s="150">
        <v>220194</v>
      </c>
      <c r="H210" s="456">
        <v>221000</v>
      </c>
      <c r="I210" s="160">
        <v>226097.71</v>
      </c>
      <c r="J210" s="168">
        <v>226098</v>
      </c>
      <c r="K210" s="168"/>
      <c r="L210" s="168">
        <v>226098</v>
      </c>
    </row>
    <row r="211" spans="1:12">
      <c r="A211" s="168">
        <v>27</v>
      </c>
      <c r="B211" s="168" t="s">
        <v>2758</v>
      </c>
      <c r="C211" s="168" t="s">
        <v>2759</v>
      </c>
      <c r="D211" s="455" t="s">
        <v>1549</v>
      </c>
      <c r="E211" s="455" t="s">
        <v>590</v>
      </c>
      <c r="F211" s="168" t="s">
        <v>1563</v>
      </c>
      <c r="G211" s="150">
        <v>13048.17</v>
      </c>
      <c r="H211" s="456">
        <v>13100</v>
      </c>
      <c r="I211" s="160">
        <v>11795.03</v>
      </c>
      <c r="J211" s="168">
        <v>11796</v>
      </c>
      <c r="K211" s="168"/>
      <c r="L211" s="168">
        <v>11796</v>
      </c>
    </row>
    <row r="212" spans="1:12">
      <c r="A212" s="168">
        <v>27</v>
      </c>
      <c r="B212" s="168" t="s">
        <v>2758</v>
      </c>
      <c r="C212" s="168" t="s">
        <v>2834</v>
      </c>
      <c r="D212" s="455" t="s">
        <v>1549</v>
      </c>
      <c r="E212" s="455" t="s">
        <v>590</v>
      </c>
      <c r="F212" s="168" t="s">
        <v>1563</v>
      </c>
      <c r="G212" s="150">
        <v>13092.81</v>
      </c>
      <c r="H212" s="456">
        <v>13100</v>
      </c>
      <c r="I212" s="160">
        <v>14140.09</v>
      </c>
      <c r="J212" s="168">
        <v>14141</v>
      </c>
      <c r="K212" s="168"/>
      <c r="L212" s="168">
        <v>14141</v>
      </c>
    </row>
    <row r="213" spans="1:12">
      <c r="A213" s="168">
        <v>27</v>
      </c>
      <c r="B213" s="168" t="s">
        <v>2758</v>
      </c>
      <c r="C213" s="168" t="s">
        <v>2762</v>
      </c>
      <c r="D213" s="455" t="s">
        <v>1549</v>
      </c>
      <c r="E213" s="455" t="s">
        <v>1807</v>
      </c>
      <c r="F213" s="168" t="s">
        <v>1563</v>
      </c>
      <c r="G213" s="150">
        <v>630.4</v>
      </c>
      <c r="H213" s="456">
        <v>700</v>
      </c>
      <c r="I213" s="160">
        <v>656.88</v>
      </c>
      <c r="J213" s="168">
        <v>657</v>
      </c>
      <c r="K213" s="168"/>
      <c r="L213" s="168">
        <v>657</v>
      </c>
    </row>
    <row r="214" spans="1:12">
      <c r="A214" s="168">
        <v>31</v>
      </c>
      <c r="B214" s="168" t="s">
        <v>2758</v>
      </c>
      <c r="C214" s="168" t="s">
        <v>2832</v>
      </c>
      <c r="D214" s="455" t="s">
        <v>1549</v>
      </c>
      <c r="E214" s="455" t="s">
        <v>575</v>
      </c>
      <c r="F214" s="168" t="s">
        <v>1565</v>
      </c>
      <c r="G214" s="150">
        <v>10641.6</v>
      </c>
      <c r="H214" s="456">
        <v>11000</v>
      </c>
      <c r="I214" s="160">
        <v>11959.2</v>
      </c>
      <c r="J214" s="168">
        <v>11959</v>
      </c>
      <c r="K214" s="168"/>
      <c r="L214" s="168">
        <v>11959</v>
      </c>
    </row>
    <row r="215" spans="1:12">
      <c r="A215" s="168">
        <v>31</v>
      </c>
      <c r="B215" s="168" t="s">
        <v>2758</v>
      </c>
      <c r="C215" s="168" t="s">
        <v>2833</v>
      </c>
      <c r="D215" s="455" t="s">
        <v>1549</v>
      </c>
      <c r="E215" s="455" t="s">
        <v>590</v>
      </c>
      <c r="F215" s="168" t="s">
        <v>1565</v>
      </c>
      <c r="G215" s="150">
        <v>42557.279999999999</v>
      </c>
      <c r="H215" s="456">
        <v>42700</v>
      </c>
      <c r="I215" s="160">
        <v>46089.599999999999</v>
      </c>
      <c r="J215" s="168">
        <v>46090</v>
      </c>
      <c r="K215" s="168"/>
      <c r="L215" s="168">
        <v>46090</v>
      </c>
    </row>
    <row r="216" spans="1:12">
      <c r="A216" s="168">
        <v>31</v>
      </c>
      <c r="B216" s="168" t="s">
        <v>2758</v>
      </c>
      <c r="C216" s="168" t="s">
        <v>2759</v>
      </c>
      <c r="D216" s="455" t="s">
        <v>1549</v>
      </c>
      <c r="E216" s="455" t="s">
        <v>590</v>
      </c>
      <c r="F216" s="168" t="s">
        <v>1565</v>
      </c>
      <c r="G216" s="150">
        <v>2139.98</v>
      </c>
      <c r="H216" s="456">
        <v>2200</v>
      </c>
      <c r="I216" s="160">
        <v>2274.2600000000002</v>
      </c>
      <c r="J216" s="168">
        <v>2274</v>
      </c>
      <c r="K216" s="168"/>
      <c r="L216" s="168">
        <v>2274</v>
      </c>
    </row>
    <row r="217" spans="1:12">
      <c r="A217" s="168">
        <v>31</v>
      </c>
      <c r="B217" s="168" t="s">
        <v>2758</v>
      </c>
      <c r="C217" s="168" t="s">
        <v>2834</v>
      </c>
      <c r="D217" s="455" t="s">
        <v>1549</v>
      </c>
      <c r="E217" s="455" t="s">
        <v>590</v>
      </c>
      <c r="F217" s="168" t="s">
        <v>1565</v>
      </c>
      <c r="G217" s="150">
        <v>1755.96</v>
      </c>
      <c r="H217" s="456">
        <v>2000</v>
      </c>
      <c r="I217" s="160">
        <v>1901.76</v>
      </c>
      <c r="J217" s="168">
        <v>1902</v>
      </c>
      <c r="K217" s="168"/>
      <c r="L217" s="168">
        <v>1902</v>
      </c>
    </row>
    <row r="218" spans="1:12">
      <c r="A218" s="168">
        <v>31</v>
      </c>
      <c r="B218" s="168" t="s">
        <v>2758</v>
      </c>
      <c r="C218" s="168" t="s">
        <v>2762</v>
      </c>
      <c r="D218" s="455" t="s">
        <v>1549</v>
      </c>
      <c r="E218" s="455" t="s">
        <v>1807</v>
      </c>
      <c r="F218" s="168" t="s">
        <v>1565</v>
      </c>
      <c r="G218" s="150">
        <v>76.8</v>
      </c>
      <c r="H218" s="456">
        <v>80</v>
      </c>
      <c r="I218" s="160">
        <v>82.8</v>
      </c>
      <c r="J218" s="168">
        <v>83</v>
      </c>
      <c r="K218" s="168"/>
      <c r="L218" s="168">
        <v>83</v>
      </c>
    </row>
    <row r="219" spans="1:12">
      <c r="A219" s="168">
        <v>32</v>
      </c>
      <c r="B219" s="168" t="s">
        <v>2758</v>
      </c>
      <c r="C219" s="168" t="s">
        <v>2832</v>
      </c>
      <c r="D219" s="455" t="s">
        <v>1549</v>
      </c>
      <c r="E219" s="455" t="s">
        <v>590</v>
      </c>
      <c r="F219" s="168" t="s">
        <v>1566</v>
      </c>
      <c r="G219" s="150">
        <v>8956.7999999999993</v>
      </c>
      <c r="H219" s="456">
        <v>9000</v>
      </c>
      <c r="I219" s="160">
        <v>10717.2</v>
      </c>
      <c r="J219" s="168">
        <v>10717</v>
      </c>
      <c r="K219" s="168"/>
      <c r="L219" s="168">
        <v>10717</v>
      </c>
    </row>
    <row r="220" spans="1:12">
      <c r="A220" s="168">
        <v>32</v>
      </c>
      <c r="B220" s="168" t="s">
        <v>2758</v>
      </c>
      <c r="C220" s="168" t="s">
        <v>2833</v>
      </c>
      <c r="D220" s="455" t="s">
        <v>1549</v>
      </c>
      <c r="E220" s="455" t="s">
        <v>590</v>
      </c>
      <c r="F220" s="168" t="s">
        <v>1566</v>
      </c>
      <c r="G220" s="150">
        <v>33967.980000000003</v>
      </c>
      <c r="H220" s="456">
        <v>35000</v>
      </c>
      <c r="I220" s="160">
        <v>36479.279999999999</v>
      </c>
      <c r="J220" s="168">
        <v>36479</v>
      </c>
      <c r="K220" s="168"/>
      <c r="L220" s="168">
        <v>36479</v>
      </c>
    </row>
    <row r="221" spans="1:12">
      <c r="A221" s="168">
        <v>32</v>
      </c>
      <c r="B221" s="168" t="s">
        <v>2758</v>
      </c>
      <c r="C221" s="168" t="s">
        <v>2759</v>
      </c>
      <c r="D221" s="455" t="s">
        <v>1549</v>
      </c>
      <c r="E221" s="455" t="s">
        <v>590</v>
      </c>
      <c r="F221" s="168" t="s">
        <v>1566</v>
      </c>
      <c r="G221" s="150">
        <v>1721.69</v>
      </c>
      <c r="H221" s="456">
        <v>1800</v>
      </c>
      <c r="I221" s="160">
        <v>2186.8200000000002</v>
      </c>
      <c r="J221" s="168">
        <v>2186</v>
      </c>
      <c r="K221" s="168"/>
      <c r="L221" s="168">
        <v>2186</v>
      </c>
    </row>
    <row r="222" spans="1:12">
      <c r="A222" s="168">
        <v>32</v>
      </c>
      <c r="B222" s="168" t="s">
        <v>2758</v>
      </c>
      <c r="C222" s="168" t="s">
        <v>2834</v>
      </c>
      <c r="D222" s="455" t="s">
        <v>1549</v>
      </c>
      <c r="E222" s="455" t="s">
        <v>590</v>
      </c>
      <c r="F222" s="168" t="s">
        <v>1566</v>
      </c>
      <c r="G222" s="150">
        <v>2285.4</v>
      </c>
      <c r="H222" s="456">
        <v>2300</v>
      </c>
      <c r="I222" s="160">
        <v>2520.48</v>
      </c>
      <c r="J222" s="168">
        <v>2520</v>
      </c>
      <c r="K222" s="168"/>
      <c r="L222" s="168">
        <v>2520</v>
      </c>
    </row>
    <row r="223" spans="1:12">
      <c r="A223" s="168">
        <v>32</v>
      </c>
      <c r="B223" s="168" t="s">
        <v>2758</v>
      </c>
      <c r="C223" s="168" t="s">
        <v>2762</v>
      </c>
      <c r="D223" s="455" t="s">
        <v>1549</v>
      </c>
      <c r="E223" s="455" t="s">
        <v>1807</v>
      </c>
      <c r="F223" s="168" t="s">
        <v>1566</v>
      </c>
      <c r="G223" s="150">
        <v>76.8</v>
      </c>
      <c r="H223" s="456">
        <v>80</v>
      </c>
      <c r="I223" s="160">
        <v>82.8</v>
      </c>
      <c r="J223" s="168">
        <v>83</v>
      </c>
      <c r="K223" s="168"/>
      <c r="L223" s="168">
        <v>83</v>
      </c>
    </row>
    <row r="224" spans="1:12">
      <c r="A224" s="168">
        <v>50</v>
      </c>
      <c r="B224" s="168" t="s">
        <v>2758</v>
      </c>
      <c r="C224" s="168" t="s">
        <v>2832</v>
      </c>
      <c r="D224" s="455" t="s">
        <v>1549</v>
      </c>
      <c r="E224" s="455" t="s">
        <v>590</v>
      </c>
      <c r="F224" s="168" t="s">
        <v>1567</v>
      </c>
      <c r="G224" s="150">
        <v>134936.4</v>
      </c>
      <c r="H224" s="456">
        <v>140000</v>
      </c>
      <c r="I224" s="160">
        <v>80877.88</v>
      </c>
      <c r="J224" s="168">
        <v>80878</v>
      </c>
      <c r="K224" s="168"/>
      <c r="L224" s="168">
        <v>80878</v>
      </c>
    </row>
    <row r="225" spans="1:12">
      <c r="A225" s="168">
        <v>50</v>
      </c>
      <c r="B225" s="168" t="s">
        <v>2758</v>
      </c>
      <c r="C225" s="168" t="s">
        <v>2833</v>
      </c>
      <c r="D225" s="455" t="s">
        <v>1549</v>
      </c>
      <c r="E225" s="455" t="s">
        <v>590</v>
      </c>
      <c r="F225" s="168" t="s">
        <v>1567</v>
      </c>
      <c r="G225" s="150">
        <v>469203.24</v>
      </c>
      <c r="H225" s="456">
        <v>469500</v>
      </c>
      <c r="I225" s="160">
        <v>361694.9</v>
      </c>
      <c r="J225" s="168">
        <v>361695</v>
      </c>
      <c r="K225" s="168"/>
      <c r="L225" s="168">
        <v>361695</v>
      </c>
    </row>
    <row r="226" spans="1:12">
      <c r="A226" s="168">
        <v>50</v>
      </c>
      <c r="B226" s="168" t="s">
        <v>2758</v>
      </c>
      <c r="C226" s="168" t="s">
        <v>2759</v>
      </c>
      <c r="D226" s="455" t="s">
        <v>1549</v>
      </c>
      <c r="E226" s="455" t="s">
        <v>590</v>
      </c>
      <c r="F226" s="168" t="s">
        <v>1567</v>
      </c>
      <c r="G226" s="150">
        <v>25990.080000000002</v>
      </c>
      <c r="H226" s="456">
        <v>30000</v>
      </c>
      <c r="I226" s="160">
        <v>17270.650000000001</v>
      </c>
      <c r="J226" s="168">
        <v>17271</v>
      </c>
      <c r="K226" s="168"/>
      <c r="L226" s="168">
        <v>17271</v>
      </c>
    </row>
    <row r="227" spans="1:12">
      <c r="A227" s="168">
        <v>50</v>
      </c>
      <c r="B227" s="168" t="s">
        <v>2758</v>
      </c>
      <c r="C227" s="168" t="s">
        <v>2834</v>
      </c>
      <c r="D227" s="455" t="s">
        <v>1549</v>
      </c>
      <c r="E227" s="455" t="s">
        <v>590</v>
      </c>
      <c r="F227" s="168" t="s">
        <v>1567</v>
      </c>
      <c r="G227" s="150">
        <v>28361.99</v>
      </c>
      <c r="H227" s="456">
        <v>32000</v>
      </c>
      <c r="I227" s="160">
        <v>18825.23</v>
      </c>
      <c r="J227" s="168">
        <v>18826</v>
      </c>
      <c r="K227" s="168"/>
      <c r="L227" s="168">
        <v>18826</v>
      </c>
    </row>
    <row r="228" spans="1:12">
      <c r="A228" s="168">
        <v>50</v>
      </c>
      <c r="B228" s="168" t="s">
        <v>2758</v>
      </c>
      <c r="C228" s="168" t="s">
        <v>2762</v>
      </c>
      <c r="D228" s="455" t="s">
        <v>1549</v>
      </c>
      <c r="E228" s="455" t="s">
        <v>1807</v>
      </c>
      <c r="F228" s="168" t="s">
        <v>1567</v>
      </c>
      <c r="G228" s="150">
        <v>982.4</v>
      </c>
      <c r="H228" s="456">
        <v>1200</v>
      </c>
      <c r="I228" s="160">
        <v>767.28</v>
      </c>
      <c r="J228" s="168">
        <v>768</v>
      </c>
      <c r="K228" s="168"/>
      <c r="L228" s="168">
        <v>768</v>
      </c>
    </row>
    <row r="229" spans="1:12">
      <c r="A229" s="168">
        <v>51</v>
      </c>
      <c r="B229" s="168" t="s">
        <v>2758</v>
      </c>
      <c r="C229" s="168" t="s">
        <v>2832</v>
      </c>
      <c r="D229" s="455" t="s">
        <v>1549</v>
      </c>
      <c r="E229" s="455" t="s">
        <v>575</v>
      </c>
      <c r="F229" s="168" t="s">
        <v>1990</v>
      </c>
      <c r="G229" s="150">
        <v>0</v>
      </c>
      <c r="H229" s="456">
        <v>24000</v>
      </c>
      <c r="I229" s="160">
        <v>0</v>
      </c>
      <c r="J229" s="168">
        <v>0</v>
      </c>
      <c r="K229" s="168"/>
      <c r="L229" s="168">
        <v>0</v>
      </c>
    </row>
    <row r="230" spans="1:12">
      <c r="A230" s="168">
        <v>51</v>
      </c>
      <c r="B230" s="168" t="s">
        <v>2758</v>
      </c>
      <c r="C230" s="168" t="s">
        <v>2833</v>
      </c>
      <c r="D230" s="455" t="s">
        <v>1549</v>
      </c>
      <c r="E230" s="455" t="s">
        <v>590</v>
      </c>
      <c r="F230" s="168" t="s">
        <v>1990</v>
      </c>
      <c r="G230" s="150">
        <v>13098.72</v>
      </c>
      <c r="H230" s="456">
        <v>13100</v>
      </c>
      <c r="I230" s="160">
        <v>8024.84</v>
      </c>
      <c r="J230" s="168">
        <v>8025</v>
      </c>
      <c r="K230" s="168"/>
      <c r="L230" s="168">
        <v>8025</v>
      </c>
    </row>
    <row r="231" spans="1:12">
      <c r="A231" s="168">
        <v>51</v>
      </c>
      <c r="B231" s="168" t="s">
        <v>2758</v>
      </c>
      <c r="C231" s="168" t="s">
        <v>2759</v>
      </c>
      <c r="D231" s="455" t="s">
        <v>1549</v>
      </c>
      <c r="E231" s="455" t="s">
        <v>590</v>
      </c>
      <c r="F231" s="168" t="s">
        <v>1990</v>
      </c>
      <c r="G231" s="150">
        <v>790.35</v>
      </c>
      <c r="H231" s="456">
        <v>900</v>
      </c>
      <c r="I231" s="160">
        <v>992.4</v>
      </c>
      <c r="J231" s="168">
        <v>993</v>
      </c>
      <c r="K231" s="168"/>
      <c r="L231" s="168">
        <v>993</v>
      </c>
    </row>
    <row r="232" spans="1:12">
      <c r="A232" s="168">
        <v>51</v>
      </c>
      <c r="B232" s="168" t="s">
        <v>2758</v>
      </c>
      <c r="C232" s="168" t="s">
        <v>2834</v>
      </c>
      <c r="D232" s="455" t="s">
        <v>1549</v>
      </c>
      <c r="E232" s="455" t="s">
        <v>590</v>
      </c>
      <c r="F232" s="168" t="s">
        <v>1990</v>
      </c>
      <c r="G232" s="150">
        <v>0</v>
      </c>
      <c r="H232" s="456">
        <v>0</v>
      </c>
      <c r="I232" s="160">
        <v>0</v>
      </c>
      <c r="J232" s="168">
        <v>0</v>
      </c>
      <c r="K232" s="168"/>
      <c r="L232" s="168">
        <v>0</v>
      </c>
    </row>
    <row r="233" spans="1:12">
      <c r="A233" s="168">
        <v>51</v>
      </c>
      <c r="B233" s="168" t="s">
        <v>2758</v>
      </c>
      <c r="C233" s="168" t="s">
        <v>2762</v>
      </c>
      <c r="D233" s="455" t="s">
        <v>1549</v>
      </c>
      <c r="E233" s="455" t="s">
        <v>1807</v>
      </c>
      <c r="F233" s="168" t="s">
        <v>1990</v>
      </c>
      <c r="G233" s="150">
        <v>38.4</v>
      </c>
      <c r="H233" s="456">
        <v>40</v>
      </c>
      <c r="I233" s="160">
        <v>28.98</v>
      </c>
      <c r="J233" s="168">
        <v>29</v>
      </c>
      <c r="K233" s="168"/>
      <c r="L233" s="168">
        <v>29</v>
      </c>
    </row>
    <row r="234" spans="1:12">
      <c r="A234" s="168">
        <v>52</v>
      </c>
      <c r="B234" s="168" t="s">
        <v>2758</v>
      </c>
      <c r="C234" s="168" t="s">
        <v>2832</v>
      </c>
      <c r="D234" s="455" t="s">
        <v>1549</v>
      </c>
      <c r="E234" s="455" t="s">
        <v>575</v>
      </c>
      <c r="F234" s="168" t="s">
        <v>1568</v>
      </c>
      <c r="G234" s="150">
        <v>8902.7999999999993</v>
      </c>
      <c r="H234" s="456">
        <v>9000</v>
      </c>
      <c r="I234" s="160">
        <v>9871.2000000000007</v>
      </c>
      <c r="J234" s="168">
        <v>9871</v>
      </c>
      <c r="K234" s="168"/>
      <c r="L234" s="168">
        <v>9871</v>
      </c>
    </row>
    <row r="235" spans="1:12">
      <c r="A235" s="168">
        <v>52</v>
      </c>
      <c r="B235" s="168" t="s">
        <v>2758</v>
      </c>
      <c r="C235" s="168" t="s">
        <v>2833</v>
      </c>
      <c r="D235" s="455" t="s">
        <v>1549</v>
      </c>
      <c r="E235" s="455" t="s">
        <v>575</v>
      </c>
      <c r="F235" s="168" t="s">
        <v>1568</v>
      </c>
      <c r="G235" s="150">
        <v>30994.68</v>
      </c>
      <c r="H235" s="456">
        <v>31000</v>
      </c>
      <c r="I235" s="160">
        <v>33567.120000000003</v>
      </c>
      <c r="J235" s="168">
        <v>33567</v>
      </c>
      <c r="K235" s="168"/>
      <c r="L235" s="168">
        <v>33567</v>
      </c>
    </row>
    <row r="236" spans="1:12">
      <c r="A236" s="168">
        <v>52</v>
      </c>
      <c r="B236" s="168" t="s">
        <v>2758</v>
      </c>
      <c r="C236" s="168" t="s">
        <v>2759</v>
      </c>
      <c r="D236" s="455" t="s">
        <v>1549</v>
      </c>
      <c r="E236" s="455" t="s">
        <v>575</v>
      </c>
      <c r="F236" s="168" t="s">
        <v>1568</v>
      </c>
      <c r="G236" s="150">
        <v>1472.88</v>
      </c>
      <c r="H236" s="456">
        <v>1500</v>
      </c>
      <c r="I236" s="160">
        <v>1497.36</v>
      </c>
      <c r="J236" s="168">
        <v>1497</v>
      </c>
      <c r="K236" s="168"/>
      <c r="L236" s="168">
        <v>1497</v>
      </c>
    </row>
    <row r="237" spans="1:12">
      <c r="A237" s="168">
        <v>52</v>
      </c>
      <c r="B237" s="168" t="s">
        <v>2758</v>
      </c>
      <c r="C237" s="168" t="s">
        <v>2834</v>
      </c>
      <c r="D237" s="455" t="s">
        <v>1549</v>
      </c>
      <c r="E237" s="455" t="s">
        <v>575</v>
      </c>
      <c r="F237" s="168" t="s">
        <v>1568</v>
      </c>
      <c r="G237" s="150">
        <v>2141.4</v>
      </c>
      <c r="H237" s="456">
        <v>2200</v>
      </c>
      <c r="I237" s="160">
        <v>2319.2399999999998</v>
      </c>
      <c r="J237" s="168">
        <v>2319</v>
      </c>
      <c r="K237" s="168"/>
      <c r="L237" s="168">
        <v>2319</v>
      </c>
    </row>
    <row r="238" spans="1:12">
      <c r="A238" s="168">
        <v>52</v>
      </c>
      <c r="B238" s="168" t="s">
        <v>2758</v>
      </c>
      <c r="C238" s="168" t="s">
        <v>2762</v>
      </c>
      <c r="D238" s="455" t="s">
        <v>1549</v>
      </c>
      <c r="E238" s="455" t="s">
        <v>1807</v>
      </c>
      <c r="F238" s="168" t="s">
        <v>1568</v>
      </c>
      <c r="G238" s="150">
        <v>38.4</v>
      </c>
      <c r="H238" s="456">
        <v>40</v>
      </c>
      <c r="I238" s="160">
        <v>41.4</v>
      </c>
      <c r="J238" s="168">
        <v>41</v>
      </c>
      <c r="K238" s="168"/>
      <c r="L238" s="168">
        <v>41</v>
      </c>
    </row>
    <row r="239" spans="1:12">
      <c r="A239" s="168">
        <v>63</v>
      </c>
      <c r="B239" s="168" t="s">
        <v>2758</v>
      </c>
      <c r="C239" s="168" t="s">
        <v>2832</v>
      </c>
      <c r="D239" s="455" t="s">
        <v>1549</v>
      </c>
      <c r="E239" s="455" t="s">
        <v>590</v>
      </c>
      <c r="F239" s="168" t="s">
        <v>1229</v>
      </c>
      <c r="G239" s="150">
        <v>22868.15</v>
      </c>
      <c r="H239" s="456">
        <v>22900</v>
      </c>
      <c r="I239" s="160">
        <v>4994.3999999999996</v>
      </c>
      <c r="J239" s="168">
        <v>4994</v>
      </c>
      <c r="K239" s="168"/>
      <c r="L239" s="168">
        <v>4994</v>
      </c>
    </row>
    <row r="240" spans="1:12">
      <c r="A240" s="168">
        <v>63</v>
      </c>
      <c r="B240" s="168" t="s">
        <v>2758</v>
      </c>
      <c r="C240" s="168" t="s">
        <v>2833</v>
      </c>
      <c r="D240" s="455" t="s">
        <v>1549</v>
      </c>
      <c r="E240" s="455" t="s">
        <v>590</v>
      </c>
      <c r="F240" s="168" t="s">
        <v>1229</v>
      </c>
      <c r="G240" s="150">
        <v>38823.96</v>
      </c>
      <c r="H240" s="456">
        <v>39000</v>
      </c>
      <c r="I240" s="160">
        <v>7007.72</v>
      </c>
      <c r="J240" s="168">
        <v>7008</v>
      </c>
      <c r="K240" s="168"/>
      <c r="L240" s="168">
        <v>7008</v>
      </c>
    </row>
    <row r="241" spans="1:12">
      <c r="A241" s="168">
        <v>63</v>
      </c>
      <c r="B241" s="168" t="s">
        <v>2758</v>
      </c>
      <c r="C241" s="168" t="s">
        <v>2759</v>
      </c>
      <c r="D241" s="455" t="s">
        <v>1549</v>
      </c>
      <c r="E241" s="455" t="s">
        <v>590</v>
      </c>
      <c r="F241" s="168" t="s">
        <v>1229</v>
      </c>
      <c r="G241" s="150">
        <v>1472.88</v>
      </c>
      <c r="H241" s="456">
        <v>1500</v>
      </c>
      <c r="I241" s="160">
        <v>249.56</v>
      </c>
      <c r="J241" s="168">
        <v>250</v>
      </c>
      <c r="K241" s="168"/>
      <c r="L241" s="168">
        <v>250</v>
      </c>
    </row>
    <row r="242" spans="1:12">
      <c r="A242" s="168">
        <v>63</v>
      </c>
      <c r="B242" s="168" t="s">
        <v>2758</v>
      </c>
      <c r="C242" s="168" t="s">
        <v>2834</v>
      </c>
      <c r="D242" s="455" t="s">
        <v>1549</v>
      </c>
      <c r="E242" s="455" t="s">
        <v>575</v>
      </c>
      <c r="F242" s="168" t="s">
        <v>1229</v>
      </c>
      <c r="G242" s="150">
        <v>4464.72</v>
      </c>
      <c r="H242" s="456">
        <v>4500</v>
      </c>
      <c r="I242" s="160">
        <v>805.88</v>
      </c>
      <c r="J242" s="168">
        <v>806</v>
      </c>
      <c r="K242" s="168"/>
      <c r="L242" s="168">
        <v>806</v>
      </c>
    </row>
    <row r="243" spans="1:12">
      <c r="A243" s="168">
        <v>63</v>
      </c>
      <c r="B243" s="168" t="s">
        <v>2758</v>
      </c>
      <c r="C243" s="168" t="s">
        <v>2762</v>
      </c>
      <c r="D243" s="455" t="s">
        <v>1549</v>
      </c>
      <c r="E243" s="455" t="s">
        <v>1807</v>
      </c>
      <c r="F243" s="168" t="s">
        <v>1229</v>
      </c>
      <c r="G243" s="150">
        <v>38.4</v>
      </c>
      <c r="H243" s="456">
        <v>40</v>
      </c>
      <c r="I243" s="160">
        <v>6.9</v>
      </c>
      <c r="J243" s="168">
        <v>7</v>
      </c>
      <c r="K243" s="168"/>
      <c r="L243" s="168">
        <v>7</v>
      </c>
    </row>
    <row r="244" spans="1:12">
      <c r="A244" s="168">
        <v>64</v>
      </c>
      <c r="B244" s="168" t="s">
        <v>2758</v>
      </c>
      <c r="C244" s="168" t="s">
        <v>2832</v>
      </c>
      <c r="D244" s="455" t="s">
        <v>1549</v>
      </c>
      <c r="E244" s="455" t="s">
        <v>575</v>
      </c>
      <c r="F244" s="168" t="s">
        <v>1569</v>
      </c>
      <c r="G244" s="150">
        <v>0</v>
      </c>
      <c r="H244" s="456">
        <v>0</v>
      </c>
      <c r="I244" s="160">
        <v>0</v>
      </c>
      <c r="J244" s="168">
        <v>0</v>
      </c>
      <c r="K244" s="168"/>
      <c r="L244" s="168">
        <v>0</v>
      </c>
    </row>
    <row r="245" spans="1:12">
      <c r="A245" s="168">
        <v>64</v>
      </c>
      <c r="B245" s="168" t="s">
        <v>2758</v>
      </c>
      <c r="C245" s="168" t="s">
        <v>2833</v>
      </c>
      <c r="D245" s="455" t="s">
        <v>1549</v>
      </c>
      <c r="E245" s="455" t="s">
        <v>590</v>
      </c>
      <c r="F245" s="168" t="s">
        <v>1569</v>
      </c>
      <c r="G245" s="150">
        <v>263461.74</v>
      </c>
      <c r="H245" s="456">
        <v>263500</v>
      </c>
      <c r="I245" s="160">
        <v>317698.2</v>
      </c>
      <c r="J245" s="168">
        <v>317698</v>
      </c>
      <c r="K245" s="168"/>
      <c r="L245" s="168">
        <v>317698</v>
      </c>
    </row>
    <row r="246" spans="1:12">
      <c r="A246" s="168">
        <v>64</v>
      </c>
      <c r="B246" s="168" t="s">
        <v>2758</v>
      </c>
      <c r="C246" s="168" t="s">
        <v>2759</v>
      </c>
      <c r="D246" s="455" t="s">
        <v>1549</v>
      </c>
      <c r="E246" s="455" t="s">
        <v>590</v>
      </c>
      <c r="F246" s="168" t="s">
        <v>1569</v>
      </c>
      <c r="G246" s="150">
        <v>14673.55</v>
      </c>
      <c r="H246" s="456">
        <v>15000</v>
      </c>
      <c r="I246" s="160">
        <v>20239.91</v>
      </c>
      <c r="J246" s="168">
        <v>20232</v>
      </c>
      <c r="K246" s="168"/>
      <c r="L246" s="168">
        <v>20232</v>
      </c>
    </row>
    <row r="247" spans="1:12">
      <c r="A247" s="168">
        <v>64</v>
      </c>
      <c r="B247" s="168" t="s">
        <v>2758</v>
      </c>
      <c r="C247" s="168" t="s">
        <v>2834</v>
      </c>
      <c r="D247" s="455" t="s">
        <v>1549</v>
      </c>
      <c r="E247" s="455" t="s">
        <v>575</v>
      </c>
      <c r="F247" s="168" t="s">
        <v>1569</v>
      </c>
      <c r="G247" s="150">
        <v>4534.01</v>
      </c>
      <c r="H247" s="456">
        <v>5000</v>
      </c>
      <c r="I247" s="160">
        <v>6591.24</v>
      </c>
      <c r="J247" s="168">
        <v>6591</v>
      </c>
      <c r="K247" s="168"/>
      <c r="L247" s="168">
        <v>6591</v>
      </c>
    </row>
    <row r="248" spans="1:12">
      <c r="A248" s="168">
        <v>64</v>
      </c>
      <c r="B248" s="168" t="s">
        <v>2758</v>
      </c>
      <c r="C248" s="168" t="s">
        <v>2762</v>
      </c>
      <c r="D248" s="455" t="s">
        <v>1549</v>
      </c>
      <c r="E248" s="455" t="s">
        <v>1807</v>
      </c>
      <c r="F248" s="168" t="s">
        <v>1569</v>
      </c>
      <c r="G248" s="150">
        <v>1129.5999999999999</v>
      </c>
      <c r="H248" s="456">
        <v>1150</v>
      </c>
      <c r="I248" s="160">
        <v>1366.2</v>
      </c>
      <c r="J248" s="168">
        <v>1366</v>
      </c>
      <c r="K248" s="168"/>
      <c r="L248" s="168">
        <v>1366</v>
      </c>
    </row>
    <row r="249" spans="1:12">
      <c r="A249" s="168">
        <v>65</v>
      </c>
      <c r="B249" s="168" t="s">
        <v>2758</v>
      </c>
      <c r="C249" s="168" t="s">
        <v>2832</v>
      </c>
      <c r="D249" s="455" t="s">
        <v>1549</v>
      </c>
      <c r="E249" s="455" t="s">
        <v>575</v>
      </c>
      <c r="F249" s="168" t="s">
        <v>1570</v>
      </c>
      <c r="G249" s="150">
        <v>0</v>
      </c>
      <c r="H249" s="456">
        <v>0</v>
      </c>
      <c r="I249" s="168">
        <v>0</v>
      </c>
      <c r="J249" s="168">
        <v>0</v>
      </c>
      <c r="K249" s="168"/>
      <c r="L249" s="168">
        <v>0</v>
      </c>
    </row>
    <row r="250" spans="1:12">
      <c r="A250" s="168">
        <v>65</v>
      </c>
      <c r="B250" s="168" t="s">
        <v>2758</v>
      </c>
      <c r="C250" s="168" t="s">
        <v>2833</v>
      </c>
      <c r="D250" s="455" t="s">
        <v>1549</v>
      </c>
      <c r="E250" s="455" t="s">
        <v>590</v>
      </c>
      <c r="F250" s="168" t="s">
        <v>1570</v>
      </c>
      <c r="G250" s="150">
        <v>23439.96</v>
      </c>
      <c r="H250" s="456">
        <v>24000</v>
      </c>
      <c r="I250" s="160">
        <v>25385.52</v>
      </c>
      <c r="J250" s="168">
        <v>25386</v>
      </c>
      <c r="K250" s="168"/>
      <c r="L250" s="168">
        <v>25386</v>
      </c>
    </row>
    <row r="251" spans="1:12">
      <c r="A251" s="168">
        <v>65</v>
      </c>
      <c r="B251" s="168" t="s">
        <v>2758</v>
      </c>
      <c r="C251" s="168" t="s">
        <v>2759</v>
      </c>
      <c r="D251" s="455" t="s">
        <v>1549</v>
      </c>
      <c r="E251" s="455" t="s">
        <v>590</v>
      </c>
      <c r="F251" s="168" t="s">
        <v>1570</v>
      </c>
      <c r="G251" s="150">
        <v>1310.67</v>
      </c>
      <c r="H251" s="456">
        <v>1400</v>
      </c>
      <c r="I251" s="160">
        <v>1491.42</v>
      </c>
      <c r="J251" s="168">
        <v>1497</v>
      </c>
      <c r="K251" s="168"/>
      <c r="L251" s="168">
        <v>1497</v>
      </c>
    </row>
    <row r="252" spans="1:12">
      <c r="A252" s="168">
        <v>65</v>
      </c>
      <c r="B252" s="168" t="s">
        <v>2758</v>
      </c>
      <c r="C252" s="168" t="s">
        <v>2834</v>
      </c>
      <c r="D252" s="455" t="s">
        <v>1549</v>
      </c>
      <c r="E252" s="455" t="s">
        <v>590</v>
      </c>
      <c r="F252" s="168" t="s">
        <v>1570</v>
      </c>
      <c r="G252" s="150">
        <v>0</v>
      </c>
      <c r="H252" s="456">
        <v>0</v>
      </c>
      <c r="I252" s="160">
        <v>0</v>
      </c>
      <c r="J252" s="168">
        <v>0</v>
      </c>
      <c r="K252" s="168"/>
      <c r="L252" s="168">
        <v>0</v>
      </c>
    </row>
    <row r="253" spans="1:12">
      <c r="A253" s="168">
        <v>65</v>
      </c>
      <c r="B253" s="168" t="s">
        <v>2758</v>
      </c>
      <c r="C253" s="168" t="s">
        <v>2762</v>
      </c>
      <c r="D253" s="455" t="s">
        <v>1549</v>
      </c>
      <c r="E253" s="455" t="s">
        <v>1807</v>
      </c>
      <c r="F253" s="168" t="s">
        <v>1570</v>
      </c>
      <c r="G253" s="150">
        <v>115.2</v>
      </c>
      <c r="H253" s="456">
        <v>120</v>
      </c>
      <c r="I253" s="160">
        <v>124.2</v>
      </c>
      <c r="J253" s="168">
        <v>124</v>
      </c>
      <c r="K253" s="168"/>
      <c r="L253" s="168">
        <v>124</v>
      </c>
    </row>
    <row r="254" spans="1:12">
      <c r="A254" s="168">
        <v>66</v>
      </c>
      <c r="B254" s="168" t="s">
        <v>2758</v>
      </c>
      <c r="C254" s="168" t="s">
        <v>2832</v>
      </c>
      <c r="D254" s="455" t="s">
        <v>1549</v>
      </c>
      <c r="E254" s="455" t="s">
        <v>590</v>
      </c>
      <c r="F254" s="168" t="s">
        <v>1571</v>
      </c>
      <c r="G254" s="150">
        <v>0</v>
      </c>
      <c r="H254" s="456">
        <v>0</v>
      </c>
      <c r="I254" s="160">
        <v>4749.6000000000004</v>
      </c>
      <c r="J254" s="168">
        <v>4750</v>
      </c>
      <c r="K254" s="168"/>
      <c r="L254" s="168">
        <v>4750</v>
      </c>
    </row>
    <row r="255" spans="1:12">
      <c r="A255" s="168">
        <v>66</v>
      </c>
      <c r="B255" s="168" t="s">
        <v>2758</v>
      </c>
      <c r="C255" s="168" t="s">
        <v>2833</v>
      </c>
      <c r="D255" s="455" t="s">
        <v>1549</v>
      </c>
      <c r="E255" s="455" t="s">
        <v>590</v>
      </c>
      <c r="F255" s="168" t="s">
        <v>1571</v>
      </c>
      <c r="G255" s="150">
        <v>319519.44</v>
      </c>
      <c r="H255" s="456">
        <v>319600</v>
      </c>
      <c r="I255" s="160">
        <v>355786.54</v>
      </c>
      <c r="J255" s="168">
        <v>355787</v>
      </c>
      <c r="K255" s="168"/>
      <c r="L255" s="168">
        <v>355787</v>
      </c>
    </row>
    <row r="256" spans="1:12">
      <c r="A256" s="168">
        <v>66</v>
      </c>
      <c r="B256" s="168" t="s">
        <v>2758</v>
      </c>
      <c r="C256" s="168" t="s">
        <v>2759</v>
      </c>
      <c r="D256" s="455" t="s">
        <v>1549</v>
      </c>
      <c r="E256" s="455" t="s">
        <v>590</v>
      </c>
      <c r="F256" s="168" t="s">
        <v>1571</v>
      </c>
      <c r="G256" s="150">
        <v>18689.27</v>
      </c>
      <c r="H256" s="456">
        <v>18700</v>
      </c>
      <c r="I256" s="160">
        <v>23035.85</v>
      </c>
      <c r="J256" s="168">
        <v>23035</v>
      </c>
      <c r="K256" s="168"/>
      <c r="L256" s="168">
        <v>23035</v>
      </c>
    </row>
    <row r="257" spans="1:12">
      <c r="A257" s="168">
        <v>66</v>
      </c>
      <c r="B257" s="168" t="s">
        <v>2758</v>
      </c>
      <c r="C257" s="168" t="s">
        <v>2834</v>
      </c>
      <c r="D257" s="455" t="s">
        <v>1549</v>
      </c>
      <c r="E257" s="455" t="s">
        <v>590</v>
      </c>
      <c r="F257" s="168" t="s">
        <v>1571</v>
      </c>
      <c r="G257" s="150">
        <v>4391.1000000000004</v>
      </c>
      <c r="H257" s="456">
        <v>4400</v>
      </c>
      <c r="I257" s="160">
        <v>6974.88</v>
      </c>
      <c r="J257" s="168">
        <v>6975</v>
      </c>
      <c r="K257" s="168"/>
      <c r="L257" s="168">
        <v>6975</v>
      </c>
    </row>
    <row r="258" spans="1:12">
      <c r="A258" s="168">
        <v>66</v>
      </c>
      <c r="B258" s="168" t="s">
        <v>2758</v>
      </c>
      <c r="C258" s="168" t="s">
        <v>2762</v>
      </c>
      <c r="D258" s="455" t="s">
        <v>1549</v>
      </c>
      <c r="E258" s="455" t="s">
        <v>1807</v>
      </c>
      <c r="F258" s="168" t="s">
        <v>1571</v>
      </c>
      <c r="G258" s="150">
        <v>1417.6</v>
      </c>
      <c r="H258" s="456">
        <v>1420</v>
      </c>
      <c r="I258" s="160">
        <v>1569.75</v>
      </c>
      <c r="J258" s="168">
        <v>1570</v>
      </c>
      <c r="K258" s="168"/>
      <c r="L258" s="168">
        <v>1570</v>
      </c>
    </row>
    <row r="259" spans="1:12">
      <c r="A259" s="168">
        <v>80</v>
      </c>
      <c r="B259" s="168" t="s">
        <v>2758</v>
      </c>
      <c r="C259" s="168" t="s">
        <v>2832</v>
      </c>
      <c r="D259" s="455" t="s">
        <v>1549</v>
      </c>
      <c r="E259" s="455" t="s">
        <v>590</v>
      </c>
      <c r="F259" s="168" t="s">
        <v>1572</v>
      </c>
      <c r="G259" s="150">
        <v>26149.39</v>
      </c>
      <c r="H259" s="456">
        <v>26200</v>
      </c>
      <c r="I259" s="160">
        <v>34797.410000000003</v>
      </c>
      <c r="J259" s="168">
        <v>34798</v>
      </c>
      <c r="K259" s="168"/>
      <c r="L259" s="168">
        <v>34798</v>
      </c>
    </row>
    <row r="260" spans="1:12">
      <c r="A260" s="168">
        <v>80</v>
      </c>
      <c r="B260" s="168" t="s">
        <v>2758</v>
      </c>
      <c r="C260" s="168" t="s">
        <v>2833</v>
      </c>
      <c r="D260" s="455" t="s">
        <v>1549</v>
      </c>
      <c r="E260" s="455" t="s">
        <v>590</v>
      </c>
      <c r="F260" s="168" t="s">
        <v>1572</v>
      </c>
      <c r="G260" s="150">
        <v>63148.2</v>
      </c>
      <c r="H260" s="456">
        <v>63200</v>
      </c>
      <c r="I260" s="160">
        <v>58343.94</v>
      </c>
      <c r="J260" s="168">
        <v>58344</v>
      </c>
      <c r="K260" s="168"/>
      <c r="L260" s="168">
        <v>58344</v>
      </c>
    </row>
    <row r="261" spans="1:12">
      <c r="A261" s="168">
        <v>80</v>
      </c>
      <c r="B261" s="168" t="s">
        <v>2758</v>
      </c>
      <c r="C261" s="168" t="s">
        <v>2759</v>
      </c>
      <c r="D261" s="455" t="s">
        <v>1549</v>
      </c>
      <c r="E261" s="455" t="s">
        <v>590</v>
      </c>
      <c r="F261" s="168" t="s">
        <v>1572</v>
      </c>
      <c r="G261" s="150">
        <v>3798.2</v>
      </c>
      <c r="H261" s="456">
        <v>3800</v>
      </c>
      <c r="I261" s="160">
        <v>458.73</v>
      </c>
      <c r="J261" s="168">
        <v>459</v>
      </c>
      <c r="K261" s="168"/>
      <c r="L261" s="168">
        <v>459</v>
      </c>
    </row>
    <row r="262" spans="1:12">
      <c r="A262" s="168">
        <v>80</v>
      </c>
      <c r="B262" s="168" t="s">
        <v>2758</v>
      </c>
      <c r="C262" s="168" t="s">
        <v>2834</v>
      </c>
      <c r="D262" s="455" t="s">
        <v>1549</v>
      </c>
      <c r="E262" s="455" t="s">
        <v>590</v>
      </c>
      <c r="F262" s="168" t="s">
        <v>1572</v>
      </c>
      <c r="G262" s="150">
        <v>4362.93</v>
      </c>
      <c r="H262" s="456">
        <v>4400</v>
      </c>
      <c r="I262" s="160">
        <v>317.76</v>
      </c>
      <c r="J262" s="168">
        <v>318</v>
      </c>
      <c r="K262" s="168"/>
      <c r="L262" s="168">
        <v>318</v>
      </c>
    </row>
    <row r="263" spans="1:12">
      <c r="A263" s="168">
        <v>80</v>
      </c>
      <c r="B263" s="168" t="s">
        <v>2758</v>
      </c>
      <c r="C263" s="168" t="s">
        <v>2762</v>
      </c>
      <c r="D263" s="455" t="s">
        <v>1549</v>
      </c>
      <c r="E263" s="455" t="s">
        <v>1807</v>
      </c>
      <c r="F263" s="168" t="s">
        <v>1572</v>
      </c>
      <c r="G263" s="150">
        <v>118.4</v>
      </c>
      <c r="H263" s="456">
        <v>210</v>
      </c>
      <c r="I263" s="160">
        <v>117.99</v>
      </c>
      <c r="J263" s="168">
        <v>118</v>
      </c>
      <c r="K263" s="168"/>
      <c r="L263" s="168">
        <v>118</v>
      </c>
    </row>
    <row r="264" spans="1:12">
      <c r="A264" s="168">
        <v>81</v>
      </c>
      <c r="B264" s="168" t="s">
        <v>2758</v>
      </c>
      <c r="C264" s="168" t="s">
        <v>2832</v>
      </c>
      <c r="D264" s="455" t="s">
        <v>1549</v>
      </c>
      <c r="E264" s="455" t="s">
        <v>590</v>
      </c>
      <c r="F264" s="168" t="s">
        <v>1573</v>
      </c>
      <c r="G264" s="150">
        <v>29530.799999999999</v>
      </c>
      <c r="H264" s="456">
        <v>30000</v>
      </c>
      <c r="I264" s="160">
        <v>19911.599999999999</v>
      </c>
      <c r="J264" s="168">
        <v>19911</v>
      </c>
      <c r="K264" s="168"/>
      <c r="L264" s="168">
        <v>19911</v>
      </c>
    </row>
    <row r="265" spans="1:12">
      <c r="A265" s="168">
        <v>81</v>
      </c>
      <c r="B265" s="168" t="s">
        <v>2758</v>
      </c>
      <c r="C265" s="168" t="s">
        <v>2833</v>
      </c>
      <c r="D265" s="455" t="s">
        <v>1549</v>
      </c>
      <c r="E265" s="455" t="s">
        <v>590</v>
      </c>
      <c r="F265" s="168" t="s">
        <v>1573</v>
      </c>
      <c r="G265" s="150">
        <v>351422.69</v>
      </c>
      <c r="H265" s="456">
        <v>351500</v>
      </c>
      <c r="I265" s="160">
        <v>368866.18</v>
      </c>
      <c r="J265" s="168">
        <v>368867</v>
      </c>
      <c r="K265" s="168"/>
      <c r="L265" s="168">
        <v>368867</v>
      </c>
    </row>
    <row r="266" spans="1:12">
      <c r="A266" s="168">
        <v>81</v>
      </c>
      <c r="B266" s="168" t="s">
        <v>2758</v>
      </c>
      <c r="C266" s="168" t="s">
        <v>2759</v>
      </c>
      <c r="D266" s="455" t="s">
        <v>1549</v>
      </c>
      <c r="E266" s="455" t="s">
        <v>590</v>
      </c>
      <c r="F266" s="168" t="s">
        <v>1573</v>
      </c>
      <c r="G266" s="150">
        <v>19890.439999999999</v>
      </c>
      <c r="H266" s="456">
        <v>20000</v>
      </c>
      <c r="I266" s="160">
        <v>23606.03</v>
      </c>
      <c r="J266" s="168">
        <v>23606</v>
      </c>
      <c r="K266" s="168"/>
      <c r="L266" s="168">
        <v>23606</v>
      </c>
    </row>
    <row r="267" spans="1:12">
      <c r="A267" s="168">
        <v>81</v>
      </c>
      <c r="B267" s="168" t="s">
        <v>2758</v>
      </c>
      <c r="C267" s="168" t="s">
        <v>2834</v>
      </c>
      <c r="D267" s="455" t="s">
        <v>1549</v>
      </c>
      <c r="E267" s="455" t="s">
        <v>590</v>
      </c>
      <c r="F267" s="168" t="s">
        <v>1573</v>
      </c>
      <c r="G267" s="150">
        <v>4935.0600000000004</v>
      </c>
      <c r="H267" s="456">
        <v>5000</v>
      </c>
      <c r="I267" s="160">
        <v>6008.2</v>
      </c>
      <c r="J267" s="168">
        <v>6006</v>
      </c>
      <c r="K267" s="168"/>
      <c r="L267" s="168">
        <v>6006</v>
      </c>
    </row>
    <row r="268" spans="1:12">
      <c r="A268" s="168">
        <v>81</v>
      </c>
      <c r="B268" s="168" t="s">
        <v>2758</v>
      </c>
      <c r="C268" s="168" t="s">
        <v>2762</v>
      </c>
      <c r="D268" s="455" t="s">
        <v>1549</v>
      </c>
      <c r="E268" s="455" t="s">
        <v>1807</v>
      </c>
      <c r="F268" s="168" t="s">
        <v>1573</v>
      </c>
      <c r="G268" s="150">
        <v>1395.2</v>
      </c>
      <c r="H268" s="456">
        <v>1400</v>
      </c>
      <c r="I268" s="160">
        <v>1555.95</v>
      </c>
      <c r="J268" s="168">
        <v>1556</v>
      </c>
      <c r="K268" s="168"/>
      <c r="L268" s="168">
        <v>1556</v>
      </c>
    </row>
    <row r="269" spans="1:12">
      <c r="A269" s="168">
        <v>84</v>
      </c>
      <c r="B269" s="168" t="s">
        <v>2758</v>
      </c>
      <c r="C269" s="168" t="s">
        <v>2832</v>
      </c>
      <c r="D269" s="455" t="s">
        <v>1549</v>
      </c>
      <c r="E269" s="455" t="s">
        <v>590</v>
      </c>
      <c r="F269" s="168" t="s">
        <v>1244</v>
      </c>
      <c r="G269" s="150">
        <v>59929.68</v>
      </c>
      <c r="H269" s="456">
        <v>63000</v>
      </c>
      <c r="I269" s="160">
        <v>40624</v>
      </c>
      <c r="J269" s="168">
        <v>40624</v>
      </c>
      <c r="K269" s="168"/>
      <c r="L269" s="168">
        <v>40624</v>
      </c>
    </row>
    <row r="270" spans="1:12">
      <c r="A270" s="168">
        <v>84</v>
      </c>
      <c r="B270" s="168" t="s">
        <v>2758</v>
      </c>
      <c r="C270" s="168" t="s">
        <v>2833</v>
      </c>
      <c r="D270" s="455" t="s">
        <v>1549</v>
      </c>
      <c r="E270" s="455" t="s">
        <v>590</v>
      </c>
      <c r="F270" s="168" t="s">
        <v>1244</v>
      </c>
      <c r="G270" s="150">
        <v>310948.84999999998</v>
      </c>
      <c r="H270" s="456">
        <v>317000</v>
      </c>
      <c r="I270" s="160">
        <v>235307.2</v>
      </c>
      <c r="J270" s="168">
        <v>235308</v>
      </c>
      <c r="K270" s="168"/>
      <c r="L270" s="168">
        <v>235308</v>
      </c>
    </row>
    <row r="271" spans="1:12">
      <c r="A271" s="168">
        <v>84</v>
      </c>
      <c r="B271" s="168" t="s">
        <v>2758</v>
      </c>
      <c r="C271" s="168" t="s">
        <v>2759</v>
      </c>
      <c r="D271" s="455" t="s">
        <v>1549</v>
      </c>
      <c r="E271" s="455" t="s">
        <v>590</v>
      </c>
      <c r="F271" s="168" t="s">
        <v>1244</v>
      </c>
      <c r="G271" s="150">
        <v>18370.490000000002</v>
      </c>
      <c r="H271" s="456">
        <v>19000</v>
      </c>
      <c r="I271" s="160">
        <v>15320.51</v>
      </c>
      <c r="J271" s="168">
        <v>15321</v>
      </c>
      <c r="K271" s="168"/>
      <c r="L271" s="168">
        <v>15321</v>
      </c>
    </row>
    <row r="272" spans="1:12">
      <c r="A272" s="168">
        <v>84</v>
      </c>
      <c r="B272" s="168" t="s">
        <v>2758</v>
      </c>
      <c r="C272" s="168" t="s">
        <v>2834</v>
      </c>
      <c r="D272" s="455" t="s">
        <v>1549</v>
      </c>
      <c r="E272" s="455" t="s">
        <v>590</v>
      </c>
      <c r="F272" s="168" t="s">
        <v>1244</v>
      </c>
      <c r="G272" s="150">
        <v>13188.6</v>
      </c>
      <c r="H272" s="456">
        <v>14000</v>
      </c>
      <c r="I272" s="160">
        <v>6363.12</v>
      </c>
      <c r="J272" s="168">
        <v>6364</v>
      </c>
      <c r="K272" s="168"/>
      <c r="L272" s="168">
        <v>6364</v>
      </c>
    </row>
    <row r="273" spans="1:13">
      <c r="A273" s="168">
        <v>84</v>
      </c>
      <c r="B273" s="168" t="s">
        <v>2758</v>
      </c>
      <c r="C273" s="168" t="s">
        <v>2762</v>
      </c>
      <c r="D273" s="455" t="s">
        <v>1549</v>
      </c>
      <c r="E273" s="455" t="s">
        <v>1807</v>
      </c>
      <c r="F273" s="168" t="s">
        <v>1244</v>
      </c>
      <c r="G273" s="150">
        <v>1027.2</v>
      </c>
      <c r="H273" s="456">
        <v>1100</v>
      </c>
      <c r="I273" s="160">
        <v>901.14</v>
      </c>
      <c r="J273" s="168">
        <v>902</v>
      </c>
      <c r="K273" s="168"/>
      <c r="L273" s="168">
        <v>902</v>
      </c>
    </row>
    <row r="274" spans="1:13">
      <c r="A274" s="168">
        <v>87</v>
      </c>
      <c r="B274" s="168" t="s">
        <v>2758</v>
      </c>
      <c r="C274" s="168" t="s">
        <v>2832</v>
      </c>
      <c r="D274" s="455" t="s">
        <v>1549</v>
      </c>
      <c r="E274" s="455" t="s">
        <v>575</v>
      </c>
      <c r="F274" s="168" t="s">
        <v>458</v>
      </c>
      <c r="G274" s="150">
        <v>0</v>
      </c>
      <c r="H274" s="456">
        <v>15000</v>
      </c>
      <c r="I274" s="160">
        <v>11756.4</v>
      </c>
      <c r="J274" s="168">
        <v>11756</v>
      </c>
      <c r="K274" s="168"/>
      <c r="L274" s="168">
        <v>11756</v>
      </c>
    </row>
    <row r="275" spans="1:13">
      <c r="A275" s="168">
        <v>87</v>
      </c>
      <c r="B275" s="168" t="s">
        <v>2758</v>
      </c>
      <c r="C275" s="168" t="s">
        <v>2833</v>
      </c>
      <c r="D275" s="455" t="s">
        <v>1549</v>
      </c>
      <c r="E275" s="455" t="s">
        <v>575</v>
      </c>
      <c r="F275" s="168" t="s">
        <v>458</v>
      </c>
      <c r="G275" s="150">
        <v>0</v>
      </c>
      <c r="H275" s="456">
        <v>15000</v>
      </c>
      <c r="I275" s="160">
        <v>19644.62</v>
      </c>
      <c r="J275" s="168">
        <v>19644</v>
      </c>
      <c r="K275" s="168"/>
      <c r="L275" s="168">
        <v>19644</v>
      </c>
    </row>
    <row r="276" spans="1:13">
      <c r="A276" s="168">
        <v>87</v>
      </c>
      <c r="B276" s="168" t="s">
        <v>2758</v>
      </c>
      <c r="C276" s="168" t="s">
        <v>2759</v>
      </c>
      <c r="D276" s="455" t="s">
        <v>1549</v>
      </c>
      <c r="E276" s="455" t="s">
        <v>575</v>
      </c>
      <c r="F276" s="168" t="s">
        <v>458</v>
      </c>
      <c r="G276" s="150">
        <v>0</v>
      </c>
      <c r="H276" s="456">
        <v>700</v>
      </c>
      <c r="I276" s="160">
        <v>987.23</v>
      </c>
      <c r="J276" s="168">
        <v>987</v>
      </c>
      <c r="K276" s="168"/>
      <c r="L276" s="168">
        <v>987</v>
      </c>
    </row>
    <row r="277" spans="1:13">
      <c r="A277" s="168">
        <v>87</v>
      </c>
      <c r="B277" s="168" t="s">
        <v>2758</v>
      </c>
      <c r="C277" s="168" t="s">
        <v>2834</v>
      </c>
      <c r="D277" s="455" t="s">
        <v>1549</v>
      </c>
      <c r="E277" s="455" t="s">
        <v>575</v>
      </c>
      <c r="F277" s="168" t="s">
        <v>458</v>
      </c>
      <c r="G277" s="150">
        <v>0</v>
      </c>
      <c r="H277" s="456">
        <v>1400</v>
      </c>
      <c r="I277" s="160">
        <v>1357.27</v>
      </c>
      <c r="J277" s="168">
        <v>1357</v>
      </c>
      <c r="K277" s="168"/>
      <c r="L277" s="168">
        <v>1357</v>
      </c>
    </row>
    <row r="278" spans="1:13">
      <c r="A278" s="168">
        <v>87</v>
      </c>
      <c r="B278" s="168" t="s">
        <v>2758</v>
      </c>
      <c r="C278" s="168" t="s">
        <v>2762</v>
      </c>
      <c r="D278" s="455" t="s">
        <v>1549</v>
      </c>
      <c r="E278" s="455" t="s">
        <v>1807</v>
      </c>
      <c r="F278" s="168" t="s">
        <v>458</v>
      </c>
      <c r="G278" s="150">
        <v>0</v>
      </c>
      <c r="H278" s="456">
        <v>22</v>
      </c>
      <c r="I278" s="160">
        <v>27.6</v>
      </c>
      <c r="J278" s="168">
        <v>27</v>
      </c>
      <c r="K278" s="168"/>
      <c r="L278" s="168">
        <v>27</v>
      </c>
    </row>
    <row r="279" spans="1:13">
      <c r="A279" s="168">
        <v>100</v>
      </c>
      <c r="B279" s="168" t="s">
        <v>2758</v>
      </c>
      <c r="C279" s="168" t="s">
        <v>2832</v>
      </c>
      <c r="D279" s="455" t="s">
        <v>1549</v>
      </c>
      <c r="E279" s="455" t="s">
        <v>590</v>
      </c>
      <c r="F279" s="168" t="s">
        <v>1579</v>
      </c>
      <c r="G279" s="150">
        <v>59976</v>
      </c>
      <c r="H279" s="456">
        <v>60000</v>
      </c>
      <c r="I279" s="160">
        <v>111931.5</v>
      </c>
      <c r="J279" s="168">
        <v>111931</v>
      </c>
      <c r="K279" s="168"/>
      <c r="L279" s="168">
        <v>111931</v>
      </c>
    </row>
    <row r="280" spans="1:13" s="146" customFormat="1">
      <c r="A280" s="168">
        <v>100</v>
      </c>
      <c r="B280" s="168" t="s">
        <v>2758</v>
      </c>
      <c r="C280" s="168" t="s">
        <v>2833</v>
      </c>
      <c r="D280" s="455" t="s">
        <v>1549</v>
      </c>
      <c r="E280" s="455" t="s">
        <v>590</v>
      </c>
      <c r="F280" s="168" t="s">
        <v>1579</v>
      </c>
      <c r="G280" s="150">
        <v>240608.16</v>
      </c>
      <c r="H280" s="456">
        <v>240700</v>
      </c>
      <c r="I280" s="160">
        <v>271295.40000000002</v>
      </c>
      <c r="J280" s="168">
        <v>271295</v>
      </c>
      <c r="K280" s="168"/>
      <c r="L280" s="168">
        <v>271295</v>
      </c>
      <c r="M280" s="139"/>
    </row>
    <row r="281" spans="1:13">
      <c r="A281" s="168">
        <v>100</v>
      </c>
      <c r="B281" s="168" t="s">
        <v>2758</v>
      </c>
      <c r="C281" s="168" t="s">
        <v>2759</v>
      </c>
      <c r="D281" s="455" t="s">
        <v>1549</v>
      </c>
      <c r="E281" s="455" t="s">
        <v>590</v>
      </c>
      <c r="F281" s="168" t="s">
        <v>1579</v>
      </c>
      <c r="G281" s="150">
        <v>16190.31</v>
      </c>
      <c r="H281" s="456">
        <v>16200</v>
      </c>
      <c r="I281" s="160">
        <v>16187.57</v>
      </c>
      <c r="J281" s="168">
        <v>16188</v>
      </c>
      <c r="K281" s="168"/>
      <c r="L281" s="168">
        <v>16188</v>
      </c>
    </row>
    <row r="282" spans="1:13">
      <c r="A282" s="168">
        <v>100</v>
      </c>
      <c r="B282" s="168" t="s">
        <v>2758</v>
      </c>
      <c r="C282" s="168" t="s">
        <v>2834</v>
      </c>
      <c r="D282" s="455" t="s">
        <v>1549</v>
      </c>
      <c r="E282" s="455" t="s">
        <v>590</v>
      </c>
      <c r="F282" s="168" t="s">
        <v>1579</v>
      </c>
      <c r="G282" s="150">
        <v>10885.6</v>
      </c>
      <c r="H282" s="456">
        <v>10900</v>
      </c>
      <c r="I282" s="160">
        <v>11960.62</v>
      </c>
      <c r="J282" s="168">
        <v>11960</v>
      </c>
      <c r="K282" s="168"/>
      <c r="L282" s="168">
        <v>11960</v>
      </c>
    </row>
    <row r="283" spans="1:13">
      <c r="A283" s="168">
        <v>100</v>
      </c>
      <c r="B283" s="168" t="s">
        <v>2758</v>
      </c>
      <c r="C283" s="168" t="s">
        <v>2762</v>
      </c>
      <c r="D283" s="455" t="s">
        <v>1549</v>
      </c>
      <c r="E283" s="455" t="s">
        <v>1807</v>
      </c>
      <c r="F283" s="168" t="s">
        <v>1579</v>
      </c>
      <c r="G283" s="150">
        <v>726.4</v>
      </c>
      <c r="H283" s="456">
        <v>800</v>
      </c>
      <c r="I283" s="160">
        <v>686.55</v>
      </c>
      <c r="J283" s="168">
        <v>686</v>
      </c>
      <c r="K283" s="168"/>
      <c r="L283" s="168">
        <v>686</v>
      </c>
    </row>
    <row r="284" spans="1:13">
      <c r="A284" s="168"/>
      <c r="B284" s="168"/>
      <c r="C284" s="168"/>
      <c r="D284" s="455"/>
      <c r="E284" s="455"/>
      <c r="F284" s="168"/>
      <c r="G284" s="150"/>
      <c r="H284" s="456"/>
      <c r="I284" s="478">
        <f>SUM(I83:I283)</f>
        <v>23731899.859999999</v>
      </c>
      <c r="J284" s="457">
        <f>SUM(J83:J283)</f>
        <v>23733942</v>
      </c>
      <c r="K284" s="168"/>
      <c r="L284" s="168"/>
    </row>
    <row r="285" spans="1:13">
      <c r="A285" s="168"/>
      <c r="B285" s="168"/>
      <c r="C285" s="168"/>
      <c r="D285" s="455"/>
      <c r="E285" s="455"/>
      <c r="F285" s="168"/>
      <c r="G285" s="150"/>
      <c r="H285" s="456"/>
      <c r="I285" s="168"/>
      <c r="J285" s="168"/>
      <c r="K285" s="168"/>
      <c r="L285" s="168"/>
    </row>
    <row r="286" spans="1:13">
      <c r="A286" s="168">
        <v>10</v>
      </c>
      <c r="B286" s="168" t="s">
        <v>2764</v>
      </c>
      <c r="C286" s="168" t="s">
        <v>2765</v>
      </c>
      <c r="D286" s="455" t="s">
        <v>1550</v>
      </c>
      <c r="E286" s="455" t="s">
        <v>583</v>
      </c>
      <c r="F286" s="168" t="s">
        <v>1558</v>
      </c>
      <c r="G286" s="150">
        <v>451952.04</v>
      </c>
      <c r="H286" s="456">
        <v>452052</v>
      </c>
      <c r="I286" s="160">
        <v>534681</v>
      </c>
      <c r="J286" s="168">
        <v>534681</v>
      </c>
      <c r="K286" s="168"/>
      <c r="L286" s="168">
        <v>534681</v>
      </c>
    </row>
    <row r="287" spans="1:13">
      <c r="A287" s="168">
        <v>10</v>
      </c>
      <c r="B287" s="168" t="s">
        <v>2764</v>
      </c>
      <c r="C287" s="168" t="s">
        <v>2766</v>
      </c>
      <c r="D287" s="455" t="s">
        <v>1550</v>
      </c>
      <c r="E287" s="455" t="s">
        <v>583</v>
      </c>
      <c r="F287" s="168"/>
      <c r="G287" s="150"/>
      <c r="H287" s="456"/>
      <c r="I287" s="160">
        <v>166689.47</v>
      </c>
      <c r="J287" s="168">
        <v>166689</v>
      </c>
      <c r="K287" s="168"/>
      <c r="L287" s="168">
        <v>166689</v>
      </c>
    </row>
    <row r="288" spans="1:13">
      <c r="A288" s="168">
        <v>10</v>
      </c>
      <c r="B288" s="168" t="s">
        <v>2764</v>
      </c>
      <c r="C288" s="168" t="s">
        <v>2767</v>
      </c>
      <c r="D288" s="455" t="s">
        <v>1550</v>
      </c>
      <c r="E288" s="455" t="s">
        <v>583</v>
      </c>
      <c r="F288" s="168" t="s">
        <v>1558</v>
      </c>
      <c r="G288" s="150">
        <v>1132163.3999999999</v>
      </c>
      <c r="H288" s="456">
        <v>1132164</v>
      </c>
      <c r="I288" s="160">
        <v>1201138.73</v>
      </c>
      <c r="J288" s="168">
        <v>1201139</v>
      </c>
      <c r="K288" s="168"/>
      <c r="L288" s="168">
        <v>1201139</v>
      </c>
    </row>
    <row r="289" spans="1:13">
      <c r="A289" s="168">
        <v>10</v>
      </c>
      <c r="B289" s="168" t="s">
        <v>2764</v>
      </c>
      <c r="C289" s="168" t="s">
        <v>2768</v>
      </c>
      <c r="D289" s="455" t="s">
        <v>1550</v>
      </c>
      <c r="E289" s="455" t="s">
        <v>545</v>
      </c>
      <c r="F289" s="168" t="s">
        <v>1558</v>
      </c>
      <c r="G289" s="150">
        <v>376845.36</v>
      </c>
      <c r="H289" s="456">
        <v>376865</v>
      </c>
      <c r="I289" s="160">
        <v>398800.9</v>
      </c>
      <c r="J289" s="168">
        <v>398801</v>
      </c>
      <c r="K289" s="168"/>
      <c r="L289" s="168">
        <v>398801</v>
      </c>
    </row>
    <row r="290" spans="1:13">
      <c r="A290" s="168">
        <v>10</v>
      </c>
      <c r="B290" s="168" t="s">
        <v>2764</v>
      </c>
      <c r="C290" s="168" t="s">
        <v>2769</v>
      </c>
      <c r="D290" s="455" t="s">
        <v>1550</v>
      </c>
      <c r="E290" s="455" t="s">
        <v>545</v>
      </c>
      <c r="F290" s="168" t="s">
        <v>1558</v>
      </c>
      <c r="G290" s="150">
        <v>0</v>
      </c>
      <c r="H290" s="456">
        <v>0</v>
      </c>
      <c r="I290" s="160">
        <v>0</v>
      </c>
      <c r="J290" s="168">
        <v>0</v>
      </c>
      <c r="K290" s="168"/>
      <c r="L290" s="168">
        <v>0</v>
      </c>
    </row>
    <row r="291" spans="1:13">
      <c r="A291" s="168">
        <v>10</v>
      </c>
      <c r="B291" s="168" t="s">
        <v>2764</v>
      </c>
      <c r="C291" s="168" t="s">
        <v>2770</v>
      </c>
      <c r="D291" s="455" t="s">
        <v>1550</v>
      </c>
      <c r="E291" s="455" t="s">
        <v>545</v>
      </c>
      <c r="F291" s="168" t="s">
        <v>1558</v>
      </c>
      <c r="G291" s="150">
        <v>95292</v>
      </c>
      <c r="H291" s="456">
        <v>95292</v>
      </c>
      <c r="I291" s="160">
        <v>98779.93</v>
      </c>
      <c r="J291" s="168">
        <v>98780</v>
      </c>
      <c r="K291" s="168"/>
      <c r="L291" s="168">
        <v>98780</v>
      </c>
    </row>
    <row r="292" spans="1:13">
      <c r="A292" s="168">
        <v>10</v>
      </c>
      <c r="B292" s="168" t="s">
        <v>2764</v>
      </c>
      <c r="C292" s="168" t="s">
        <v>2771</v>
      </c>
      <c r="D292" s="455" t="s">
        <v>1550</v>
      </c>
      <c r="E292" s="455" t="s">
        <v>590</v>
      </c>
      <c r="F292" s="168" t="s">
        <v>1558</v>
      </c>
      <c r="G292" s="150">
        <v>219048.88</v>
      </c>
      <c r="H292" s="456">
        <v>219050</v>
      </c>
      <c r="I292" s="160">
        <v>167596.84</v>
      </c>
      <c r="J292" s="168">
        <v>167597</v>
      </c>
      <c r="K292" s="168"/>
      <c r="L292" s="168">
        <v>167597</v>
      </c>
    </row>
    <row r="293" spans="1:13">
      <c r="A293" s="168"/>
      <c r="B293" s="168"/>
      <c r="C293" s="168"/>
      <c r="D293" s="455"/>
      <c r="E293" s="455"/>
      <c r="F293" s="168"/>
      <c r="G293" s="150"/>
      <c r="H293" s="456"/>
      <c r="I293" s="169">
        <f>SUM(I286:I292)</f>
        <v>2567686.87</v>
      </c>
      <c r="J293" s="168">
        <f>SUM(J286:J292)</f>
        <v>2567687</v>
      </c>
      <c r="K293" s="168"/>
      <c r="L293" s="168"/>
    </row>
    <row r="294" spans="1:13">
      <c r="A294" s="168"/>
      <c r="B294" s="168"/>
      <c r="C294" s="168"/>
      <c r="D294" s="455"/>
      <c r="E294" s="455"/>
      <c r="F294" s="168"/>
      <c r="G294" s="150"/>
      <c r="H294" s="456"/>
      <c r="I294" s="168"/>
      <c r="J294" s="168"/>
      <c r="K294" s="168"/>
      <c r="L294" s="168"/>
    </row>
    <row r="295" spans="1:13">
      <c r="A295" s="458">
        <v>50</v>
      </c>
      <c r="B295" s="458" t="s">
        <v>2860</v>
      </c>
      <c r="C295" s="458" t="s">
        <v>2773</v>
      </c>
      <c r="D295" s="455" t="s">
        <v>1554</v>
      </c>
      <c r="E295" s="455" t="s">
        <v>592</v>
      </c>
      <c r="F295" s="458" t="s">
        <v>1567</v>
      </c>
      <c r="G295" s="150">
        <v>82519.28</v>
      </c>
      <c r="H295" s="456">
        <v>500000</v>
      </c>
      <c r="I295" s="168">
        <v>0</v>
      </c>
      <c r="J295" s="168">
        <v>0</v>
      </c>
      <c r="K295" s="458"/>
      <c r="L295" s="458"/>
      <c r="M295" s="146"/>
    </row>
    <row r="296" spans="1:13">
      <c r="A296" s="458"/>
      <c r="B296" s="458"/>
      <c r="C296" s="458"/>
      <c r="D296" s="455"/>
      <c r="E296" s="455"/>
      <c r="F296" s="458"/>
      <c r="G296" s="150"/>
      <c r="H296" s="456"/>
      <c r="I296" s="168"/>
      <c r="J296" s="168"/>
      <c r="K296" s="458"/>
      <c r="L296" s="458"/>
      <c r="M296" s="146"/>
    </row>
    <row r="297" spans="1:13">
      <c r="A297" s="458"/>
      <c r="B297" s="458"/>
      <c r="C297" s="458"/>
      <c r="D297" s="455"/>
      <c r="E297" s="455"/>
      <c r="F297" s="458"/>
      <c r="G297" s="150"/>
      <c r="H297" s="456"/>
      <c r="I297" s="168"/>
      <c r="J297" s="168"/>
      <c r="K297" s="458"/>
      <c r="L297" s="458"/>
      <c r="M297" s="146"/>
    </row>
    <row r="298" spans="1:13" s="469" customFormat="1" ht="18.75">
      <c r="A298" s="463">
        <v>10</v>
      </c>
      <c r="B298" s="464" t="s">
        <v>3154</v>
      </c>
      <c r="C298" s="464" t="s">
        <v>3155</v>
      </c>
      <c r="D298" s="463"/>
      <c r="E298" s="463"/>
      <c r="F298" s="463"/>
      <c r="G298" s="465"/>
      <c r="H298" s="466"/>
      <c r="I298" s="477">
        <f>241950-64776</f>
        <v>177174</v>
      </c>
      <c r="J298" s="467"/>
      <c r="K298" s="463"/>
      <c r="L298" s="463">
        <v>177174</v>
      </c>
      <c r="M298" s="468"/>
    </row>
    <row r="299" spans="1:13">
      <c r="A299" s="458"/>
      <c r="B299" s="458"/>
      <c r="C299" s="458"/>
      <c r="D299" s="455"/>
      <c r="E299" s="455"/>
      <c r="F299" s="458"/>
      <c r="G299" s="150"/>
      <c r="H299" s="456"/>
      <c r="I299" s="168"/>
      <c r="J299" s="168"/>
      <c r="K299" s="458"/>
      <c r="L299" s="458"/>
      <c r="M299" s="146"/>
    </row>
    <row r="300" spans="1:13">
      <c r="A300" s="458"/>
      <c r="B300" s="458"/>
      <c r="C300" s="458"/>
      <c r="D300" s="455"/>
      <c r="E300" s="455"/>
      <c r="F300" s="458"/>
      <c r="G300" s="150"/>
      <c r="H300" s="456"/>
      <c r="I300" s="168"/>
      <c r="J300" s="168"/>
      <c r="K300" s="458"/>
      <c r="L300" s="458"/>
      <c r="M300" s="146"/>
    </row>
    <row r="301" spans="1:13">
      <c r="A301" s="168">
        <v>10</v>
      </c>
      <c r="B301" s="168" t="s">
        <v>2772</v>
      </c>
      <c r="C301" s="168" t="s">
        <v>2773</v>
      </c>
      <c r="D301" s="455" t="s">
        <v>1551</v>
      </c>
      <c r="E301" s="455" t="s">
        <v>592</v>
      </c>
      <c r="F301" s="168" t="s">
        <v>1558</v>
      </c>
      <c r="G301" s="150">
        <v>0</v>
      </c>
      <c r="H301" s="456">
        <v>23391</v>
      </c>
      <c r="I301" s="160">
        <f>2539509.71+817359.29+64776-241950</f>
        <v>3179695</v>
      </c>
      <c r="J301" s="168">
        <v>1075750</v>
      </c>
      <c r="K301" s="168"/>
      <c r="L301" s="168">
        <v>3179695</v>
      </c>
    </row>
    <row r="302" spans="1:13">
      <c r="A302" s="168">
        <v>20</v>
      </c>
      <c r="B302" s="168" t="s">
        <v>2772</v>
      </c>
      <c r="C302" s="168" t="s">
        <v>2773</v>
      </c>
      <c r="D302" s="455" t="s">
        <v>1551</v>
      </c>
      <c r="E302" s="455" t="s">
        <v>592</v>
      </c>
      <c r="F302" s="168" t="s">
        <v>1559</v>
      </c>
      <c r="G302" s="150">
        <v>0</v>
      </c>
      <c r="H302" s="456">
        <v>4988</v>
      </c>
      <c r="I302" s="168">
        <v>0</v>
      </c>
      <c r="J302" s="168">
        <v>0</v>
      </c>
      <c r="K302" s="168"/>
      <c r="L302" s="168">
        <v>0</v>
      </c>
    </row>
    <row r="303" spans="1:13">
      <c r="A303" s="168">
        <v>27</v>
      </c>
      <c r="B303" s="168" t="s">
        <v>2772</v>
      </c>
      <c r="C303" s="168" t="s">
        <v>2773</v>
      </c>
      <c r="D303" s="455" t="s">
        <v>1551</v>
      </c>
      <c r="E303" s="455" t="s">
        <v>592</v>
      </c>
      <c r="F303" s="168" t="s">
        <v>1563</v>
      </c>
      <c r="G303" s="150">
        <v>0</v>
      </c>
      <c r="H303" s="456">
        <v>6748</v>
      </c>
      <c r="I303" s="168">
        <v>0</v>
      </c>
      <c r="J303" s="168">
        <v>0</v>
      </c>
      <c r="K303" s="168"/>
      <c r="L303" s="168">
        <v>0</v>
      </c>
    </row>
    <row r="304" spans="1:13">
      <c r="A304" s="168">
        <v>31</v>
      </c>
      <c r="B304" s="168" t="s">
        <v>2772</v>
      </c>
      <c r="C304" s="168" t="s">
        <v>2773</v>
      </c>
      <c r="D304" s="455" t="s">
        <v>1551</v>
      </c>
      <c r="E304" s="455" t="s">
        <v>592</v>
      </c>
      <c r="F304" s="168" t="s">
        <v>1565</v>
      </c>
      <c r="G304" s="150">
        <v>0</v>
      </c>
      <c r="H304" s="456">
        <v>61053</v>
      </c>
      <c r="I304" s="168">
        <v>0</v>
      </c>
      <c r="J304" s="168">
        <v>0</v>
      </c>
      <c r="K304" s="168"/>
      <c r="L304" s="168">
        <v>0</v>
      </c>
    </row>
    <row r="305" spans="1:13">
      <c r="A305" s="168">
        <v>32</v>
      </c>
      <c r="B305" s="168" t="s">
        <v>2772</v>
      </c>
      <c r="C305" s="168" t="s">
        <v>2773</v>
      </c>
      <c r="D305" s="455" t="s">
        <v>1551</v>
      </c>
      <c r="E305" s="455" t="s">
        <v>592</v>
      </c>
      <c r="F305" s="168" t="s">
        <v>1566</v>
      </c>
      <c r="G305" s="150">
        <v>0</v>
      </c>
      <c r="H305" s="456">
        <v>0</v>
      </c>
      <c r="I305" s="168">
        <v>0</v>
      </c>
      <c r="J305" s="168">
        <v>0</v>
      </c>
      <c r="K305" s="168"/>
      <c r="L305" s="168">
        <v>0</v>
      </c>
    </row>
    <row r="306" spans="1:13" s="475" customFormat="1" ht="18.75">
      <c r="A306" s="470">
        <v>50</v>
      </c>
      <c r="B306" s="470" t="s">
        <v>2772</v>
      </c>
      <c r="C306" s="470" t="s">
        <v>2773</v>
      </c>
      <c r="D306" s="471" t="s">
        <v>1551</v>
      </c>
      <c r="E306" s="471" t="s">
        <v>592</v>
      </c>
      <c r="F306" s="470" t="s">
        <v>1567</v>
      </c>
      <c r="G306" s="472">
        <v>3528914.18</v>
      </c>
      <c r="H306" s="473">
        <v>78232</v>
      </c>
      <c r="I306" s="474">
        <v>366315</v>
      </c>
      <c r="J306" s="470">
        <v>483220</v>
      </c>
      <c r="K306" s="470"/>
      <c r="L306" s="470">
        <v>366315</v>
      </c>
    </row>
    <row r="307" spans="1:13">
      <c r="A307" s="168">
        <v>51</v>
      </c>
      <c r="B307" s="168" t="s">
        <v>2772</v>
      </c>
      <c r="C307" s="168" t="s">
        <v>2773</v>
      </c>
      <c r="D307" s="455" t="s">
        <v>1551</v>
      </c>
      <c r="E307" s="455" t="s">
        <v>592</v>
      </c>
      <c r="F307" s="168" t="s">
        <v>1990</v>
      </c>
      <c r="G307" s="150">
        <v>0</v>
      </c>
      <c r="H307" s="456">
        <v>139</v>
      </c>
      <c r="I307" s="168">
        <v>0</v>
      </c>
      <c r="J307" s="168">
        <v>0</v>
      </c>
      <c r="K307" s="168"/>
      <c r="L307" s="168">
        <v>0</v>
      </c>
    </row>
    <row r="308" spans="1:13">
      <c r="A308" s="168">
        <v>52</v>
      </c>
      <c r="B308" s="168" t="s">
        <v>2772</v>
      </c>
      <c r="C308" s="168" t="s">
        <v>2773</v>
      </c>
      <c r="D308" s="455" t="s">
        <v>1551</v>
      </c>
      <c r="E308" s="455" t="s">
        <v>592</v>
      </c>
      <c r="F308" s="168" t="s">
        <v>1568</v>
      </c>
      <c r="G308" s="150">
        <v>0</v>
      </c>
      <c r="H308" s="456">
        <v>2599</v>
      </c>
      <c r="I308" s="168">
        <v>0</v>
      </c>
      <c r="J308" s="168">
        <v>0</v>
      </c>
      <c r="K308" s="168"/>
      <c r="L308" s="168">
        <v>0</v>
      </c>
    </row>
    <row r="309" spans="1:13">
      <c r="A309" s="168">
        <v>63</v>
      </c>
      <c r="B309" s="168" t="s">
        <v>2772</v>
      </c>
      <c r="C309" s="168" t="s">
        <v>2773</v>
      </c>
      <c r="D309" s="455" t="s">
        <v>1551</v>
      </c>
      <c r="E309" s="455" t="s">
        <v>592</v>
      </c>
      <c r="F309" s="168" t="s">
        <v>1229</v>
      </c>
      <c r="G309" s="150">
        <v>0</v>
      </c>
      <c r="H309" s="456">
        <v>5519</v>
      </c>
      <c r="I309" s="160">
        <v>21042</v>
      </c>
      <c r="J309" s="168">
        <v>13658</v>
      </c>
      <c r="K309" s="168"/>
      <c r="L309" s="168">
        <v>21042</v>
      </c>
    </row>
    <row r="310" spans="1:13">
      <c r="A310" s="168">
        <v>64</v>
      </c>
      <c r="B310" s="168" t="s">
        <v>2772</v>
      </c>
      <c r="C310" s="168" t="s">
        <v>2773</v>
      </c>
      <c r="D310" s="455" t="s">
        <v>1551</v>
      </c>
      <c r="E310" s="455" t="s">
        <v>592</v>
      </c>
      <c r="F310" s="168" t="s">
        <v>1569</v>
      </c>
      <c r="G310" s="150">
        <v>0</v>
      </c>
      <c r="H310" s="456">
        <v>2934</v>
      </c>
      <c r="I310" s="160">
        <v>73150</v>
      </c>
      <c r="J310" s="168">
        <v>0</v>
      </c>
      <c r="K310" s="168"/>
      <c r="L310" s="168">
        <v>0</v>
      </c>
    </row>
    <row r="311" spans="1:13">
      <c r="A311" s="168">
        <v>65</v>
      </c>
      <c r="B311" s="168" t="s">
        <v>2772</v>
      </c>
      <c r="C311" s="168" t="s">
        <v>2773</v>
      </c>
      <c r="D311" s="455" t="s">
        <v>1551</v>
      </c>
      <c r="E311" s="455" t="s">
        <v>592</v>
      </c>
      <c r="F311" s="168" t="s">
        <v>1570</v>
      </c>
      <c r="G311" s="150">
        <v>0</v>
      </c>
      <c r="H311" s="456">
        <v>1729</v>
      </c>
      <c r="I311" s="168">
        <v>0</v>
      </c>
      <c r="J311" s="168">
        <v>10242</v>
      </c>
      <c r="K311" s="168"/>
      <c r="L311" s="168">
        <v>0</v>
      </c>
    </row>
    <row r="312" spans="1:13">
      <c r="A312" s="168">
        <v>66</v>
      </c>
      <c r="B312" s="168" t="s">
        <v>2772</v>
      </c>
      <c r="C312" s="168" t="s">
        <v>2773</v>
      </c>
      <c r="D312" s="455" t="s">
        <v>1551</v>
      </c>
      <c r="E312" s="455" t="s">
        <v>592</v>
      </c>
      <c r="F312" s="168" t="s">
        <v>1571</v>
      </c>
      <c r="G312" s="150">
        <v>0</v>
      </c>
      <c r="H312" s="456">
        <v>4072</v>
      </c>
      <c r="I312" s="160">
        <v>1595922</v>
      </c>
      <c r="J312" s="168">
        <v>146492</v>
      </c>
      <c r="K312" s="168"/>
      <c r="L312" s="168">
        <v>1595922</v>
      </c>
    </row>
    <row r="313" spans="1:13">
      <c r="A313" s="168">
        <v>80</v>
      </c>
      <c r="B313" s="168" t="s">
        <v>2772</v>
      </c>
      <c r="C313" s="168" t="s">
        <v>2773</v>
      </c>
      <c r="D313" s="455" t="s">
        <v>1551</v>
      </c>
      <c r="E313" s="455" t="s">
        <v>592</v>
      </c>
      <c r="F313" s="168" t="s">
        <v>1572</v>
      </c>
      <c r="G313" s="150">
        <v>0</v>
      </c>
      <c r="H313" s="456">
        <v>9383</v>
      </c>
      <c r="I313" s="168">
        <v>0</v>
      </c>
      <c r="J313" s="168">
        <v>0</v>
      </c>
      <c r="K313" s="168"/>
      <c r="L313" s="168">
        <v>0</v>
      </c>
    </row>
    <row r="314" spans="1:13">
      <c r="A314" s="168">
        <v>81</v>
      </c>
      <c r="B314" s="168" t="s">
        <v>2772</v>
      </c>
      <c r="C314" s="168" t="s">
        <v>2773</v>
      </c>
      <c r="D314" s="455" t="s">
        <v>1551</v>
      </c>
      <c r="E314" s="455" t="s">
        <v>592</v>
      </c>
      <c r="F314" s="168" t="s">
        <v>1573</v>
      </c>
      <c r="G314" s="150">
        <v>0</v>
      </c>
      <c r="H314" s="456">
        <v>177463</v>
      </c>
      <c r="I314" s="168">
        <v>0</v>
      </c>
      <c r="J314" s="168">
        <v>0</v>
      </c>
      <c r="K314" s="168"/>
      <c r="L314" s="168">
        <v>0</v>
      </c>
    </row>
    <row r="315" spans="1:13">
      <c r="A315" s="168">
        <v>84</v>
      </c>
      <c r="B315" s="168" t="s">
        <v>2772</v>
      </c>
      <c r="C315" s="168" t="s">
        <v>2773</v>
      </c>
      <c r="D315" s="455" t="s">
        <v>1551</v>
      </c>
      <c r="E315" s="455" t="s">
        <v>592</v>
      </c>
      <c r="F315" s="168" t="s">
        <v>1244</v>
      </c>
      <c r="G315" s="150">
        <v>0</v>
      </c>
      <c r="H315" s="456">
        <v>82424</v>
      </c>
      <c r="I315" s="160">
        <v>851148</v>
      </c>
      <c r="J315" s="168">
        <v>491433</v>
      </c>
      <c r="K315" s="168"/>
      <c r="L315" s="168">
        <v>851148</v>
      </c>
    </row>
    <row r="316" spans="1:13">
      <c r="A316" s="168">
        <v>86</v>
      </c>
      <c r="B316" s="168" t="s">
        <v>2772</v>
      </c>
      <c r="C316" s="168" t="s">
        <v>2773</v>
      </c>
      <c r="D316" s="455" t="s">
        <v>1551</v>
      </c>
      <c r="E316" s="455" t="s">
        <v>592</v>
      </c>
      <c r="F316" s="168" t="s">
        <v>1576</v>
      </c>
      <c r="G316" s="150">
        <v>0</v>
      </c>
      <c r="H316" s="456">
        <v>42094</v>
      </c>
      <c r="I316" s="168">
        <v>0</v>
      </c>
      <c r="J316" s="168">
        <v>0</v>
      </c>
      <c r="K316" s="168"/>
      <c r="L316" s="168">
        <v>0</v>
      </c>
    </row>
    <row r="317" spans="1:13">
      <c r="A317" s="168">
        <v>100</v>
      </c>
      <c r="B317" s="168" t="s">
        <v>2772</v>
      </c>
      <c r="C317" s="168" t="s">
        <v>2773</v>
      </c>
      <c r="D317" s="455" t="s">
        <v>1551</v>
      </c>
      <c r="E317" s="455" t="s">
        <v>592</v>
      </c>
      <c r="F317" s="168" t="s">
        <v>1579</v>
      </c>
      <c r="G317" s="150">
        <v>0</v>
      </c>
      <c r="H317" s="456">
        <v>282</v>
      </c>
      <c r="I317" s="160">
        <v>12937</v>
      </c>
      <c r="J317" s="168">
        <v>1236726</v>
      </c>
      <c r="K317" s="168"/>
      <c r="L317" s="168">
        <v>12937</v>
      </c>
    </row>
    <row r="318" spans="1:13">
      <c r="A318" s="168"/>
      <c r="B318" s="168"/>
      <c r="C318" s="168"/>
      <c r="D318" s="455"/>
      <c r="E318" s="455"/>
      <c r="F318" s="168"/>
      <c r="G318" s="150"/>
      <c r="H318" s="456"/>
      <c r="I318" s="169">
        <f>SUM(I301:I317)</f>
        <v>6100209</v>
      </c>
      <c r="J318" s="168">
        <f>SUM(J301:J317)</f>
        <v>3457521</v>
      </c>
      <c r="K318" s="168"/>
      <c r="L318" s="168"/>
    </row>
    <row r="319" spans="1:13" s="160" customFormat="1">
      <c r="A319" s="168"/>
      <c r="B319" s="168"/>
      <c r="C319" s="168"/>
      <c r="D319" s="455"/>
      <c r="E319" s="455"/>
      <c r="F319" s="168"/>
      <c r="G319" s="150"/>
      <c r="H319" s="456"/>
      <c r="I319" s="168"/>
      <c r="J319" s="168"/>
      <c r="K319" s="168"/>
      <c r="L319" s="168"/>
    </row>
    <row r="320" spans="1:13" s="144" customFormat="1">
      <c r="A320" s="168">
        <v>10</v>
      </c>
      <c r="B320" s="168" t="s">
        <v>2774</v>
      </c>
      <c r="C320" s="168" t="s">
        <v>2775</v>
      </c>
      <c r="D320" s="455" t="s">
        <v>1552</v>
      </c>
      <c r="E320" s="455" t="s">
        <v>2406</v>
      </c>
      <c r="F320" s="168" t="s">
        <v>1558</v>
      </c>
      <c r="G320" s="150">
        <v>53271.63</v>
      </c>
      <c r="H320" s="456">
        <v>53300</v>
      </c>
      <c r="I320" s="160">
        <v>43821.26</v>
      </c>
      <c r="J320" s="168">
        <v>43821</v>
      </c>
      <c r="K320" s="168"/>
      <c r="L320" s="168">
        <v>43821</v>
      </c>
      <c r="M320" s="139"/>
    </row>
    <row r="321" spans="1:12">
      <c r="A321" s="168">
        <v>10</v>
      </c>
      <c r="B321" s="168" t="s">
        <v>2774</v>
      </c>
      <c r="C321" s="168" t="s">
        <v>2776</v>
      </c>
      <c r="D321" s="455" t="s">
        <v>1552</v>
      </c>
      <c r="E321" s="455" t="s">
        <v>595</v>
      </c>
      <c r="F321" s="168" t="s">
        <v>1558</v>
      </c>
      <c r="G321" s="150">
        <v>929.21</v>
      </c>
      <c r="H321" s="456">
        <v>2080</v>
      </c>
      <c r="I321" s="160">
        <v>1897.55</v>
      </c>
      <c r="J321" s="168">
        <v>1897</v>
      </c>
      <c r="K321" s="168"/>
      <c r="L321" s="168">
        <v>1897</v>
      </c>
    </row>
    <row r="322" spans="1:12">
      <c r="A322" s="168">
        <v>10</v>
      </c>
      <c r="B322" s="168" t="s">
        <v>2774</v>
      </c>
      <c r="C322" s="168" t="s">
        <v>2777</v>
      </c>
      <c r="D322" s="455" t="s">
        <v>1552</v>
      </c>
      <c r="E322" s="455" t="s">
        <v>68</v>
      </c>
      <c r="F322" s="168" t="s">
        <v>1558</v>
      </c>
      <c r="G322" s="150"/>
      <c r="H322" s="456"/>
      <c r="I322" s="160">
        <v>279200.71999999997</v>
      </c>
      <c r="J322" s="168">
        <v>279201</v>
      </c>
      <c r="K322" s="168"/>
      <c r="L322" s="168">
        <v>279201</v>
      </c>
    </row>
    <row r="323" spans="1:12">
      <c r="A323" s="168">
        <v>20</v>
      </c>
      <c r="B323" s="168" t="s">
        <v>2774</v>
      </c>
      <c r="C323" s="168" t="s">
        <v>2776</v>
      </c>
      <c r="D323" s="455" t="s">
        <v>1552</v>
      </c>
      <c r="E323" s="455" t="s">
        <v>595</v>
      </c>
      <c r="F323" s="168" t="s">
        <v>1559</v>
      </c>
      <c r="G323" s="150">
        <v>26.55</v>
      </c>
      <c r="H323" s="456">
        <v>40</v>
      </c>
      <c r="I323" s="168">
        <v>0</v>
      </c>
      <c r="J323" s="168">
        <v>0</v>
      </c>
      <c r="K323" s="168"/>
      <c r="L323" s="168">
        <v>0</v>
      </c>
    </row>
    <row r="324" spans="1:12">
      <c r="A324" s="168">
        <v>20</v>
      </c>
      <c r="B324" s="168" t="s">
        <v>2774</v>
      </c>
      <c r="C324" s="168" t="s">
        <v>2835</v>
      </c>
      <c r="D324" s="455" t="s">
        <v>1552</v>
      </c>
      <c r="E324" s="455" t="s">
        <v>95</v>
      </c>
      <c r="F324" s="168" t="s">
        <v>1559</v>
      </c>
      <c r="G324" s="150">
        <v>0</v>
      </c>
      <c r="H324" s="456">
        <v>0</v>
      </c>
      <c r="I324" s="168">
        <v>0</v>
      </c>
      <c r="J324" s="168">
        <v>0</v>
      </c>
      <c r="K324" s="168"/>
      <c r="L324" s="168">
        <v>0</v>
      </c>
    </row>
    <row r="325" spans="1:12">
      <c r="A325" s="168">
        <v>27</v>
      </c>
      <c r="B325" s="168" t="s">
        <v>2774</v>
      </c>
      <c r="C325" s="168" t="s">
        <v>2776</v>
      </c>
      <c r="D325" s="455" t="s">
        <v>1552</v>
      </c>
      <c r="E325" s="455" t="s">
        <v>595</v>
      </c>
      <c r="F325" s="168" t="s">
        <v>1563</v>
      </c>
      <c r="G325" s="150">
        <v>107.95</v>
      </c>
      <c r="H325" s="456">
        <v>200</v>
      </c>
      <c r="I325" s="168">
        <v>0</v>
      </c>
      <c r="J325" s="168">
        <v>0</v>
      </c>
      <c r="K325" s="168"/>
      <c r="L325" s="168">
        <v>0</v>
      </c>
    </row>
    <row r="326" spans="1:12">
      <c r="A326" s="168">
        <v>31</v>
      </c>
      <c r="B326" s="168" t="s">
        <v>2774</v>
      </c>
      <c r="C326" s="168" t="s">
        <v>2776</v>
      </c>
      <c r="D326" s="455" t="s">
        <v>1552</v>
      </c>
      <c r="E326" s="455" t="s">
        <v>595</v>
      </c>
      <c r="F326" s="168" t="s">
        <v>1565</v>
      </c>
      <c r="G326" s="150">
        <v>0</v>
      </c>
      <c r="H326" s="456">
        <v>0</v>
      </c>
      <c r="I326" s="168">
        <v>0</v>
      </c>
      <c r="J326" s="168">
        <v>0</v>
      </c>
      <c r="K326" s="168"/>
      <c r="L326" s="168">
        <v>0</v>
      </c>
    </row>
    <row r="327" spans="1:12">
      <c r="A327" s="168">
        <v>32</v>
      </c>
      <c r="B327" s="168" t="s">
        <v>2774</v>
      </c>
      <c r="C327" s="168" t="s">
        <v>2851</v>
      </c>
      <c r="D327" s="455" t="s">
        <v>1552</v>
      </c>
      <c r="E327" s="455" t="s">
        <v>2326</v>
      </c>
      <c r="F327" s="168" t="s">
        <v>1566</v>
      </c>
      <c r="G327" s="150">
        <v>0</v>
      </c>
      <c r="H327" s="456">
        <v>0</v>
      </c>
      <c r="I327" s="168">
        <v>0</v>
      </c>
      <c r="J327" s="168">
        <v>0</v>
      </c>
      <c r="K327" s="168"/>
      <c r="L327" s="168">
        <v>0</v>
      </c>
    </row>
    <row r="328" spans="1:12">
      <c r="A328" s="168">
        <v>32</v>
      </c>
      <c r="B328" s="168" t="s">
        <v>2774</v>
      </c>
      <c r="C328" s="168" t="s">
        <v>2852</v>
      </c>
      <c r="D328" s="455" t="s">
        <v>1552</v>
      </c>
      <c r="E328" s="455" t="s">
        <v>545</v>
      </c>
      <c r="F328" s="168" t="s">
        <v>1566</v>
      </c>
      <c r="G328" s="150">
        <v>0</v>
      </c>
      <c r="H328" s="456">
        <v>0</v>
      </c>
      <c r="I328" s="168">
        <v>0</v>
      </c>
      <c r="J328" s="168">
        <v>0</v>
      </c>
      <c r="K328" s="168"/>
      <c r="L328" s="168">
        <v>0</v>
      </c>
    </row>
    <row r="329" spans="1:12">
      <c r="A329" s="168">
        <v>50</v>
      </c>
      <c r="B329" s="168" t="s">
        <v>2774</v>
      </c>
      <c r="C329" s="168" t="s">
        <v>2851</v>
      </c>
      <c r="D329" s="455"/>
      <c r="E329" s="455"/>
      <c r="F329" s="168"/>
      <c r="G329" s="150"/>
      <c r="H329" s="456"/>
      <c r="I329" s="160">
        <v>834.23</v>
      </c>
      <c r="J329" s="168">
        <v>834</v>
      </c>
      <c r="K329" s="168"/>
      <c r="L329" s="168">
        <v>834</v>
      </c>
    </row>
    <row r="330" spans="1:12">
      <c r="A330" s="168">
        <v>50</v>
      </c>
      <c r="B330" s="168" t="s">
        <v>2774</v>
      </c>
      <c r="C330" s="168" t="s">
        <v>2776</v>
      </c>
      <c r="D330" s="455" t="s">
        <v>1552</v>
      </c>
      <c r="E330" s="455" t="s">
        <v>2326</v>
      </c>
      <c r="F330" s="168" t="s">
        <v>1567</v>
      </c>
      <c r="G330" s="150">
        <v>478.86</v>
      </c>
      <c r="H330" s="456">
        <v>700</v>
      </c>
      <c r="I330" s="160">
        <v>390</v>
      </c>
      <c r="J330" s="168">
        <v>390</v>
      </c>
      <c r="K330" s="168"/>
      <c r="L330" s="168">
        <v>390</v>
      </c>
    </row>
    <row r="331" spans="1:12">
      <c r="A331" s="168">
        <v>52</v>
      </c>
      <c r="B331" s="168" t="s">
        <v>2774</v>
      </c>
      <c r="C331" s="168" t="s">
        <v>2881</v>
      </c>
      <c r="D331" s="455" t="s">
        <v>1552</v>
      </c>
      <c r="E331" s="455" t="s">
        <v>1142</v>
      </c>
      <c r="F331" s="168" t="s">
        <v>1568</v>
      </c>
      <c r="G331" s="150">
        <v>18517.95</v>
      </c>
      <c r="H331" s="456">
        <v>20020</v>
      </c>
      <c r="I331" s="160">
        <v>16809.41</v>
      </c>
      <c r="J331" s="168">
        <v>16809</v>
      </c>
      <c r="K331" s="168"/>
      <c r="L331" s="168">
        <v>16809</v>
      </c>
    </row>
    <row r="332" spans="1:12">
      <c r="A332" s="168">
        <v>63</v>
      </c>
      <c r="B332" s="168" t="s">
        <v>2774</v>
      </c>
      <c r="C332" s="168" t="s">
        <v>2776</v>
      </c>
      <c r="D332" s="455" t="s">
        <v>1552</v>
      </c>
      <c r="E332" s="455" t="s">
        <v>595</v>
      </c>
      <c r="F332" s="168" t="s">
        <v>1229</v>
      </c>
      <c r="G332" s="150">
        <v>0</v>
      </c>
      <c r="H332" s="456">
        <v>0</v>
      </c>
      <c r="I332" s="168">
        <v>0</v>
      </c>
      <c r="J332" s="168">
        <v>0</v>
      </c>
      <c r="K332" s="168"/>
      <c r="L332" s="168">
        <v>0</v>
      </c>
    </row>
    <row r="333" spans="1:12">
      <c r="A333" s="168">
        <v>63</v>
      </c>
      <c r="B333" s="168" t="s">
        <v>2774</v>
      </c>
      <c r="C333" s="168" t="s">
        <v>2852</v>
      </c>
      <c r="D333" s="455" t="s">
        <v>1552</v>
      </c>
      <c r="E333" s="455" t="s">
        <v>545</v>
      </c>
      <c r="F333" s="168" t="s">
        <v>1229</v>
      </c>
      <c r="G333" s="150">
        <v>0</v>
      </c>
      <c r="H333" s="456">
        <v>0</v>
      </c>
      <c r="I333" s="168">
        <v>0</v>
      </c>
      <c r="J333" s="168">
        <v>0</v>
      </c>
      <c r="K333" s="168"/>
      <c r="L333" s="168">
        <v>0</v>
      </c>
    </row>
    <row r="334" spans="1:12">
      <c r="A334" s="168">
        <v>64</v>
      </c>
      <c r="B334" s="168" t="s">
        <v>2774</v>
      </c>
      <c r="C334" s="168" t="s">
        <v>2776</v>
      </c>
      <c r="D334" s="455" t="s">
        <v>1552</v>
      </c>
      <c r="E334" s="455" t="s">
        <v>595</v>
      </c>
      <c r="F334" s="168" t="s">
        <v>1569</v>
      </c>
      <c r="G334" s="150">
        <v>10717.83</v>
      </c>
      <c r="H334" s="456">
        <v>12300</v>
      </c>
      <c r="I334" s="160">
        <v>43117.08</v>
      </c>
      <c r="J334" s="168">
        <v>43117</v>
      </c>
      <c r="K334" s="168"/>
      <c r="L334" s="168">
        <v>43117</v>
      </c>
    </row>
    <row r="335" spans="1:12">
      <c r="A335" s="168">
        <v>64</v>
      </c>
      <c r="B335" s="168" t="s">
        <v>2774</v>
      </c>
      <c r="C335" s="168" t="s">
        <v>2852</v>
      </c>
      <c r="D335" s="455" t="s">
        <v>1552</v>
      </c>
      <c r="E335" s="455" t="s">
        <v>545</v>
      </c>
      <c r="F335" s="168" t="s">
        <v>1569</v>
      </c>
      <c r="G335" s="150">
        <v>761.95</v>
      </c>
      <c r="H335" s="456">
        <v>765</v>
      </c>
      <c r="I335" s="168">
        <v>0</v>
      </c>
      <c r="J335" s="168">
        <v>0</v>
      </c>
      <c r="K335" s="168"/>
      <c r="L335" s="168">
        <v>0</v>
      </c>
    </row>
    <row r="336" spans="1:12">
      <c r="A336" s="168">
        <v>64</v>
      </c>
      <c r="B336" s="168" t="s">
        <v>2774</v>
      </c>
      <c r="C336" s="168" t="s">
        <v>2895</v>
      </c>
      <c r="D336" s="455" t="s">
        <v>1552</v>
      </c>
      <c r="E336" s="455" t="s">
        <v>545</v>
      </c>
      <c r="F336" s="168" t="s">
        <v>1569</v>
      </c>
      <c r="G336" s="150">
        <v>2501.7800000000002</v>
      </c>
      <c r="H336" s="456">
        <v>3400</v>
      </c>
      <c r="I336" s="168">
        <v>0</v>
      </c>
      <c r="J336" s="168">
        <v>0</v>
      </c>
      <c r="K336" s="168"/>
      <c r="L336" s="168">
        <v>0</v>
      </c>
    </row>
    <row r="337" spans="1:12">
      <c r="A337" s="168">
        <v>65</v>
      </c>
      <c r="B337" s="168" t="s">
        <v>2774</v>
      </c>
      <c r="C337" s="168" t="s">
        <v>2852</v>
      </c>
      <c r="D337" s="455" t="s">
        <v>1552</v>
      </c>
      <c r="E337" s="455" t="s">
        <v>545</v>
      </c>
      <c r="F337" s="168" t="s">
        <v>1570</v>
      </c>
      <c r="G337" s="150">
        <v>2671.35</v>
      </c>
      <c r="H337" s="456">
        <v>3500</v>
      </c>
      <c r="I337" s="160">
        <v>27.53</v>
      </c>
      <c r="J337" s="168">
        <v>28</v>
      </c>
      <c r="K337" s="168"/>
      <c r="L337" s="168">
        <v>28</v>
      </c>
    </row>
    <row r="338" spans="1:12">
      <c r="A338" s="168">
        <v>66</v>
      </c>
      <c r="B338" s="168" t="s">
        <v>2774</v>
      </c>
      <c r="C338" s="168" t="s">
        <v>2776</v>
      </c>
      <c r="D338" s="455" t="s">
        <v>1552</v>
      </c>
      <c r="E338" s="455" t="s">
        <v>595</v>
      </c>
      <c r="F338" s="168" t="s">
        <v>1571</v>
      </c>
      <c r="G338" s="150">
        <v>5419.69</v>
      </c>
      <c r="H338" s="456">
        <v>5450</v>
      </c>
      <c r="I338" s="160">
        <v>5292.68</v>
      </c>
      <c r="J338" s="168">
        <v>5292</v>
      </c>
      <c r="K338" s="168"/>
      <c r="L338" s="168">
        <v>5292</v>
      </c>
    </row>
    <row r="339" spans="1:12">
      <c r="A339" s="168">
        <v>66</v>
      </c>
      <c r="B339" s="168" t="s">
        <v>2774</v>
      </c>
      <c r="C339" s="168" t="s">
        <v>2852</v>
      </c>
      <c r="D339" s="455" t="s">
        <v>1552</v>
      </c>
      <c r="E339" s="455" t="s">
        <v>1164</v>
      </c>
      <c r="F339" s="168" t="s">
        <v>1571</v>
      </c>
      <c r="G339" s="150">
        <v>2935.88</v>
      </c>
      <c r="H339" s="456">
        <v>2950</v>
      </c>
      <c r="I339" s="160">
        <v>2105.7399999999998</v>
      </c>
      <c r="J339" s="168">
        <v>2105</v>
      </c>
      <c r="K339" s="168"/>
      <c r="L339" s="168">
        <v>2105</v>
      </c>
    </row>
    <row r="340" spans="1:12">
      <c r="A340" s="168">
        <v>66</v>
      </c>
      <c r="B340" s="168" t="s">
        <v>2774</v>
      </c>
      <c r="C340" s="168" t="s">
        <v>2895</v>
      </c>
      <c r="D340" s="455" t="s">
        <v>1552</v>
      </c>
      <c r="E340" s="455" t="s">
        <v>1164</v>
      </c>
      <c r="F340" s="168" t="s">
        <v>1571</v>
      </c>
      <c r="G340" s="150">
        <v>55213.84</v>
      </c>
      <c r="H340" s="456">
        <v>58000</v>
      </c>
      <c r="I340" s="160">
        <v>46288.56</v>
      </c>
      <c r="J340" s="168">
        <v>46288</v>
      </c>
      <c r="K340" s="168"/>
      <c r="L340" s="168">
        <v>46288</v>
      </c>
    </row>
    <row r="341" spans="1:12">
      <c r="A341" s="168">
        <v>66</v>
      </c>
      <c r="B341" s="168" t="s">
        <v>2774</v>
      </c>
      <c r="C341" s="168" t="s">
        <v>2791</v>
      </c>
      <c r="D341" s="455" t="s">
        <v>1552</v>
      </c>
      <c r="E341" s="455" t="s">
        <v>99</v>
      </c>
      <c r="F341" s="168" t="s">
        <v>1571</v>
      </c>
      <c r="G341" s="150">
        <v>1659287.46</v>
      </c>
      <c r="H341" s="456">
        <v>1672426</v>
      </c>
      <c r="I341" s="160">
        <v>2242968.2400000002</v>
      </c>
      <c r="J341" s="168">
        <v>2242968</v>
      </c>
      <c r="K341" s="168"/>
      <c r="L341" s="168">
        <v>2242968</v>
      </c>
    </row>
    <row r="342" spans="1:12">
      <c r="A342" s="168">
        <v>80</v>
      </c>
      <c r="B342" s="168" t="s">
        <v>2774</v>
      </c>
      <c r="C342" s="168" t="s">
        <v>2851</v>
      </c>
      <c r="D342" s="455" t="s">
        <v>1552</v>
      </c>
      <c r="E342" s="455" t="s">
        <v>2326</v>
      </c>
      <c r="F342" s="168" t="s">
        <v>1572</v>
      </c>
      <c r="G342" s="150">
        <v>0</v>
      </c>
      <c r="H342" s="456">
        <v>0</v>
      </c>
      <c r="I342" s="168">
        <v>0</v>
      </c>
      <c r="J342" s="168">
        <v>0</v>
      </c>
      <c r="K342" s="168"/>
      <c r="L342" s="168">
        <v>0</v>
      </c>
    </row>
    <row r="343" spans="1:12">
      <c r="A343" s="168">
        <v>80</v>
      </c>
      <c r="B343" s="168" t="s">
        <v>2774</v>
      </c>
      <c r="C343" s="168" t="s">
        <v>2776</v>
      </c>
      <c r="D343" s="455" t="s">
        <v>1552</v>
      </c>
      <c r="E343" s="455" t="s">
        <v>595</v>
      </c>
      <c r="F343" s="168" t="s">
        <v>1572</v>
      </c>
      <c r="G343" s="150">
        <v>9218.16</v>
      </c>
      <c r="H343" s="456">
        <v>9300</v>
      </c>
      <c r="I343" s="160">
        <v>125.43</v>
      </c>
      <c r="J343" s="168">
        <v>125</v>
      </c>
      <c r="K343" s="168"/>
      <c r="L343" s="168">
        <v>125</v>
      </c>
    </row>
    <row r="344" spans="1:12">
      <c r="A344" s="168">
        <v>80</v>
      </c>
      <c r="B344" s="168" t="s">
        <v>2774</v>
      </c>
      <c r="C344" s="168" t="s">
        <v>2852</v>
      </c>
      <c r="D344" s="455" t="s">
        <v>1552</v>
      </c>
      <c r="E344" s="455" t="s">
        <v>545</v>
      </c>
      <c r="F344" s="168" t="s">
        <v>1572</v>
      </c>
      <c r="G344" s="150">
        <v>10</v>
      </c>
      <c r="H344" s="456">
        <v>15</v>
      </c>
      <c r="I344" s="160">
        <v>241.35</v>
      </c>
      <c r="J344" s="168">
        <v>242</v>
      </c>
      <c r="K344" s="168"/>
      <c r="L344" s="168">
        <v>242</v>
      </c>
    </row>
    <row r="345" spans="1:12">
      <c r="A345" s="168">
        <v>81</v>
      </c>
      <c r="B345" s="168" t="s">
        <v>2774</v>
      </c>
      <c r="C345" s="168" t="s">
        <v>2776</v>
      </c>
      <c r="D345" s="455" t="s">
        <v>1552</v>
      </c>
      <c r="E345" s="455" t="s">
        <v>595</v>
      </c>
      <c r="F345" s="168" t="s">
        <v>1573</v>
      </c>
      <c r="G345" s="150">
        <v>102581.56</v>
      </c>
      <c r="H345" s="456">
        <v>104000</v>
      </c>
      <c r="I345" s="160">
        <v>1693.35</v>
      </c>
      <c r="J345" s="168">
        <v>1693</v>
      </c>
      <c r="K345" s="168"/>
      <c r="L345" s="168">
        <v>1693</v>
      </c>
    </row>
    <row r="346" spans="1:12">
      <c r="A346" s="168">
        <v>81</v>
      </c>
      <c r="B346" s="168" t="s">
        <v>2774</v>
      </c>
      <c r="C346" s="168" t="s">
        <v>2915</v>
      </c>
      <c r="D346" s="455" t="s">
        <v>1552</v>
      </c>
      <c r="E346" s="455" t="s">
        <v>2587</v>
      </c>
      <c r="F346" s="168" t="s">
        <v>1573</v>
      </c>
      <c r="G346" s="150">
        <v>227639.72</v>
      </c>
      <c r="H346" s="456">
        <v>236000</v>
      </c>
      <c r="I346" s="160">
        <v>199260.17</v>
      </c>
      <c r="J346" s="168">
        <v>199260</v>
      </c>
      <c r="K346" s="168"/>
      <c r="L346" s="168">
        <v>199260</v>
      </c>
    </row>
    <row r="347" spans="1:12">
      <c r="A347" s="168">
        <v>81</v>
      </c>
      <c r="B347" s="168" t="s">
        <v>2774</v>
      </c>
      <c r="C347" s="168" t="s">
        <v>2916</v>
      </c>
      <c r="D347" s="455" t="s">
        <v>1552</v>
      </c>
      <c r="E347" s="455" t="s">
        <v>2589</v>
      </c>
      <c r="F347" s="168" t="s">
        <v>1573</v>
      </c>
      <c r="G347" s="150">
        <v>0</v>
      </c>
      <c r="H347" s="456">
        <v>0</v>
      </c>
      <c r="I347" s="160">
        <v>4050.35</v>
      </c>
      <c r="J347" s="168">
        <v>4050</v>
      </c>
      <c r="K347" s="168"/>
      <c r="L347" s="168">
        <v>4050</v>
      </c>
    </row>
    <row r="348" spans="1:12">
      <c r="A348" s="168">
        <v>81</v>
      </c>
      <c r="B348" s="168" t="s">
        <v>2774</v>
      </c>
      <c r="C348" s="168" t="s">
        <v>2852</v>
      </c>
      <c r="D348" s="455" t="s">
        <v>1552</v>
      </c>
      <c r="E348" s="455" t="s">
        <v>545</v>
      </c>
      <c r="F348" s="168" t="s">
        <v>1573</v>
      </c>
      <c r="G348" s="150">
        <v>3234.82</v>
      </c>
      <c r="H348" s="456">
        <v>3300</v>
      </c>
      <c r="I348" s="160">
        <v>0</v>
      </c>
      <c r="J348" s="168">
        <v>0</v>
      </c>
      <c r="K348" s="168"/>
      <c r="L348" s="168">
        <v>0</v>
      </c>
    </row>
    <row r="349" spans="1:12">
      <c r="A349" s="168">
        <v>81</v>
      </c>
      <c r="B349" s="168" t="s">
        <v>2774</v>
      </c>
      <c r="C349" s="168" t="s">
        <v>2895</v>
      </c>
      <c r="D349" s="455" t="s">
        <v>1552</v>
      </c>
      <c r="E349" s="455" t="s">
        <v>545</v>
      </c>
      <c r="F349" s="168" t="s">
        <v>1573</v>
      </c>
      <c r="G349" s="150">
        <v>16200.31</v>
      </c>
      <c r="H349" s="456">
        <v>20000</v>
      </c>
      <c r="I349" s="160">
        <v>20107.689999999999</v>
      </c>
      <c r="J349" s="168">
        <v>20107</v>
      </c>
      <c r="K349" s="168"/>
      <c r="L349" s="168">
        <v>20107</v>
      </c>
    </row>
    <row r="350" spans="1:12">
      <c r="A350" s="168">
        <v>81</v>
      </c>
      <c r="B350" s="168" t="s">
        <v>2774</v>
      </c>
      <c r="C350" s="168" t="s">
        <v>2835</v>
      </c>
      <c r="D350" s="455" t="s">
        <v>1552</v>
      </c>
      <c r="E350" s="455" t="s">
        <v>95</v>
      </c>
      <c r="F350" s="168" t="s">
        <v>1573</v>
      </c>
      <c r="G350" s="150">
        <v>0</v>
      </c>
      <c r="H350" s="456">
        <v>0</v>
      </c>
      <c r="I350" s="168">
        <v>0</v>
      </c>
      <c r="J350" s="168">
        <v>0</v>
      </c>
      <c r="K350" s="168"/>
      <c r="L350" s="168">
        <v>0</v>
      </c>
    </row>
    <row r="351" spans="1:12">
      <c r="A351" s="168">
        <v>82</v>
      </c>
      <c r="B351" s="168" t="s">
        <v>2774</v>
      </c>
      <c r="C351" s="168" t="s">
        <v>2776</v>
      </c>
      <c r="D351" s="455" t="s">
        <v>1552</v>
      </c>
      <c r="E351" s="455" t="s">
        <v>595</v>
      </c>
      <c r="F351" s="168" t="s">
        <v>1574</v>
      </c>
      <c r="G351" s="150">
        <v>100</v>
      </c>
      <c r="H351" s="456">
        <v>150</v>
      </c>
      <c r="I351" s="160">
        <v>232.85</v>
      </c>
      <c r="J351" s="168">
        <v>233</v>
      </c>
      <c r="K351" s="168"/>
      <c r="L351" s="168">
        <v>233</v>
      </c>
    </row>
    <row r="352" spans="1:12">
      <c r="A352" s="168">
        <v>82</v>
      </c>
      <c r="B352" s="168" t="s">
        <v>2774</v>
      </c>
      <c r="C352" s="168" t="s">
        <v>2852</v>
      </c>
      <c r="D352" s="455" t="s">
        <v>1552</v>
      </c>
      <c r="E352" s="455" t="s">
        <v>545</v>
      </c>
      <c r="F352" s="168" t="s">
        <v>1574</v>
      </c>
      <c r="G352" s="150">
        <v>205607.35</v>
      </c>
      <c r="H352" s="456">
        <v>207500</v>
      </c>
      <c r="I352" s="160">
        <v>148461.35</v>
      </c>
      <c r="J352" s="168">
        <v>148461</v>
      </c>
      <c r="K352" s="168"/>
      <c r="L352" s="168">
        <v>148461</v>
      </c>
    </row>
    <row r="353" spans="1:12">
      <c r="A353" s="168">
        <v>84</v>
      </c>
      <c r="B353" s="168" t="s">
        <v>2774</v>
      </c>
      <c r="C353" s="168" t="s">
        <v>2776</v>
      </c>
      <c r="D353" s="455" t="s">
        <v>1552</v>
      </c>
      <c r="E353" s="455" t="s">
        <v>595</v>
      </c>
      <c r="F353" s="168" t="s">
        <v>1244</v>
      </c>
      <c r="G353" s="150">
        <v>5024.21</v>
      </c>
      <c r="H353" s="456">
        <v>6000</v>
      </c>
      <c r="I353" s="160">
        <v>5073.24</v>
      </c>
      <c r="J353" s="168">
        <v>5073</v>
      </c>
      <c r="K353" s="168"/>
      <c r="L353" s="168">
        <v>5073</v>
      </c>
    </row>
    <row r="354" spans="1:12">
      <c r="A354" s="168">
        <v>84</v>
      </c>
      <c r="B354" s="168" t="s">
        <v>2774</v>
      </c>
      <c r="C354" s="168" t="s">
        <v>2943</v>
      </c>
      <c r="D354" s="455" t="s">
        <v>1552</v>
      </c>
      <c r="E354" s="455" t="s">
        <v>338</v>
      </c>
      <c r="F354" s="168" t="s">
        <v>1244</v>
      </c>
      <c r="G354" s="150">
        <v>324648.15999999997</v>
      </c>
      <c r="H354" s="456">
        <v>326000</v>
      </c>
      <c r="I354" s="160">
        <v>1211751.73</v>
      </c>
      <c r="J354" s="168">
        <v>1211751</v>
      </c>
      <c r="K354" s="168"/>
      <c r="L354" s="168">
        <v>1211751</v>
      </c>
    </row>
    <row r="355" spans="1:12">
      <c r="A355" s="168">
        <v>84</v>
      </c>
      <c r="B355" s="168" t="s">
        <v>2774</v>
      </c>
      <c r="C355" s="168" t="s">
        <v>2852</v>
      </c>
      <c r="D355" s="455" t="s">
        <v>1552</v>
      </c>
      <c r="E355" s="455" t="s">
        <v>545</v>
      </c>
      <c r="F355" s="168" t="s">
        <v>1244</v>
      </c>
      <c r="G355" s="150">
        <v>53.33</v>
      </c>
      <c r="H355" s="456">
        <v>1000</v>
      </c>
      <c r="I355" s="160">
        <v>140.05000000000001</v>
      </c>
      <c r="J355" s="168">
        <v>141</v>
      </c>
      <c r="K355" s="168"/>
      <c r="L355" s="168">
        <v>141</v>
      </c>
    </row>
    <row r="356" spans="1:12">
      <c r="A356" s="168">
        <v>84</v>
      </c>
      <c r="B356" s="168" t="s">
        <v>2774</v>
      </c>
      <c r="C356" s="168" t="s">
        <v>2895</v>
      </c>
      <c r="D356" s="455" t="s">
        <v>1552</v>
      </c>
      <c r="E356" s="455" t="s">
        <v>545</v>
      </c>
      <c r="F356" s="168" t="s">
        <v>1244</v>
      </c>
      <c r="G356" s="150">
        <v>36268.74</v>
      </c>
      <c r="H356" s="456">
        <v>39000</v>
      </c>
      <c r="I356" s="160">
        <v>25450.37</v>
      </c>
      <c r="J356" s="168">
        <v>25451</v>
      </c>
      <c r="K356" s="168"/>
      <c r="L356" s="168">
        <v>25451</v>
      </c>
    </row>
    <row r="357" spans="1:12">
      <c r="A357" s="168">
        <v>85</v>
      </c>
      <c r="B357" s="168" t="s">
        <v>2774</v>
      </c>
      <c r="C357" s="168" t="s">
        <v>2776</v>
      </c>
      <c r="D357" s="455" t="s">
        <v>1552</v>
      </c>
      <c r="E357" s="455" t="s">
        <v>595</v>
      </c>
      <c r="F357" s="168" t="s">
        <v>1575</v>
      </c>
      <c r="G357" s="150">
        <v>0</v>
      </c>
      <c r="H357" s="456">
        <v>1000</v>
      </c>
      <c r="I357" s="168">
        <v>0</v>
      </c>
      <c r="J357" s="168">
        <v>0</v>
      </c>
      <c r="K357" s="168"/>
      <c r="L357" s="168">
        <v>0</v>
      </c>
    </row>
    <row r="358" spans="1:12">
      <c r="A358" s="168">
        <v>85</v>
      </c>
      <c r="B358" s="168" t="s">
        <v>2774</v>
      </c>
      <c r="C358" s="168" t="s">
        <v>2951</v>
      </c>
      <c r="D358" s="455" t="s">
        <v>1552</v>
      </c>
      <c r="E358" s="455" t="s">
        <v>2331</v>
      </c>
      <c r="F358" s="168" t="s">
        <v>1575</v>
      </c>
      <c r="G358" s="150">
        <v>5688</v>
      </c>
      <c r="H358" s="456">
        <v>7000</v>
      </c>
      <c r="I358" s="168">
        <v>0</v>
      </c>
      <c r="J358" s="168">
        <v>0</v>
      </c>
      <c r="K358" s="168"/>
      <c r="L358" s="168">
        <v>0</v>
      </c>
    </row>
    <row r="359" spans="1:12">
      <c r="A359" s="168">
        <v>86</v>
      </c>
      <c r="B359" s="168" t="s">
        <v>2774</v>
      </c>
      <c r="C359" s="168" t="s">
        <v>2852</v>
      </c>
      <c r="D359" s="455" t="s">
        <v>1552</v>
      </c>
      <c r="E359" s="455" t="s">
        <v>545</v>
      </c>
      <c r="F359" s="168" t="s">
        <v>1576</v>
      </c>
      <c r="G359" s="150">
        <v>1682.76</v>
      </c>
      <c r="H359" s="456">
        <v>2000</v>
      </c>
      <c r="I359" s="160">
        <v>70.61</v>
      </c>
      <c r="J359" s="168">
        <v>71</v>
      </c>
      <c r="K359" s="168"/>
      <c r="L359" s="168">
        <v>71</v>
      </c>
    </row>
    <row r="360" spans="1:12">
      <c r="A360" s="168">
        <v>100</v>
      </c>
      <c r="B360" s="168" t="s">
        <v>2774</v>
      </c>
      <c r="C360" s="168" t="s">
        <v>2776</v>
      </c>
      <c r="D360" s="455" t="s">
        <v>1552</v>
      </c>
      <c r="E360" s="455" t="s">
        <v>595</v>
      </c>
      <c r="F360" s="168" t="s">
        <v>1579</v>
      </c>
      <c r="G360" s="150">
        <v>8122.36</v>
      </c>
      <c r="H360" s="456">
        <v>8200</v>
      </c>
      <c r="I360" s="160">
        <v>8090.81</v>
      </c>
      <c r="J360" s="168">
        <v>8091</v>
      </c>
      <c r="K360" s="168"/>
      <c r="L360" s="168">
        <v>8091</v>
      </c>
    </row>
    <row r="361" spans="1:12">
      <c r="A361" s="168">
        <v>100</v>
      </c>
      <c r="B361" s="168" t="s">
        <v>2774</v>
      </c>
      <c r="C361" s="168" t="s">
        <v>2956</v>
      </c>
      <c r="D361" s="455" t="s">
        <v>1552</v>
      </c>
      <c r="E361" s="455" t="s">
        <v>1235</v>
      </c>
      <c r="F361" s="168" t="s">
        <v>1579</v>
      </c>
      <c r="G361" s="150">
        <v>26065.71</v>
      </c>
      <c r="H361" s="456">
        <v>26100</v>
      </c>
      <c r="I361" s="160">
        <v>70604.25</v>
      </c>
      <c r="J361" s="168">
        <v>70604</v>
      </c>
      <c r="K361" s="168"/>
      <c r="L361" s="168">
        <v>70604</v>
      </c>
    </row>
    <row r="362" spans="1:12">
      <c r="A362" s="168">
        <v>100</v>
      </c>
      <c r="B362" s="168" t="s">
        <v>2774</v>
      </c>
      <c r="C362" s="168" t="s">
        <v>2895</v>
      </c>
      <c r="D362" s="455" t="s">
        <v>1552</v>
      </c>
      <c r="E362" s="455" t="s">
        <v>545</v>
      </c>
      <c r="F362" s="168" t="s">
        <v>1579</v>
      </c>
      <c r="G362" s="150">
        <v>21541.09</v>
      </c>
      <c r="H362" s="456">
        <v>21600</v>
      </c>
      <c r="I362" s="160">
        <v>29360.39</v>
      </c>
      <c r="J362" s="168">
        <v>29360</v>
      </c>
      <c r="K362" s="168"/>
      <c r="L362" s="168">
        <v>29360</v>
      </c>
    </row>
    <row r="363" spans="1:12">
      <c r="A363" s="168"/>
      <c r="B363" s="168"/>
      <c r="C363" s="168"/>
      <c r="D363" s="455"/>
      <c r="E363" s="455"/>
      <c r="F363" s="168"/>
      <c r="G363" s="150"/>
      <c r="H363" s="456"/>
      <c r="I363" s="169">
        <f>SUM(I320:I362)</f>
        <v>4407466.99</v>
      </c>
      <c r="J363" s="168">
        <f>SUM(J320:J362)</f>
        <v>4407463</v>
      </c>
      <c r="K363" s="168"/>
      <c r="L363" s="168"/>
    </row>
    <row r="364" spans="1:12">
      <c r="A364" s="168"/>
      <c r="B364" s="168"/>
      <c r="C364" s="168"/>
      <c r="D364" s="455"/>
      <c r="E364" s="455"/>
      <c r="F364" s="168"/>
      <c r="G364" s="150"/>
      <c r="H364" s="456"/>
      <c r="I364" s="168"/>
      <c r="J364" s="168"/>
      <c r="K364" s="168"/>
      <c r="L364" s="168"/>
    </row>
    <row r="365" spans="1:12">
      <c r="A365" s="168">
        <v>10</v>
      </c>
      <c r="B365" s="168" t="s">
        <v>2778</v>
      </c>
      <c r="C365" s="168" t="s">
        <v>2779</v>
      </c>
      <c r="D365" s="455" t="s">
        <v>2469</v>
      </c>
      <c r="E365" s="455" t="s">
        <v>2315</v>
      </c>
      <c r="F365" s="168" t="s">
        <v>1558</v>
      </c>
      <c r="G365" s="150">
        <v>636354.44999999995</v>
      </c>
      <c r="H365" s="456">
        <v>724562</v>
      </c>
      <c r="I365" s="160">
        <v>530348.54</v>
      </c>
      <c r="J365" s="168">
        <v>530349</v>
      </c>
      <c r="K365" s="168"/>
      <c r="L365" s="168">
        <v>530349</v>
      </c>
    </row>
    <row r="366" spans="1:12">
      <c r="A366" s="168">
        <v>66</v>
      </c>
      <c r="B366" s="168" t="s">
        <v>2778</v>
      </c>
      <c r="C366" s="168" t="s">
        <v>2779</v>
      </c>
      <c r="D366" s="455" t="s">
        <v>2469</v>
      </c>
      <c r="E366" s="455" t="s">
        <v>2315</v>
      </c>
      <c r="F366" s="168" t="s">
        <v>1571</v>
      </c>
      <c r="G366" s="150">
        <v>57930.75</v>
      </c>
      <c r="H366" s="456">
        <v>161309</v>
      </c>
      <c r="I366" s="160">
        <v>88033.8</v>
      </c>
      <c r="J366" s="168">
        <v>88034</v>
      </c>
      <c r="K366" s="168"/>
      <c r="L366" s="168">
        <v>88034</v>
      </c>
    </row>
    <row r="367" spans="1:12">
      <c r="A367" s="168">
        <v>81</v>
      </c>
      <c r="B367" s="168" t="s">
        <v>2778</v>
      </c>
      <c r="C367" s="168" t="s">
        <v>2779</v>
      </c>
      <c r="D367" s="455" t="s">
        <v>2469</v>
      </c>
      <c r="E367" s="455" t="s">
        <v>2315</v>
      </c>
      <c r="F367" s="168" t="s">
        <v>1573</v>
      </c>
      <c r="G367" s="150">
        <v>0</v>
      </c>
      <c r="H367" s="456">
        <v>103192</v>
      </c>
      <c r="I367" s="160">
        <v>45837.89</v>
      </c>
      <c r="J367" s="168">
        <v>45838</v>
      </c>
      <c r="K367" s="168"/>
      <c r="L367" s="168">
        <v>45838</v>
      </c>
    </row>
    <row r="368" spans="1:12">
      <c r="A368" s="168">
        <v>82</v>
      </c>
      <c r="B368" s="168" t="s">
        <v>2778</v>
      </c>
      <c r="C368" s="168" t="s">
        <v>2779</v>
      </c>
      <c r="D368" s="455" t="s">
        <v>2469</v>
      </c>
      <c r="E368" s="455" t="s">
        <v>2315</v>
      </c>
      <c r="F368" s="168" t="s">
        <v>1574</v>
      </c>
      <c r="G368" s="150">
        <v>430304.54</v>
      </c>
      <c r="H368" s="456">
        <v>431590</v>
      </c>
      <c r="I368" s="160">
        <v>752422.18</v>
      </c>
      <c r="J368" s="168">
        <v>752422</v>
      </c>
      <c r="K368" s="168"/>
      <c r="L368" s="168">
        <v>752422</v>
      </c>
    </row>
    <row r="369" spans="1:13">
      <c r="A369" s="168">
        <v>84</v>
      </c>
      <c r="B369" s="168" t="s">
        <v>2778</v>
      </c>
      <c r="C369" s="168" t="s">
        <v>2779</v>
      </c>
      <c r="D369" s="455" t="s">
        <v>2469</v>
      </c>
      <c r="E369" s="455" t="s">
        <v>2315</v>
      </c>
      <c r="F369" s="168" t="s">
        <v>1244</v>
      </c>
      <c r="G369" s="150">
        <v>61535.58</v>
      </c>
      <c r="H369" s="456">
        <v>302765</v>
      </c>
      <c r="I369" s="160">
        <v>229368.85</v>
      </c>
      <c r="J369" s="168">
        <v>229369</v>
      </c>
      <c r="K369" s="168"/>
      <c r="L369" s="168">
        <v>229369</v>
      </c>
    </row>
    <row r="370" spans="1:13">
      <c r="A370" s="168">
        <v>100</v>
      </c>
      <c r="B370" s="168" t="s">
        <v>2778</v>
      </c>
      <c r="C370" s="168" t="s">
        <v>2779</v>
      </c>
      <c r="D370" s="455" t="s">
        <v>2469</v>
      </c>
      <c r="E370" s="455" t="s">
        <v>2315</v>
      </c>
      <c r="F370" s="168" t="s">
        <v>1579</v>
      </c>
      <c r="G370" s="150">
        <v>0</v>
      </c>
      <c r="H370" s="456">
        <v>857</v>
      </c>
      <c r="I370" s="160">
        <v>27162.69</v>
      </c>
      <c r="J370" s="168">
        <v>27163</v>
      </c>
      <c r="K370" s="168"/>
      <c r="L370" s="168">
        <v>27163</v>
      </c>
    </row>
    <row r="371" spans="1:13">
      <c r="A371" s="168"/>
      <c r="B371" s="168"/>
      <c r="C371" s="168"/>
      <c r="D371" s="455"/>
      <c r="E371" s="455"/>
      <c r="F371" s="168"/>
      <c r="G371" s="150"/>
      <c r="H371" s="456"/>
      <c r="I371" s="169">
        <f>SUM(I365:I370)</f>
        <v>1673173.9500000002</v>
      </c>
      <c r="J371" s="168">
        <f>SUM(J365:J370)</f>
        <v>1673175</v>
      </c>
      <c r="K371" s="168"/>
      <c r="L371" s="168"/>
    </row>
    <row r="372" spans="1:13" s="160" customFormat="1">
      <c r="A372" s="168"/>
      <c r="B372" s="168"/>
      <c r="C372" s="168"/>
      <c r="D372" s="455"/>
      <c r="E372" s="455"/>
      <c r="F372" s="168"/>
      <c r="G372" s="150"/>
      <c r="H372" s="456"/>
      <c r="I372" s="168"/>
      <c r="J372" s="168"/>
      <c r="K372" s="168"/>
      <c r="L372" s="168"/>
    </row>
    <row r="373" spans="1:13">
      <c r="A373" s="168">
        <v>10</v>
      </c>
      <c r="B373" s="168" t="s">
        <v>2780</v>
      </c>
      <c r="C373" s="168" t="s">
        <v>2781</v>
      </c>
      <c r="D373" s="455" t="s">
        <v>2469</v>
      </c>
      <c r="E373" s="455" t="s">
        <v>2333</v>
      </c>
      <c r="F373" s="168" t="s">
        <v>1558</v>
      </c>
      <c r="G373" s="150">
        <v>0</v>
      </c>
      <c r="H373" s="456">
        <v>859966</v>
      </c>
      <c r="I373" s="168">
        <v>0</v>
      </c>
      <c r="J373" s="168">
        <v>0</v>
      </c>
      <c r="K373" s="168"/>
      <c r="L373" s="168"/>
    </row>
    <row r="374" spans="1:13">
      <c r="A374" s="147">
        <v>66</v>
      </c>
      <c r="B374" s="147" t="s">
        <v>2780</v>
      </c>
      <c r="C374" s="147" t="s">
        <v>2781</v>
      </c>
      <c r="D374" s="148" t="s">
        <v>2469</v>
      </c>
      <c r="E374" s="148" t="s">
        <v>2333</v>
      </c>
      <c r="F374" s="147" t="s">
        <v>1571</v>
      </c>
      <c r="G374" s="151">
        <v>0</v>
      </c>
      <c r="H374" s="149">
        <v>229761</v>
      </c>
      <c r="I374" s="168">
        <v>0</v>
      </c>
      <c r="J374" s="168">
        <v>0</v>
      </c>
      <c r="K374" s="147"/>
      <c r="L374" s="147"/>
      <c r="M374" s="144"/>
    </row>
    <row r="375" spans="1:13">
      <c r="A375" s="168">
        <v>81</v>
      </c>
      <c r="B375" s="168" t="s">
        <v>2780</v>
      </c>
      <c r="C375" s="168" t="s">
        <v>2781</v>
      </c>
      <c r="D375" s="455" t="s">
        <v>2469</v>
      </c>
      <c r="E375" s="455" t="s">
        <v>2333</v>
      </c>
      <c r="F375" s="168" t="s">
        <v>1573</v>
      </c>
      <c r="G375" s="150">
        <v>0</v>
      </c>
      <c r="H375" s="456">
        <v>74979</v>
      </c>
      <c r="I375" s="168">
        <v>0</v>
      </c>
      <c r="J375" s="168">
        <v>0</v>
      </c>
      <c r="K375" s="168"/>
      <c r="L375" s="168"/>
    </row>
    <row r="376" spans="1:13">
      <c r="A376" s="147">
        <v>82</v>
      </c>
      <c r="B376" s="147" t="s">
        <v>2780</v>
      </c>
      <c r="C376" s="147" t="s">
        <v>2781</v>
      </c>
      <c r="D376" s="148" t="s">
        <v>2469</v>
      </c>
      <c r="E376" s="148" t="s">
        <v>2333</v>
      </c>
      <c r="F376" s="147" t="s">
        <v>1574</v>
      </c>
      <c r="G376" s="151">
        <v>0</v>
      </c>
      <c r="H376" s="149">
        <v>154000</v>
      </c>
      <c r="I376" s="168">
        <v>0</v>
      </c>
      <c r="J376" s="168">
        <v>0</v>
      </c>
      <c r="K376" s="147"/>
      <c r="L376" s="147"/>
      <c r="M376" s="144"/>
    </row>
    <row r="377" spans="1:13">
      <c r="A377" s="147">
        <v>84</v>
      </c>
      <c r="B377" s="147" t="s">
        <v>2780</v>
      </c>
      <c r="C377" s="147" t="s">
        <v>2781</v>
      </c>
      <c r="D377" s="148" t="s">
        <v>2469</v>
      </c>
      <c r="E377" s="148" t="s">
        <v>2333</v>
      </c>
      <c r="F377" s="147" t="s">
        <v>1244</v>
      </c>
      <c r="G377" s="151">
        <v>0</v>
      </c>
      <c r="H377" s="149">
        <v>463142</v>
      </c>
      <c r="I377" s="168">
        <v>0</v>
      </c>
      <c r="J377" s="168">
        <v>0</v>
      </c>
      <c r="K377" s="147"/>
      <c r="L377" s="147"/>
      <c r="M377" s="144"/>
    </row>
    <row r="378" spans="1:13">
      <c r="A378" s="147">
        <v>100</v>
      </c>
      <c r="B378" s="147" t="s">
        <v>2780</v>
      </c>
      <c r="C378" s="147" t="s">
        <v>2781</v>
      </c>
      <c r="D378" s="148" t="s">
        <v>2469</v>
      </c>
      <c r="E378" s="148" t="s">
        <v>2333</v>
      </c>
      <c r="F378" s="147" t="s">
        <v>1579</v>
      </c>
      <c r="G378" s="151">
        <v>0</v>
      </c>
      <c r="H378" s="149">
        <v>10194</v>
      </c>
      <c r="I378" s="168">
        <v>0</v>
      </c>
      <c r="J378" s="168">
        <v>0</v>
      </c>
      <c r="K378" s="147"/>
      <c r="L378" s="147"/>
      <c r="M378" s="144"/>
    </row>
    <row r="379" spans="1:13">
      <c r="A379" s="147"/>
      <c r="B379" s="147"/>
      <c r="C379" s="147"/>
      <c r="D379" s="148"/>
      <c r="E379" s="148"/>
      <c r="F379" s="147"/>
      <c r="G379" s="151"/>
      <c r="H379" s="149"/>
      <c r="I379" s="168"/>
      <c r="J379" s="168"/>
      <c r="K379" s="147"/>
      <c r="L379" s="147"/>
      <c r="M379" s="144"/>
    </row>
    <row r="380" spans="1:13" s="160" customFormat="1">
      <c r="A380" s="147"/>
      <c r="B380" s="147"/>
      <c r="C380" s="147"/>
      <c r="D380" s="148"/>
      <c r="E380" s="148"/>
      <c r="F380" s="147"/>
      <c r="G380" s="151"/>
      <c r="H380" s="149"/>
      <c r="I380" s="168"/>
      <c r="J380" s="168"/>
      <c r="K380" s="147"/>
      <c r="L380" s="147"/>
      <c r="M380" s="167"/>
    </row>
    <row r="381" spans="1:13">
      <c r="A381" s="168">
        <v>10</v>
      </c>
      <c r="B381" s="168" t="s">
        <v>2782</v>
      </c>
      <c r="C381" s="168" t="s">
        <v>2783</v>
      </c>
      <c r="D381" s="455" t="s">
        <v>19</v>
      </c>
      <c r="E381" s="455" t="s">
        <v>600</v>
      </c>
      <c r="F381" s="168" t="s">
        <v>1558</v>
      </c>
      <c r="G381" s="150">
        <v>2573241.02</v>
      </c>
      <c r="H381" s="456">
        <v>2561655</v>
      </c>
      <c r="I381" s="441">
        <v>3154161.04</v>
      </c>
      <c r="J381" s="168">
        <v>3154162</v>
      </c>
      <c r="K381" s="168"/>
      <c r="L381" s="168">
        <v>3154162</v>
      </c>
      <c r="M381" s="139">
        <f t="shared" ref="M381:M395" si="0">G381-I381</f>
        <v>-580920.02</v>
      </c>
    </row>
    <row r="382" spans="1:13">
      <c r="A382" s="168">
        <v>20</v>
      </c>
      <c r="B382" s="168" t="s">
        <v>2782</v>
      </c>
      <c r="C382" s="168" t="s">
        <v>2783</v>
      </c>
      <c r="D382" s="455" t="s">
        <v>19</v>
      </c>
      <c r="E382" s="455" t="s">
        <v>600</v>
      </c>
      <c r="F382" s="168" t="s">
        <v>1559</v>
      </c>
      <c r="G382" s="150">
        <v>0</v>
      </c>
      <c r="H382" s="456">
        <v>0</v>
      </c>
      <c r="I382" s="168">
        <v>0</v>
      </c>
      <c r="J382" s="168">
        <v>0</v>
      </c>
      <c r="K382" s="168"/>
      <c r="L382" s="168"/>
      <c r="M382" s="139">
        <f t="shared" si="0"/>
        <v>0</v>
      </c>
    </row>
    <row r="383" spans="1:13">
      <c r="A383" s="168"/>
      <c r="B383" s="168"/>
      <c r="C383" s="168"/>
      <c r="D383" s="455"/>
      <c r="E383" s="455"/>
      <c r="F383" s="168"/>
      <c r="G383" s="150"/>
      <c r="H383" s="456"/>
      <c r="I383" s="168"/>
      <c r="J383" s="168"/>
      <c r="K383" s="168"/>
      <c r="L383" s="168"/>
      <c r="M383" s="139">
        <f t="shared" si="0"/>
        <v>0</v>
      </c>
    </row>
    <row r="384" spans="1:13" s="160" customFormat="1">
      <c r="A384" s="168"/>
      <c r="B384" s="168"/>
      <c r="C384" s="168"/>
      <c r="D384" s="455"/>
      <c r="E384" s="455"/>
      <c r="F384" s="168"/>
      <c r="G384" s="150"/>
      <c r="H384" s="456"/>
      <c r="I384" s="168"/>
      <c r="J384" s="168"/>
      <c r="K384" s="168"/>
      <c r="L384" s="168"/>
      <c r="M384" s="139">
        <f t="shared" si="0"/>
        <v>0</v>
      </c>
    </row>
    <row r="385" spans="1:13" s="160" customFormat="1">
      <c r="A385" s="168">
        <v>50</v>
      </c>
      <c r="B385" s="168" t="s">
        <v>2782</v>
      </c>
      <c r="C385" s="168" t="s">
        <v>2841</v>
      </c>
      <c r="D385" s="455" t="s">
        <v>20</v>
      </c>
      <c r="E385" s="455" t="s">
        <v>1668</v>
      </c>
      <c r="F385" s="168" t="s">
        <v>1567</v>
      </c>
      <c r="G385" s="150">
        <v>6881.66</v>
      </c>
      <c r="H385" s="456">
        <v>15000</v>
      </c>
      <c r="I385" s="160">
        <v>15341.03</v>
      </c>
      <c r="J385" s="168">
        <v>15342</v>
      </c>
      <c r="K385" s="168"/>
      <c r="L385" s="168">
        <v>15342</v>
      </c>
      <c r="M385" s="139">
        <f t="shared" si="0"/>
        <v>-8459.3700000000008</v>
      </c>
    </row>
    <row r="386" spans="1:13" s="160" customFormat="1">
      <c r="A386" s="168">
        <v>25</v>
      </c>
      <c r="B386" s="168" t="s">
        <v>2782</v>
      </c>
      <c r="C386" s="168" t="s">
        <v>2841</v>
      </c>
      <c r="D386" s="455" t="s">
        <v>20</v>
      </c>
      <c r="E386" s="455" t="s">
        <v>1668</v>
      </c>
      <c r="F386" s="168" t="s">
        <v>1562</v>
      </c>
      <c r="G386" s="150">
        <v>0</v>
      </c>
      <c r="H386" s="456">
        <v>0</v>
      </c>
      <c r="I386" s="168">
        <v>0</v>
      </c>
      <c r="J386" s="168">
        <v>0</v>
      </c>
      <c r="K386" s="168"/>
      <c r="L386" s="168">
        <v>0</v>
      </c>
      <c r="M386" s="139">
        <f t="shared" si="0"/>
        <v>0</v>
      </c>
    </row>
    <row r="387" spans="1:13" s="160" customFormat="1">
      <c r="A387" s="168">
        <v>25</v>
      </c>
      <c r="B387" s="168" t="s">
        <v>2782</v>
      </c>
      <c r="C387" s="168" t="s">
        <v>2840</v>
      </c>
      <c r="D387" s="455" t="s">
        <v>1553</v>
      </c>
      <c r="E387" s="455" t="s">
        <v>1660</v>
      </c>
      <c r="F387" s="168" t="s">
        <v>1562</v>
      </c>
      <c r="G387" s="150">
        <v>321736.34999999998</v>
      </c>
      <c r="H387" s="456">
        <v>322000</v>
      </c>
      <c r="I387" s="160">
        <v>1133570.24</v>
      </c>
      <c r="J387" s="168">
        <v>1133570</v>
      </c>
      <c r="K387" s="168"/>
      <c r="L387" s="168">
        <v>1133570</v>
      </c>
      <c r="M387" s="139">
        <f t="shared" si="0"/>
        <v>-811833.89</v>
      </c>
    </row>
    <row r="388" spans="1:13" s="160" customFormat="1">
      <c r="A388" s="168"/>
      <c r="B388" s="168"/>
      <c r="C388" s="168"/>
      <c r="D388" s="455"/>
      <c r="E388" s="455"/>
      <c r="F388" s="168"/>
      <c r="G388" s="150"/>
      <c r="H388" s="456"/>
      <c r="I388" s="169">
        <f>SUM(I385:I387)</f>
        <v>1148911.27</v>
      </c>
      <c r="J388" s="168">
        <f>SUM(J385:J387)</f>
        <v>1148912</v>
      </c>
      <c r="K388" s="168"/>
      <c r="L388" s="168"/>
      <c r="M388" s="139">
        <f t="shared" si="0"/>
        <v>-1148911.27</v>
      </c>
    </row>
    <row r="389" spans="1:13">
      <c r="A389" s="168"/>
      <c r="B389" s="168"/>
      <c r="C389" s="168"/>
      <c r="D389" s="455"/>
      <c r="E389" s="455"/>
      <c r="F389" s="168"/>
      <c r="G389" s="150"/>
      <c r="H389" s="456"/>
      <c r="I389" s="168"/>
      <c r="J389" s="168"/>
      <c r="K389" s="168"/>
      <c r="L389" s="168"/>
      <c r="M389" s="139">
        <f t="shared" si="0"/>
        <v>0</v>
      </c>
    </row>
    <row r="390" spans="1:13">
      <c r="A390" s="168">
        <v>84</v>
      </c>
      <c r="B390" s="168" t="s">
        <v>2782</v>
      </c>
      <c r="C390" s="168" t="s">
        <v>2944</v>
      </c>
      <c r="D390" s="455" t="s">
        <v>18</v>
      </c>
      <c r="E390" s="455" t="s">
        <v>344</v>
      </c>
      <c r="F390" s="168" t="s">
        <v>1244</v>
      </c>
      <c r="G390" s="150">
        <v>12752281.619999999</v>
      </c>
      <c r="H390" s="456">
        <v>12853519</v>
      </c>
      <c r="I390" s="441">
        <v>16578331.51</v>
      </c>
      <c r="J390" s="168">
        <v>16578332</v>
      </c>
      <c r="K390" s="168"/>
      <c r="L390" s="168">
        <v>16578332</v>
      </c>
      <c r="M390" s="139">
        <f t="shared" si="0"/>
        <v>-3826049.8900000006</v>
      </c>
    </row>
    <row r="391" spans="1:13">
      <c r="A391" s="168">
        <v>85</v>
      </c>
      <c r="B391" s="168" t="s">
        <v>2782</v>
      </c>
      <c r="C391" s="168" t="s">
        <v>2944</v>
      </c>
      <c r="D391" s="455" t="s">
        <v>18</v>
      </c>
      <c r="E391" s="455" t="s">
        <v>344</v>
      </c>
      <c r="F391" s="168" t="s">
        <v>1575</v>
      </c>
      <c r="G391" s="150">
        <v>0</v>
      </c>
      <c r="H391" s="456">
        <v>295250</v>
      </c>
      <c r="I391" s="168">
        <v>0</v>
      </c>
      <c r="J391" s="168">
        <v>0</v>
      </c>
      <c r="K391" s="168"/>
      <c r="L391" s="168"/>
      <c r="M391" s="139">
        <f t="shared" si="0"/>
        <v>0</v>
      </c>
    </row>
    <row r="392" spans="1:13">
      <c r="A392" s="168"/>
      <c r="B392" s="168"/>
      <c r="C392" s="168"/>
      <c r="D392" s="455"/>
      <c r="E392" s="455"/>
      <c r="F392" s="168"/>
      <c r="G392" s="150"/>
      <c r="H392" s="456"/>
      <c r="I392" s="168"/>
      <c r="J392" s="168"/>
      <c r="K392" s="168"/>
      <c r="L392" s="168"/>
      <c r="M392" s="139">
        <f t="shared" si="0"/>
        <v>0</v>
      </c>
    </row>
    <row r="393" spans="1:13">
      <c r="A393" s="168"/>
      <c r="B393" s="168"/>
      <c r="C393" s="168"/>
      <c r="D393" s="455"/>
      <c r="E393" s="455"/>
      <c r="F393" s="168"/>
      <c r="G393" s="150"/>
      <c r="H393" s="456"/>
      <c r="I393" s="168"/>
      <c r="J393" s="168"/>
      <c r="K393" s="168"/>
      <c r="L393" s="168"/>
      <c r="M393" s="139">
        <f t="shared" si="0"/>
        <v>0</v>
      </c>
    </row>
    <row r="394" spans="1:13">
      <c r="A394" s="168"/>
      <c r="B394" s="168"/>
      <c r="C394" s="168"/>
      <c r="D394" s="455"/>
      <c r="E394" s="455"/>
      <c r="F394" s="168"/>
      <c r="G394" s="150"/>
      <c r="H394" s="456"/>
      <c r="I394" s="168"/>
      <c r="J394" s="168"/>
      <c r="K394" s="168"/>
      <c r="L394" s="168"/>
      <c r="M394" s="139">
        <f t="shared" si="0"/>
        <v>0</v>
      </c>
    </row>
    <row r="395" spans="1:13">
      <c r="A395" s="168"/>
      <c r="B395" s="168"/>
      <c r="C395" s="168"/>
      <c r="D395" s="455"/>
      <c r="E395" s="455"/>
      <c r="F395" s="168"/>
      <c r="G395" s="150"/>
      <c r="H395" s="456"/>
      <c r="I395" s="168"/>
      <c r="J395" s="168"/>
      <c r="K395" s="168"/>
      <c r="L395" s="168"/>
      <c r="M395" s="139">
        <f t="shared" si="0"/>
        <v>0</v>
      </c>
    </row>
    <row r="396" spans="1:13">
      <c r="A396" s="168">
        <v>25</v>
      </c>
      <c r="B396" s="168" t="s">
        <v>2782</v>
      </c>
      <c r="C396" s="168" t="s">
        <v>2773</v>
      </c>
      <c r="D396" s="455" t="s">
        <v>1553</v>
      </c>
      <c r="E396" s="455" t="s">
        <v>592</v>
      </c>
      <c r="F396" s="168" t="s">
        <v>1562</v>
      </c>
      <c r="G396" s="150">
        <v>0</v>
      </c>
      <c r="H396" s="456">
        <v>0</v>
      </c>
      <c r="I396" s="168">
        <v>0</v>
      </c>
      <c r="J396" s="168">
        <v>0</v>
      </c>
      <c r="K396" s="168"/>
      <c r="L396" s="168">
        <v>106925</v>
      </c>
      <c r="M396" s="139">
        <f>G396-I396</f>
        <v>0</v>
      </c>
    </row>
    <row r="397" spans="1:13">
      <c r="A397" s="168">
        <v>82</v>
      </c>
      <c r="B397" s="168" t="s">
        <v>2782</v>
      </c>
      <c r="C397" s="168" t="s">
        <v>2776</v>
      </c>
      <c r="D397" s="455" t="s">
        <v>1553</v>
      </c>
      <c r="E397" s="455" t="s">
        <v>595</v>
      </c>
      <c r="F397" s="168" t="s">
        <v>1574</v>
      </c>
      <c r="G397" s="150">
        <v>0</v>
      </c>
      <c r="H397" s="456">
        <v>0</v>
      </c>
      <c r="I397" s="168">
        <v>0</v>
      </c>
      <c r="J397" s="168">
        <v>0</v>
      </c>
      <c r="K397" s="168"/>
      <c r="L397" s="168">
        <v>881241</v>
      </c>
      <c r="M397" s="139">
        <f t="shared" ref="M397:M460" si="1">G397-I397</f>
        <v>0</v>
      </c>
    </row>
    <row r="398" spans="1:13">
      <c r="A398" s="168">
        <v>82</v>
      </c>
      <c r="B398" s="168" t="s">
        <v>2782</v>
      </c>
      <c r="C398" s="168" t="s">
        <v>2852</v>
      </c>
      <c r="D398" s="455" t="s">
        <v>1553</v>
      </c>
      <c r="E398" s="455" t="s">
        <v>545</v>
      </c>
      <c r="F398" s="168" t="s">
        <v>1574</v>
      </c>
      <c r="G398" s="150">
        <v>0</v>
      </c>
      <c r="H398" s="456">
        <v>0</v>
      </c>
      <c r="I398" s="168">
        <v>0</v>
      </c>
      <c r="J398" s="168">
        <v>0</v>
      </c>
      <c r="K398" s="168"/>
      <c r="L398" s="168">
        <v>0</v>
      </c>
      <c r="M398" s="139">
        <f t="shared" si="1"/>
        <v>0</v>
      </c>
    </row>
    <row r="399" spans="1:13">
      <c r="A399" s="168">
        <v>10</v>
      </c>
      <c r="B399" s="168" t="s">
        <v>2782</v>
      </c>
      <c r="C399" s="168" t="s">
        <v>2784</v>
      </c>
      <c r="D399" s="455" t="s">
        <v>1553</v>
      </c>
      <c r="E399" s="455" t="s">
        <v>602</v>
      </c>
      <c r="F399" s="168" t="s">
        <v>1558</v>
      </c>
      <c r="G399" s="150">
        <v>48268.95</v>
      </c>
      <c r="H399" s="456">
        <v>48500</v>
      </c>
      <c r="I399" s="160">
        <v>106925</v>
      </c>
      <c r="J399" s="168">
        <v>106925</v>
      </c>
      <c r="K399" s="168"/>
      <c r="L399" s="168">
        <v>0</v>
      </c>
      <c r="M399" s="139">
        <f t="shared" si="1"/>
        <v>-58656.05</v>
      </c>
    </row>
    <row r="400" spans="1:13">
      <c r="A400" s="168">
        <v>10</v>
      </c>
      <c r="B400" s="168" t="s">
        <v>2782</v>
      </c>
      <c r="C400" s="168" t="s">
        <v>2785</v>
      </c>
      <c r="D400" s="455" t="s">
        <v>1553</v>
      </c>
      <c r="E400" s="455" t="s">
        <v>605</v>
      </c>
      <c r="F400" s="168" t="s">
        <v>1558</v>
      </c>
      <c r="G400" s="150">
        <v>253478.28</v>
      </c>
      <c r="H400" s="456">
        <v>295000</v>
      </c>
      <c r="I400" s="160">
        <v>881241.94</v>
      </c>
      <c r="J400" s="168">
        <v>881241</v>
      </c>
      <c r="K400" s="168"/>
      <c r="L400" s="168">
        <v>136907</v>
      </c>
      <c r="M400" s="139">
        <f t="shared" si="1"/>
        <v>-627763.65999999992</v>
      </c>
    </row>
    <row r="401" spans="1:13">
      <c r="A401" s="168">
        <v>10</v>
      </c>
      <c r="B401" s="168" t="s">
        <v>2782</v>
      </c>
      <c r="C401" s="168" t="s">
        <v>2786</v>
      </c>
      <c r="D401" s="455" t="s">
        <v>1553</v>
      </c>
      <c r="E401" s="455" t="s">
        <v>605</v>
      </c>
      <c r="F401" s="168" t="s">
        <v>1558</v>
      </c>
      <c r="G401" s="150">
        <v>91120</v>
      </c>
      <c r="H401" s="456">
        <v>91500</v>
      </c>
      <c r="I401" s="160">
        <v>0</v>
      </c>
      <c r="J401" s="168">
        <v>0</v>
      </c>
      <c r="K401" s="168"/>
      <c r="L401" s="168">
        <v>242112</v>
      </c>
      <c r="M401" s="139">
        <f t="shared" si="1"/>
        <v>91120</v>
      </c>
    </row>
    <row r="402" spans="1:13">
      <c r="A402" s="168">
        <v>10</v>
      </c>
      <c r="B402" s="168" t="s">
        <v>2782</v>
      </c>
      <c r="C402" s="168" t="s">
        <v>2787</v>
      </c>
      <c r="D402" s="455" t="s">
        <v>1553</v>
      </c>
      <c r="E402" s="455" t="s">
        <v>608</v>
      </c>
      <c r="F402" s="168" t="s">
        <v>1558</v>
      </c>
      <c r="G402" s="150">
        <v>0</v>
      </c>
      <c r="H402" s="456">
        <v>49000</v>
      </c>
      <c r="I402" s="160">
        <v>0</v>
      </c>
      <c r="J402" s="168">
        <v>0</v>
      </c>
      <c r="K402" s="168"/>
      <c r="L402" s="168">
        <v>275508</v>
      </c>
      <c r="M402" s="139">
        <f t="shared" si="1"/>
        <v>0</v>
      </c>
    </row>
    <row r="403" spans="1:13">
      <c r="A403" s="168">
        <v>10</v>
      </c>
      <c r="B403" s="168" t="s">
        <v>2782</v>
      </c>
      <c r="C403" s="168" t="s">
        <v>2788</v>
      </c>
      <c r="D403" s="455" t="s">
        <v>1553</v>
      </c>
      <c r="E403" s="455" t="s">
        <v>610</v>
      </c>
      <c r="F403" s="168" t="s">
        <v>1558</v>
      </c>
      <c r="G403" s="150">
        <v>102711.28</v>
      </c>
      <c r="H403" s="456">
        <v>103000</v>
      </c>
      <c r="I403" s="452">
        <v>136907.60999999999</v>
      </c>
      <c r="J403" s="168">
        <v>136907</v>
      </c>
      <c r="K403" s="168"/>
      <c r="L403" s="168">
        <v>0</v>
      </c>
      <c r="M403" s="139">
        <f t="shared" si="1"/>
        <v>-34196.329999999987</v>
      </c>
    </row>
    <row r="404" spans="1:13">
      <c r="A404" s="168">
        <v>25</v>
      </c>
      <c r="B404" s="168" t="s">
        <v>2782</v>
      </c>
      <c r="C404" s="168" t="s">
        <v>2788</v>
      </c>
      <c r="D404" s="455" t="s">
        <v>1553</v>
      </c>
      <c r="E404" s="455" t="s">
        <v>610</v>
      </c>
      <c r="F404" s="168" t="s">
        <v>1562</v>
      </c>
      <c r="G404" s="150">
        <v>20641.55</v>
      </c>
      <c r="H404" s="456">
        <v>21000</v>
      </c>
      <c r="I404" s="452">
        <v>2576.9699999999998</v>
      </c>
      <c r="J404" s="168">
        <v>2577</v>
      </c>
      <c r="K404" s="168"/>
      <c r="L404" s="168">
        <v>8078</v>
      </c>
      <c r="M404" s="139">
        <f t="shared" si="1"/>
        <v>18064.579999999998</v>
      </c>
    </row>
    <row r="405" spans="1:13">
      <c r="A405" s="168">
        <v>27</v>
      </c>
      <c r="B405" s="168" t="s">
        <v>2782</v>
      </c>
      <c r="C405" s="168" t="s">
        <v>2788</v>
      </c>
      <c r="D405" s="455" t="s">
        <v>1553</v>
      </c>
      <c r="E405" s="455" t="s">
        <v>610</v>
      </c>
      <c r="F405" s="168" t="s">
        <v>1563</v>
      </c>
      <c r="G405" s="150">
        <v>42728.07</v>
      </c>
      <c r="H405" s="456">
        <v>42900</v>
      </c>
      <c r="I405" s="452">
        <v>23141.360000000001</v>
      </c>
      <c r="J405" s="168">
        <v>23141</v>
      </c>
      <c r="K405" s="168"/>
      <c r="L405" s="168">
        <v>147233</v>
      </c>
      <c r="M405" s="139">
        <f t="shared" si="1"/>
        <v>19586.71</v>
      </c>
    </row>
    <row r="406" spans="1:13">
      <c r="A406" s="168">
        <v>87</v>
      </c>
      <c r="B406" s="168" t="s">
        <v>2782</v>
      </c>
      <c r="C406" s="168" t="s">
        <v>2788</v>
      </c>
      <c r="D406" s="455" t="s">
        <v>1553</v>
      </c>
      <c r="E406" s="455" t="s">
        <v>610</v>
      </c>
      <c r="F406" s="168" t="s">
        <v>458</v>
      </c>
      <c r="G406" s="150">
        <v>0</v>
      </c>
      <c r="H406" s="456">
        <v>0</v>
      </c>
      <c r="I406" s="462">
        <v>0</v>
      </c>
      <c r="J406" s="168">
        <v>0</v>
      </c>
      <c r="K406" s="168"/>
      <c r="L406" s="168">
        <v>543020</v>
      </c>
      <c r="M406" s="139">
        <f t="shared" si="1"/>
        <v>0</v>
      </c>
    </row>
    <row r="407" spans="1:13">
      <c r="A407" s="168">
        <v>88</v>
      </c>
      <c r="B407" s="168" t="s">
        <v>2782</v>
      </c>
      <c r="C407" s="168" t="s">
        <v>2788</v>
      </c>
      <c r="D407" s="455" t="s">
        <v>1553</v>
      </c>
      <c r="E407" s="455" t="s">
        <v>610</v>
      </c>
      <c r="F407" s="168" t="s">
        <v>461</v>
      </c>
      <c r="G407" s="150">
        <v>2364.2800000000002</v>
      </c>
      <c r="H407" s="456">
        <v>2500</v>
      </c>
      <c r="I407" s="462">
        <v>0</v>
      </c>
      <c r="J407" s="168">
        <v>0</v>
      </c>
      <c r="K407" s="168"/>
      <c r="L407" s="168">
        <v>139392</v>
      </c>
      <c r="M407" s="139">
        <f t="shared" si="1"/>
        <v>2364.2800000000002</v>
      </c>
    </row>
    <row r="408" spans="1:13">
      <c r="A408" s="168">
        <v>30</v>
      </c>
      <c r="B408" s="168" t="s">
        <v>2782</v>
      </c>
      <c r="C408" s="168" t="s">
        <v>2843</v>
      </c>
      <c r="D408" s="455" t="s">
        <v>1553</v>
      </c>
      <c r="E408" s="455" t="s">
        <v>610</v>
      </c>
      <c r="F408" s="168" t="s">
        <v>1564</v>
      </c>
      <c r="G408" s="150">
        <v>53384.29</v>
      </c>
      <c r="H408" s="456">
        <v>54000</v>
      </c>
      <c r="I408" s="452">
        <v>27457.06</v>
      </c>
      <c r="J408" s="168">
        <v>27457</v>
      </c>
      <c r="K408" s="168"/>
      <c r="L408" s="168">
        <v>540</v>
      </c>
      <c r="M408" s="139">
        <f t="shared" si="1"/>
        <v>25927.23</v>
      </c>
    </row>
    <row r="409" spans="1:13">
      <c r="A409" s="168">
        <v>50</v>
      </c>
      <c r="B409" s="168" t="s">
        <v>2782</v>
      </c>
      <c r="C409" s="168" t="s">
        <v>2861</v>
      </c>
      <c r="D409" s="455" t="s">
        <v>1553</v>
      </c>
      <c r="E409" s="455" t="s">
        <v>242</v>
      </c>
      <c r="F409" s="168" t="s">
        <v>1567</v>
      </c>
      <c r="G409" s="150">
        <v>0</v>
      </c>
      <c r="H409" s="456">
        <v>0</v>
      </c>
      <c r="I409" s="598">
        <v>761353.2</v>
      </c>
      <c r="J409" s="168">
        <v>761353</v>
      </c>
      <c r="K409" s="168"/>
      <c r="L409" s="168">
        <v>4059</v>
      </c>
      <c r="M409" s="139">
        <f t="shared" si="1"/>
        <v>-761353.2</v>
      </c>
    </row>
    <row r="410" spans="1:13">
      <c r="A410" s="168">
        <v>50</v>
      </c>
      <c r="B410" s="168" t="s">
        <v>2782</v>
      </c>
      <c r="C410" s="168" t="s">
        <v>2862</v>
      </c>
      <c r="D410" s="455" t="s">
        <v>1553</v>
      </c>
      <c r="E410" s="455" t="s">
        <v>597</v>
      </c>
      <c r="F410" s="168" t="s">
        <v>1567</v>
      </c>
      <c r="G410" s="150">
        <v>870002.64</v>
      </c>
      <c r="H410" s="456">
        <v>908000</v>
      </c>
      <c r="I410" s="598">
        <v>630719.16</v>
      </c>
      <c r="J410" s="168">
        <v>630720</v>
      </c>
      <c r="K410" s="168"/>
      <c r="L410" s="168">
        <v>130345</v>
      </c>
      <c r="M410" s="139">
        <f t="shared" si="1"/>
        <v>239283.47999999998</v>
      </c>
    </row>
    <row r="411" spans="1:13">
      <c r="A411" s="168">
        <v>50</v>
      </c>
      <c r="B411" s="168" t="s">
        <v>2782</v>
      </c>
      <c r="C411" s="168" t="s">
        <v>2863</v>
      </c>
      <c r="D411" s="455" t="s">
        <v>1553</v>
      </c>
      <c r="E411" s="455" t="s">
        <v>2450</v>
      </c>
      <c r="F411" s="168" t="s">
        <v>1567</v>
      </c>
      <c r="G411" s="150">
        <v>445744.32</v>
      </c>
      <c r="H411" s="456">
        <v>320000</v>
      </c>
      <c r="I411" s="160">
        <v>235827.09</v>
      </c>
      <c r="J411" s="168">
        <v>235827</v>
      </c>
      <c r="K411" s="168"/>
      <c r="L411" s="168">
        <v>0</v>
      </c>
      <c r="M411" s="139">
        <f t="shared" si="1"/>
        <v>209917.23</v>
      </c>
    </row>
    <row r="412" spans="1:13">
      <c r="A412" s="168">
        <v>10</v>
      </c>
      <c r="B412" s="168" t="s">
        <v>2782</v>
      </c>
      <c r="C412" s="168" t="s">
        <v>2789</v>
      </c>
      <c r="D412" s="455" t="s">
        <v>1553</v>
      </c>
      <c r="E412" s="455" t="s">
        <v>612</v>
      </c>
      <c r="F412" s="168" t="s">
        <v>1558</v>
      </c>
      <c r="G412" s="150">
        <v>98868.89</v>
      </c>
      <c r="H412" s="456">
        <v>95000</v>
      </c>
      <c r="I412" s="623">
        <v>242112.52</v>
      </c>
      <c r="J412" s="168">
        <v>242112</v>
      </c>
      <c r="K412" s="168"/>
      <c r="L412" s="168">
        <v>3495</v>
      </c>
      <c r="M412" s="139">
        <f t="shared" si="1"/>
        <v>-143243.63</v>
      </c>
    </row>
    <row r="413" spans="1:13">
      <c r="A413" s="168">
        <v>20</v>
      </c>
      <c r="B413" s="168" t="s">
        <v>2782</v>
      </c>
      <c r="C413" s="168" t="s">
        <v>2789</v>
      </c>
      <c r="D413" s="455" t="s">
        <v>1553</v>
      </c>
      <c r="E413" s="455" t="s">
        <v>612</v>
      </c>
      <c r="F413" s="168" t="s">
        <v>1559</v>
      </c>
      <c r="G413" s="150">
        <v>33094.33</v>
      </c>
      <c r="H413" s="456">
        <v>34000</v>
      </c>
      <c r="I413" s="623">
        <v>79130.95</v>
      </c>
      <c r="J413" s="168">
        <v>79131</v>
      </c>
      <c r="K413" s="168"/>
      <c r="L413" s="168">
        <v>106541</v>
      </c>
      <c r="M413" s="139">
        <f t="shared" si="1"/>
        <v>-46036.619999999995</v>
      </c>
    </row>
    <row r="414" spans="1:13">
      <c r="A414" s="168">
        <v>21</v>
      </c>
      <c r="B414" s="168" t="s">
        <v>2782</v>
      </c>
      <c r="C414" s="168" t="s">
        <v>2789</v>
      </c>
      <c r="D414" s="455" t="s">
        <v>1553</v>
      </c>
      <c r="E414" s="455" t="s">
        <v>612</v>
      </c>
      <c r="F414" s="168" t="s">
        <v>1560</v>
      </c>
      <c r="G414" s="150">
        <v>0</v>
      </c>
      <c r="H414" s="456">
        <v>0</v>
      </c>
      <c r="I414" s="624">
        <v>0</v>
      </c>
      <c r="J414" s="168">
        <v>0</v>
      </c>
      <c r="K414" s="168"/>
      <c r="L414" s="168">
        <v>16000</v>
      </c>
      <c r="M414" s="139">
        <f t="shared" si="1"/>
        <v>0</v>
      </c>
    </row>
    <row r="415" spans="1:13">
      <c r="A415" s="168">
        <v>22</v>
      </c>
      <c r="B415" s="168" t="s">
        <v>2782</v>
      </c>
      <c r="C415" s="168" t="s">
        <v>2789</v>
      </c>
      <c r="D415" s="455" t="s">
        <v>1553</v>
      </c>
      <c r="E415" s="455" t="s">
        <v>612</v>
      </c>
      <c r="F415" s="168" t="s">
        <v>1561</v>
      </c>
      <c r="G415" s="150">
        <v>0</v>
      </c>
      <c r="H415" s="456">
        <v>7000</v>
      </c>
      <c r="I415" s="624">
        <v>0</v>
      </c>
      <c r="J415" s="168">
        <v>0</v>
      </c>
      <c r="K415" s="168"/>
      <c r="L415" s="168">
        <v>1342305</v>
      </c>
      <c r="M415" s="139">
        <f t="shared" si="1"/>
        <v>0</v>
      </c>
    </row>
    <row r="416" spans="1:13">
      <c r="A416" s="168">
        <v>25</v>
      </c>
      <c r="B416" s="168" t="s">
        <v>2782</v>
      </c>
      <c r="C416" s="168" t="s">
        <v>2789</v>
      </c>
      <c r="D416" s="455" t="s">
        <v>1553</v>
      </c>
      <c r="E416" s="455" t="s">
        <v>612</v>
      </c>
      <c r="F416" s="168" t="s">
        <v>1562</v>
      </c>
      <c r="G416" s="150">
        <v>13114.75</v>
      </c>
      <c r="H416" s="456">
        <v>13450</v>
      </c>
      <c r="I416" s="623">
        <v>7196.26</v>
      </c>
      <c r="J416" s="168">
        <v>7196</v>
      </c>
      <c r="K416" s="168"/>
      <c r="L416" s="168">
        <v>791716</v>
      </c>
      <c r="M416" s="139">
        <f t="shared" si="1"/>
        <v>5918.49</v>
      </c>
    </row>
    <row r="417" spans="1:13">
      <c r="A417" s="168">
        <v>27</v>
      </c>
      <c r="B417" s="168" t="s">
        <v>2782</v>
      </c>
      <c r="C417" s="168" t="s">
        <v>2789</v>
      </c>
      <c r="D417" s="455" t="s">
        <v>1553</v>
      </c>
      <c r="E417" s="455" t="s">
        <v>612</v>
      </c>
      <c r="F417" s="168" t="s">
        <v>1563</v>
      </c>
      <c r="G417" s="150">
        <v>19059.740000000002</v>
      </c>
      <c r="H417" s="456">
        <v>19700</v>
      </c>
      <c r="I417" s="623">
        <v>13501.34</v>
      </c>
      <c r="J417" s="168">
        <v>13501</v>
      </c>
      <c r="K417" s="168"/>
      <c r="L417" s="168">
        <v>1056770</v>
      </c>
      <c r="M417" s="139">
        <f t="shared" si="1"/>
        <v>5558.4000000000015</v>
      </c>
    </row>
    <row r="418" spans="1:13">
      <c r="A418" s="168">
        <v>30</v>
      </c>
      <c r="B418" s="168" t="s">
        <v>2782</v>
      </c>
      <c r="C418" s="168" t="s">
        <v>2789</v>
      </c>
      <c r="D418" s="455" t="s">
        <v>1553</v>
      </c>
      <c r="E418" s="455" t="s">
        <v>612</v>
      </c>
      <c r="F418" s="168" t="s">
        <v>1564</v>
      </c>
      <c r="G418" s="150">
        <v>0</v>
      </c>
      <c r="H418" s="456">
        <v>1500</v>
      </c>
      <c r="I418" s="623">
        <v>15600</v>
      </c>
      <c r="J418" s="168">
        <v>15600</v>
      </c>
      <c r="K418" s="168"/>
      <c r="L418" s="168">
        <v>400712</v>
      </c>
      <c r="M418" s="139">
        <f t="shared" si="1"/>
        <v>-15600</v>
      </c>
    </row>
    <row r="419" spans="1:13" s="158" customFormat="1">
      <c r="A419" s="168">
        <v>31</v>
      </c>
      <c r="B419" s="168" t="s">
        <v>2782</v>
      </c>
      <c r="C419" s="168" t="s">
        <v>2789</v>
      </c>
      <c r="D419" s="455" t="s">
        <v>1553</v>
      </c>
      <c r="E419" s="455" t="s">
        <v>612</v>
      </c>
      <c r="F419" s="168" t="s">
        <v>1565</v>
      </c>
      <c r="G419" s="150">
        <v>0</v>
      </c>
      <c r="H419" s="456">
        <v>0</v>
      </c>
      <c r="I419" s="624">
        <v>0</v>
      </c>
      <c r="J419" s="168">
        <v>0</v>
      </c>
      <c r="K419" s="462"/>
      <c r="L419" s="462">
        <v>101996</v>
      </c>
      <c r="M419" s="139">
        <f t="shared" si="1"/>
        <v>0</v>
      </c>
    </row>
    <row r="420" spans="1:13">
      <c r="A420" s="168">
        <v>32</v>
      </c>
      <c r="B420" s="168" t="s">
        <v>2782</v>
      </c>
      <c r="C420" s="168" t="s">
        <v>2789</v>
      </c>
      <c r="D420" s="455" t="s">
        <v>1553</v>
      </c>
      <c r="E420" s="455" t="s">
        <v>612</v>
      </c>
      <c r="F420" s="168" t="s">
        <v>1566</v>
      </c>
      <c r="G420" s="150">
        <v>18</v>
      </c>
      <c r="H420" s="456">
        <v>5000</v>
      </c>
      <c r="I420" s="623">
        <v>394.28</v>
      </c>
      <c r="J420" s="168">
        <v>395</v>
      </c>
      <c r="K420" s="168"/>
      <c r="L420" s="168"/>
      <c r="M420" s="139">
        <f t="shared" si="1"/>
        <v>-376.28</v>
      </c>
    </row>
    <row r="421" spans="1:13">
      <c r="A421" s="168">
        <v>50</v>
      </c>
      <c r="B421" s="168" t="s">
        <v>2782</v>
      </c>
      <c r="C421" s="168" t="s">
        <v>2789</v>
      </c>
      <c r="D421" s="455" t="s">
        <v>1553</v>
      </c>
      <c r="E421" s="455" t="s">
        <v>612</v>
      </c>
      <c r="F421" s="168" t="s">
        <v>1567</v>
      </c>
      <c r="G421" s="150">
        <v>92573.11</v>
      </c>
      <c r="H421" s="456">
        <v>93200</v>
      </c>
      <c r="I421" s="623">
        <v>36703.61</v>
      </c>
      <c r="J421" s="168">
        <v>36703</v>
      </c>
      <c r="K421" s="168"/>
      <c r="L421" s="168">
        <v>225453</v>
      </c>
      <c r="M421" s="139">
        <f t="shared" si="1"/>
        <v>55869.5</v>
      </c>
    </row>
    <row r="422" spans="1:13">
      <c r="A422" s="168">
        <v>52</v>
      </c>
      <c r="B422" s="168" t="s">
        <v>2782</v>
      </c>
      <c r="C422" s="168" t="s">
        <v>2789</v>
      </c>
      <c r="D422" s="455" t="s">
        <v>1553</v>
      </c>
      <c r="E422" s="455" t="s">
        <v>612</v>
      </c>
      <c r="F422" s="168" t="s">
        <v>1568</v>
      </c>
      <c r="G422" s="150">
        <v>250</v>
      </c>
      <c r="H422" s="456">
        <v>250</v>
      </c>
      <c r="I422" s="623">
        <v>280384.13</v>
      </c>
      <c r="J422" s="168">
        <v>280384</v>
      </c>
      <c r="K422" s="168"/>
      <c r="L422" s="168">
        <v>85930</v>
      </c>
      <c r="M422" s="139">
        <f t="shared" si="1"/>
        <v>-280134.13</v>
      </c>
    </row>
    <row r="423" spans="1:13">
      <c r="A423" s="168">
        <v>63</v>
      </c>
      <c r="B423" s="168" t="s">
        <v>2782</v>
      </c>
      <c r="C423" s="168" t="s">
        <v>2789</v>
      </c>
      <c r="D423" s="455" t="s">
        <v>1553</v>
      </c>
      <c r="E423" s="455" t="s">
        <v>612</v>
      </c>
      <c r="F423" s="168" t="s">
        <v>1229</v>
      </c>
      <c r="G423" s="150">
        <v>0</v>
      </c>
      <c r="H423" s="456">
        <v>0</v>
      </c>
      <c r="I423" s="623">
        <v>1099.3</v>
      </c>
      <c r="J423" s="168">
        <v>1100</v>
      </c>
      <c r="K423" s="168"/>
      <c r="L423" s="168">
        <v>0</v>
      </c>
      <c r="M423" s="139">
        <f t="shared" si="1"/>
        <v>-1099.3</v>
      </c>
    </row>
    <row r="424" spans="1:13">
      <c r="A424" s="168">
        <v>80</v>
      </c>
      <c r="B424" s="168" t="s">
        <v>2782</v>
      </c>
      <c r="C424" s="168" t="s">
        <v>2789</v>
      </c>
      <c r="D424" s="455" t="s">
        <v>1553</v>
      </c>
      <c r="E424" s="455" t="s">
        <v>612</v>
      </c>
      <c r="F424" s="168" t="s">
        <v>1572</v>
      </c>
      <c r="G424" s="150">
        <v>11228.28</v>
      </c>
      <c r="H424" s="456">
        <v>11500</v>
      </c>
      <c r="I424" s="623">
        <v>335662.86</v>
      </c>
      <c r="J424" s="168">
        <v>335662</v>
      </c>
      <c r="K424" s="168"/>
      <c r="L424" s="168">
        <v>0</v>
      </c>
      <c r="M424" s="139">
        <f t="shared" si="1"/>
        <v>-324434.57999999996</v>
      </c>
    </row>
    <row r="425" spans="1:13">
      <c r="A425" s="168">
        <v>84</v>
      </c>
      <c r="B425" s="168" t="s">
        <v>2782</v>
      </c>
      <c r="C425" s="168" t="s">
        <v>2789</v>
      </c>
      <c r="D425" s="455" t="s">
        <v>1553</v>
      </c>
      <c r="E425" s="455" t="s">
        <v>612</v>
      </c>
      <c r="F425" s="168" t="s">
        <v>1244</v>
      </c>
      <c r="G425" s="150">
        <v>0</v>
      </c>
      <c r="H425" s="456">
        <v>0</v>
      </c>
      <c r="I425" s="624">
        <v>0</v>
      </c>
      <c r="J425" s="168">
        <v>0</v>
      </c>
      <c r="K425" s="168"/>
      <c r="L425" s="168">
        <v>315540</v>
      </c>
      <c r="M425" s="139">
        <f t="shared" si="1"/>
        <v>0</v>
      </c>
    </row>
    <row r="426" spans="1:13">
      <c r="A426" s="168">
        <v>90</v>
      </c>
      <c r="B426" s="168" t="s">
        <v>2782</v>
      </c>
      <c r="C426" s="168" t="s">
        <v>2789</v>
      </c>
      <c r="D426" s="455" t="s">
        <v>1553</v>
      </c>
      <c r="E426" s="455" t="s">
        <v>612</v>
      </c>
      <c r="F426" s="168" t="s">
        <v>1240</v>
      </c>
      <c r="G426" s="150">
        <v>0</v>
      </c>
      <c r="H426" s="456">
        <v>0</v>
      </c>
      <c r="I426" s="623">
        <v>411.43</v>
      </c>
      <c r="J426" s="168">
        <v>411</v>
      </c>
      <c r="K426" s="168"/>
      <c r="L426" s="168">
        <v>19174</v>
      </c>
      <c r="M426" s="139">
        <f t="shared" si="1"/>
        <v>-411.43</v>
      </c>
    </row>
    <row r="427" spans="1:13">
      <c r="A427" s="168">
        <v>91</v>
      </c>
      <c r="B427" s="168" t="s">
        <v>2782</v>
      </c>
      <c r="C427" s="168" t="s">
        <v>2789</v>
      </c>
      <c r="D427" s="455" t="s">
        <v>1553</v>
      </c>
      <c r="E427" s="455" t="s">
        <v>612</v>
      </c>
      <c r="F427" s="168" t="s">
        <v>1577</v>
      </c>
      <c r="G427" s="150">
        <v>0</v>
      </c>
      <c r="H427" s="456">
        <v>0</v>
      </c>
      <c r="I427" s="623">
        <v>16000</v>
      </c>
      <c r="J427" s="168">
        <v>16000</v>
      </c>
      <c r="K427" s="168"/>
      <c r="L427" s="168">
        <v>0</v>
      </c>
      <c r="M427" s="139">
        <f t="shared" si="1"/>
        <v>-16000</v>
      </c>
    </row>
    <row r="428" spans="1:13">
      <c r="A428" s="168">
        <v>92</v>
      </c>
      <c r="B428" s="168" t="s">
        <v>2782</v>
      </c>
      <c r="C428" s="168" t="s">
        <v>2789</v>
      </c>
      <c r="D428" s="455" t="s">
        <v>1553</v>
      </c>
      <c r="E428" s="455" t="s">
        <v>612</v>
      </c>
      <c r="F428" s="168" t="s">
        <v>1578</v>
      </c>
      <c r="G428" s="150">
        <v>0</v>
      </c>
      <c r="H428" s="456">
        <v>0</v>
      </c>
      <c r="I428" s="623">
        <v>0</v>
      </c>
      <c r="J428" s="168">
        <v>0</v>
      </c>
      <c r="K428" s="168"/>
      <c r="L428" s="168">
        <v>308212</v>
      </c>
      <c r="M428" s="139">
        <f t="shared" si="1"/>
        <v>0</v>
      </c>
    </row>
    <row r="429" spans="1:13">
      <c r="A429" s="168">
        <v>100</v>
      </c>
      <c r="B429" s="168" t="s">
        <v>2782</v>
      </c>
      <c r="C429" s="168" t="s">
        <v>2789</v>
      </c>
      <c r="D429" s="455" t="s">
        <v>1553</v>
      </c>
      <c r="E429" s="455" t="s">
        <v>612</v>
      </c>
      <c r="F429" s="168" t="s">
        <v>1579</v>
      </c>
      <c r="G429" s="150">
        <v>132.15</v>
      </c>
      <c r="H429" s="456">
        <v>200</v>
      </c>
      <c r="I429" s="623">
        <v>2430.0500000000002</v>
      </c>
      <c r="J429" s="168">
        <v>2430</v>
      </c>
      <c r="K429" s="168"/>
      <c r="L429" s="168">
        <v>426838</v>
      </c>
      <c r="M429" s="139">
        <f t="shared" si="1"/>
        <v>-2297.9</v>
      </c>
    </row>
    <row r="430" spans="1:13">
      <c r="A430" s="168">
        <v>10</v>
      </c>
      <c r="B430" s="168" t="s">
        <v>2782</v>
      </c>
      <c r="C430" s="168" t="s">
        <v>2790</v>
      </c>
      <c r="D430" s="455" t="s">
        <v>1553</v>
      </c>
      <c r="E430" s="455" t="s">
        <v>2691</v>
      </c>
      <c r="F430" s="168" t="s">
        <v>1558</v>
      </c>
      <c r="G430" s="150"/>
      <c r="H430" s="456"/>
      <c r="I430" s="623">
        <v>275508.96000000002</v>
      </c>
      <c r="J430" s="168">
        <v>275508</v>
      </c>
      <c r="K430" s="168"/>
      <c r="L430" s="168">
        <v>2662830</v>
      </c>
      <c r="M430" s="139">
        <f t="shared" si="1"/>
        <v>-275508.96000000002</v>
      </c>
    </row>
    <row r="431" spans="1:13">
      <c r="A431" s="168">
        <v>10</v>
      </c>
      <c r="B431" s="168" t="s">
        <v>2782</v>
      </c>
      <c r="C431" s="168" t="s">
        <v>2791</v>
      </c>
      <c r="D431" s="455" t="s">
        <v>1553</v>
      </c>
      <c r="E431" s="455" t="s">
        <v>614</v>
      </c>
      <c r="F431" s="168" t="s">
        <v>1558</v>
      </c>
      <c r="G431" s="150">
        <v>602742.75</v>
      </c>
      <c r="H431" s="456">
        <v>603000</v>
      </c>
      <c r="I431" s="623">
        <v>0</v>
      </c>
      <c r="J431" s="168">
        <v>0</v>
      </c>
      <c r="M431" s="139">
        <f t="shared" si="1"/>
        <v>602742.75</v>
      </c>
    </row>
    <row r="432" spans="1:13">
      <c r="A432" s="168">
        <v>20</v>
      </c>
      <c r="B432" s="168" t="s">
        <v>2782</v>
      </c>
      <c r="C432" s="168" t="s">
        <v>2791</v>
      </c>
      <c r="D432" s="455" t="s">
        <v>1553</v>
      </c>
      <c r="E432" s="455" t="s">
        <v>99</v>
      </c>
      <c r="F432" s="168" t="s">
        <v>1559</v>
      </c>
      <c r="G432" s="150">
        <v>743219.42</v>
      </c>
      <c r="H432" s="456">
        <v>744000</v>
      </c>
      <c r="I432" s="623">
        <v>1446129.17</v>
      </c>
      <c r="J432" s="168">
        <v>1446130</v>
      </c>
      <c r="K432" s="168"/>
      <c r="L432" s="168">
        <v>79131</v>
      </c>
      <c r="M432" s="139">
        <f t="shared" si="1"/>
        <v>-702909.74999999988</v>
      </c>
    </row>
    <row r="433" spans="1:13">
      <c r="A433" s="168">
        <v>21</v>
      </c>
      <c r="B433" s="168" t="s">
        <v>2782</v>
      </c>
      <c r="C433" s="168" t="s">
        <v>2791</v>
      </c>
      <c r="D433" s="455" t="s">
        <v>1553</v>
      </c>
      <c r="E433" s="455" t="s">
        <v>99</v>
      </c>
      <c r="F433" s="168" t="s">
        <v>1560</v>
      </c>
      <c r="G433" s="150">
        <v>0</v>
      </c>
      <c r="H433" s="456">
        <v>0</v>
      </c>
      <c r="I433" s="624">
        <v>0</v>
      </c>
      <c r="J433" s="168">
        <v>0</v>
      </c>
      <c r="K433" s="168"/>
      <c r="L433" s="168">
        <v>1446130</v>
      </c>
      <c r="M433" s="139">
        <f t="shared" si="1"/>
        <v>0</v>
      </c>
    </row>
    <row r="434" spans="1:13">
      <c r="A434" s="168">
        <v>22</v>
      </c>
      <c r="B434" s="168" t="s">
        <v>2782</v>
      </c>
      <c r="C434" s="168" t="s">
        <v>2791</v>
      </c>
      <c r="D434" s="455" t="s">
        <v>1553</v>
      </c>
      <c r="E434" s="455" t="s">
        <v>99</v>
      </c>
      <c r="F434" s="168" t="s">
        <v>1561</v>
      </c>
      <c r="G434" s="150">
        <v>0</v>
      </c>
      <c r="H434" s="456">
        <v>0</v>
      </c>
      <c r="I434" s="624">
        <v>0</v>
      </c>
      <c r="J434" s="168">
        <v>0</v>
      </c>
      <c r="K434" s="168"/>
      <c r="L434" s="168">
        <v>0</v>
      </c>
      <c r="M434" s="139">
        <f t="shared" si="1"/>
        <v>0</v>
      </c>
    </row>
    <row r="435" spans="1:13">
      <c r="A435" s="168">
        <v>25</v>
      </c>
      <c r="B435" s="168" t="s">
        <v>2782</v>
      </c>
      <c r="C435" s="168" t="s">
        <v>2791</v>
      </c>
      <c r="D435" s="455" t="s">
        <v>1553</v>
      </c>
      <c r="E435" s="455" t="s">
        <v>99</v>
      </c>
      <c r="F435" s="168" t="s">
        <v>1562</v>
      </c>
      <c r="G435" s="150">
        <v>564550.34</v>
      </c>
      <c r="H435" s="456">
        <v>565000</v>
      </c>
      <c r="I435" s="623">
        <v>705088.72</v>
      </c>
      <c r="J435" s="168">
        <v>705088</v>
      </c>
      <c r="K435" s="168"/>
      <c r="L435" s="168">
        <v>44191</v>
      </c>
      <c r="M435" s="139">
        <f t="shared" si="1"/>
        <v>-140538.38</v>
      </c>
    </row>
    <row r="436" spans="1:13">
      <c r="A436" s="168">
        <v>27</v>
      </c>
      <c r="B436" s="168" t="s">
        <v>2782</v>
      </c>
      <c r="C436" s="168" t="s">
        <v>2791</v>
      </c>
      <c r="D436" s="455" t="s">
        <v>1553</v>
      </c>
      <c r="E436" s="455" t="s">
        <v>99</v>
      </c>
      <c r="F436" s="168" t="s">
        <v>1563</v>
      </c>
      <c r="G436" s="150">
        <v>3318.99</v>
      </c>
      <c r="H436" s="456">
        <v>3700</v>
      </c>
      <c r="I436" s="623">
        <v>470044.19</v>
      </c>
      <c r="J436" s="168">
        <v>470044</v>
      </c>
      <c r="K436" s="168"/>
      <c r="L436" s="168">
        <v>0</v>
      </c>
      <c r="M436" s="139">
        <f t="shared" si="1"/>
        <v>-466725.2</v>
      </c>
    </row>
    <row r="437" spans="1:13">
      <c r="A437" s="168">
        <v>30</v>
      </c>
      <c r="B437" s="168" t="s">
        <v>2782</v>
      </c>
      <c r="C437" s="168" t="s">
        <v>2791</v>
      </c>
      <c r="D437" s="455" t="s">
        <v>1553</v>
      </c>
      <c r="E437" s="455" t="s">
        <v>99</v>
      </c>
      <c r="F437" s="168" t="s">
        <v>1564</v>
      </c>
      <c r="G437" s="150">
        <v>0</v>
      </c>
      <c r="H437" s="456">
        <v>0</v>
      </c>
      <c r="I437" s="623">
        <v>405750</v>
      </c>
      <c r="J437" s="168">
        <v>405750</v>
      </c>
      <c r="K437" s="168"/>
      <c r="L437" s="168">
        <v>307</v>
      </c>
      <c r="M437" s="139">
        <f t="shared" si="1"/>
        <v>-405750</v>
      </c>
    </row>
    <row r="438" spans="1:13" ht="18.75">
      <c r="A438" s="168">
        <v>50</v>
      </c>
      <c r="B438" s="168" t="s">
        <v>2782</v>
      </c>
      <c r="C438" s="168" t="s">
        <v>2791</v>
      </c>
      <c r="D438" s="455" t="s">
        <v>1553</v>
      </c>
      <c r="E438" s="455" t="s">
        <v>99</v>
      </c>
      <c r="F438" s="168" t="s">
        <v>1567</v>
      </c>
      <c r="G438" s="150">
        <v>122737</v>
      </c>
      <c r="H438" s="456">
        <v>123600</v>
      </c>
      <c r="I438" s="625">
        <v>517018.69</v>
      </c>
      <c r="J438" s="168">
        <v>1405999</v>
      </c>
      <c r="K438" s="168"/>
      <c r="L438" s="168">
        <v>37008</v>
      </c>
      <c r="M438" s="139">
        <f t="shared" si="1"/>
        <v>-394281.69</v>
      </c>
    </row>
    <row r="439" spans="1:13">
      <c r="A439" s="462">
        <v>52</v>
      </c>
      <c r="B439" s="462" t="s">
        <v>2782</v>
      </c>
      <c r="C439" s="462" t="s">
        <v>2791</v>
      </c>
      <c r="D439" s="459" t="s">
        <v>1553</v>
      </c>
      <c r="E439" s="459" t="s">
        <v>99</v>
      </c>
      <c r="F439" s="462" t="s">
        <v>1568</v>
      </c>
      <c r="G439" s="460">
        <v>862585.77</v>
      </c>
      <c r="H439" s="461">
        <v>1196366</v>
      </c>
      <c r="I439" s="623">
        <v>275560.19</v>
      </c>
      <c r="J439" s="462">
        <v>179980</v>
      </c>
      <c r="K439" s="168"/>
      <c r="L439" s="168">
        <v>365561</v>
      </c>
      <c r="M439" s="139">
        <f t="shared" si="1"/>
        <v>587025.58000000007</v>
      </c>
    </row>
    <row r="440" spans="1:13">
      <c r="A440" s="168">
        <v>66</v>
      </c>
      <c r="B440" s="168" t="s">
        <v>2782</v>
      </c>
      <c r="C440" s="168" t="s">
        <v>2791</v>
      </c>
      <c r="D440" s="455" t="s">
        <v>1553</v>
      </c>
      <c r="E440" s="455" t="s">
        <v>99</v>
      </c>
      <c r="F440" s="168" t="s">
        <v>1571</v>
      </c>
      <c r="G440" s="150">
        <v>0</v>
      </c>
      <c r="H440" s="456">
        <v>0</v>
      </c>
      <c r="I440" s="168">
        <v>0</v>
      </c>
      <c r="J440" s="168">
        <v>0</v>
      </c>
      <c r="K440" s="168"/>
      <c r="L440" s="168">
        <v>12662</v>
      </c>
      <c r="M440" s="139">
        <f t="shared" si="1"/>
        <v>0</v>
      </c>
    </row>
    <row r="441" spans="1:13">
      <c r="A441" s="168">
        <v>10</v>
      </c>
      <c r="B441" s="168" t="s">
        <v>2782</v>
      </c>
      <c r="C441" s="168" t="s">
        <v>2792</v>
      </c>
      <c r="D441" s="455" t="s">
        <v>1553</v>
      </c>
      <c r="E441" s="455" t="s">
        <v>616</v>
      </c>
      <c r="F441" s="168" t="s">
        <v>1558</v>
      </c>
      <c r="G441" s="150">
        <v>13700.25</v>
      </c>
      <c r="H441" s="456">
        <v>13800</v>
      </c>
      <c r="I441" s="441">
        <v>8078.32</v>
      </c>
      <c r="J441" s="168">
        <v>8078</v>
      </c>
      <c r="K441" s="168"/>
      <c r="L441" s="168">
        <v>61424.75</v>
      </c>
      <c r="M441" s="139">
        <f t="shared" si="1"/>
        <v>5621.93</v>
      </c>
    </row>
    <row r="442" spans="1:13">
      <c r="A442" s="168">
        <v>20</v>
      </c>
      <c r="B442" s="168" t="s">
        <v>2782</v>
      </c>
      <c r="C442" s="168" t="s">
        <v>2792</v>
      </c>
      <c r="D442" s="455" t="s">
        <v>1553</v>
      </c>
      <c r="E442" s="455" t="s">
        <v>616</v>
      </c>
      <c r="F442" s="168" t="s">
        <v>1559</v>
      </c>
      <c r="G442" s="150">
        <v>20</v>
      </c>
      <c r="H442" s="456">
        <v>52</v>
      </c>
      <c r="I442" s="441">
        <v>27</v>
      </c>
      <c r="J442" s="168">
        <v>0</v>
      </c>
      <c r="K442" s="168"/>
      <c r="L442" s="168">
        <v>0</v>
      </c>
      <c r="M442" s="139">
        <f t="shared" si="1"/>
        <v>-7</v>
      </c>
    </row>
    <row r="443" spans="1:13">
      <c r="A443" s="168">
        <v>22</v>
      </c>
      <c r="B443" s="168" t="s">
        <v>2782</v>
      </c>
      <c r="C443" s="168" t="s">
        <v>2792</v>
      </c>
      <c r="D443" s="455" t="s">
        <v>1553</v>
      </c>
      <c r="E443" s="455" t="s">
        <v>616</v>
      </c>
      <c r="F443" s="168" t="s">
        <v>1561</v>
      </c>
      <c r="G443" s="150">
        <v>1578.45</v>
      </c>
      <c r="H443" s="456">
        <v>1600</v>
      </c>
      <c r="I443" s="169">
        <v>0</v>
      </c>
      <c r="J443" s="168">
        <v>0</v>
      </c>
      <c r="K443" s="168"/>
      <c r="L443" s="168">
        <v>0</v>
      </c>
      <c r="M443" s="139">
        <f t="shared" si="1"/>
        <v>1578.45</v>
      </c>
    </row>
    <row r="444" spans="1:13">
      <c r="A444" s="168">
        <v>27</v>
      </c>
      <c r="B444" s="168" t="s">
        <v>2782</v>
      </c>
      <c r="C444" s="168" t="s">
        <v>2792</v>
      </c>
      <c r="D444" s="455" t="s">
        <v>1553</v>
      </c>
      <c r="E444" s="455" t="s">
        <v>616</v>
      </c>
      <c r="F444" s="168" t="s">
        <v>1563</v>
      </c>
      <c r="G444" s="150">
        <v>73121.539999999994</v>
      </c>
      <c r="H444" s="456">
        <v>73400</v>
      </c>
      <c r="I444" s="441">
        <v>99.99</v>
      </c>
      <c r="J444" s="168">
        <v>99</v>
      </c>
      <c r="K444" s="168"/>
      <c r="L444" s="168">
        <v>0</v>
      </c>
      <c r="M444" s="139">
        <f t="shared" si="1"/>
        <v>73021.549999999988</v>
      </c>
    </row>
    <row r="445" spans="1:13">
      <c r="A445" s="168">
        <v>31</v>
      </c>
      <c r="B445" s="168" t="s">
        <v>2782</v>
      </c>
      <c r="C445" s="168" t="s">
        <v>2792</v>
      </c>
      <c r="D445" s="455" t="s">
        <v>1553</v>
      </c>
      <c r="E445" s="455" t="s">
        <v>616</v>
      </c>
      <c r="F445" s="168" t="s">
        <v>1565</v>
      </c>
      <c r="G445" s="150">
        <v>59.95</v>
      </c>
      <c r="H445" s="456">
        <v>100</v>
      </c>
      <c r="I445" s="169">
        <v>0</v>
      </c>
      <c r="J445" s="168">
        <v>0</v>
      </c>
      <c r="K445" s="168"/>
      <c r="L445" s="168">
        <v>0</v>
      </c>
      <c r="M445" s="139">
        <f t="shared" si="1"/>
        <v>59.95</v>
      </c>
    </row>
    <row r="446" spans="1:13">
      <c r="A446" s="168">
        <v>32</v>
      </c>
      <c r="B446" s="168" t="s">
        <v>2782</v>
      </c>
      <c r="C446" s="168" t="s">
        <v>2792</v>
      </c>
      <c r="D446" s="455" t="s">
        <v>1553</v>
      </c>
      <c r="E446" s="455" t="s">
        <v>616</v>
      </c>
      <c r="F446" s="168" t="s">
        <v>1566</v>
      </c>
      <c r="G446" s="150">
        <v>2550</v>
      </c>
      <c r="H446" s="456">
        <v>3000</v>
      </c>
      <c r="I446" s="441">
        <v>0</v>
      </c>
      <c r="J446" s="168">
        <v>0</v>
      </c>
      <c r="K446" s="168"/>
      <c r="L446" s="168">
        <v>0</v>
      </c>
      <c r="M446" s="139">
        <f t="shared" si="1"/>
        <v>2550</v>
      </c>
    </row>
    <row r="447" spans="1:13">
      <c r="A447" s="168">
        <v>63</v>
      </c>
      <c r="B447" s="168" t="s">
        <v>2782</v>
      </c>
      <c r="C447" s="168" t="s">
        <v>2792</v>
      </c>
      <c r="D447" s="455" t="s">
        <v>1553</v>
      </c>
      <c r="E447" s="455" t="s">
        <v>616</v>
      </c>
      <c r="F447" s="168" t="s">
        <v>1229</v>
      </c>
      <c r="G447" s="150">
        <v>0</v>
      </c>
      <c r="H447" s="456">
        <v>0</v>
      </c>
      <c r="I447" s="441">
        <v>0</v>
      </c>
      <c r="J447" s="168">
        <v>0</v>
      </c>
      <c r="K447" s="168"/>
      <c r="L447" s="168">
        <v>0</v>
      </c>
      <c r="M447" s="139">
        <f t="shared" si="1"/>
        <v>0</v>
      </c>
    </row>
    <row r="448" spans="1:13">
      <c r="A448" s="168">
        <v>64</v>
      </c>
      <c r="B448" s="168" t="s">
        <v>2782</v>
      </c>
      <c r="C448" s="168" t="s">
        <v>2792</v>
      </c>
      <c r="D448" s="455" t="s">
        <v>1553</v>
      </c>
      <c r="E448" s="455" t="s">
        <v>616</v>
      </c>
      <c r="F448" s="168" t="s">
        <v>1569</v>
      </c>
      <c r="G448" s="150">
        <v>4386.16</v>
      </c>
      <c r="H448" s="456">
        <v>4400</v>
      </c>
      <c r="I448" s="441">
        <v>737.58</v>
      </c>
      <c r="J448" s="168">
        <v>737</v>
      </c>
      <c r="K448" s="168"/>
      <c r="L448" s="168">
        <v>0</v>
      </c>
      <c r="M448" s="139">
        <f t="shared" si="1"/>
        <v>3648.58</v>
      </c>
    </row>
    <row r="449" spans="1:15">
      <c r="A449" s="168">
        <v>65</v>
      </c>
      <c r="B449" s="168" t="s">
        <v>2782</v>
      </c>
      <c r="C449" s="168" t="s">
        <v>2792</v>
      </c>
      <c r="D449" s="455" t="s">
        <v>1553</v>
      </c>
      <c r="E449" s="455" t="s">
        <v>616</v>
      </c>
      <c r="F449" s="168" t="s">
        <v>1570</v>
      </c>
      <c r="G449" s="150">
        <v>1531.53</v>
      </c>
      <c r="H449" s="456">
        <v>1600</v>
      </c>
      <c r="I449" s="441">
        <v>1810.65</v>
      </c>
      <c r="J449" s="168">
        <v>1810</v>
      </c>
      <c r="K449" s="168"/>
      <c r="L449" s="168">
        <v>0</v>
      </c>
      <c r="M449" s="139">
        <f t="shared" si="1"/>
        <v>-279.12000000000012</v>
      </c>
    </row>
    <row r="450" spans="1:15">
      <c r="A450" s="168">
        <v>66</v>
      </c>
      <c r="B450" s="168" t="s">
        <v>2782</v>
      </c>
      <c r="C450" s="168" t="s">
        <v>2792</v>
      </c>
      <c r="D450" s="455" t="s">
        <v>1553</v>
      </c>
      <c r="E450" s="455" t="s">
        <v>616</v>
      </c>
      <c r="F450" s="168" t="s">
        <v>1571</v>
      </c>
      <c r="G450" s="150">
        <v>35693.089999999997</v>
      </c>
      <c r="H450" s="456">
        <v>35904</v>
      </c>
      <c r="I450" s="441">
        <v>115002.87</v>
      </c>
      <c r="J450" s="168">
        <v>115002</v>
      </c>
      <c r="K450" s="168"/>
      <c r="L450" s="168">
        <v>0</v>
      </c>
      <c r="M450" s="139">
        <f t="shared" si="1"/>
        <v>-79309.78</v>
      </c>
    </row>
    <row r="451" spans="1:15">
      <c r="A451" s="168">
        <v>80</v>
      </c>
      <c r="B451" s="168" t="s">
        <v>2782</v>
      </c>
      <c r="C451" s="168" t="s">
        <v>2792</v>
      </c>
      <c r="D451" s="455" t="s">
        <v>1553</v>
      </c>
      <c r="E451" s="455" t="s">
        <v>616</v>
      </c>
      <c r="F451" s="168" t="s">
        <v>1572</v>
      </c>
      <c r="G451" s="150">
        <v>2342.3200000000002</v>
      </c>
      <c r="H451" s="456">
        <v>2400</v>
      </c>
      <c r="I451" s="441">
        <v>933.83</v>
      </c>
      <c r="J451" s="168">
        <v>933</v>
      </c>
      <c r="K451" s="168"/>
      <c r="L451" s="168">
        <v>0</v>
      </c>
      <c r="M451" s="139">
        <f t="shared" si="1"/>
        <v>1408.4900000000002</v>
      </c>
    </row>
    <row r="452" spans="1:15">
      <c r="A452" s="168">
        <v>81</v>
      </c>
      <c r="B452" s="168" t="s">
        <v>2782</v>
      </c>
      <c r="C452" s="168" t="s">
        <v>2792</v>
      </c>
      <c r="D452" s="455" t="s">
        <v>1553</v>
      </c>
      <c r="E452" s="455" t="s">
        <v>616</v>
      </c>
      <c r="F452" s="168" t="s">
        <v>1573</v>
      </c>
      <c r="G452" s="150">
        <v>44619.58</v>
      </c>
      <c r="H452" s="456">
        <v>44750</v>
      </c>
      <c r="I452" s="441">
        <v>1334.99</v>
      </c>
      <c r="J452" s="168">
        <v>1334</v>
      </c>
      <c r="K452" s="168"/>
      <c r="L452" s="168">
        <v>0</v>
      </c>
      <c r="M452" s="139">
        <f t="shared" si="1"/>
        <v>43284.590000000004</v>
      </c>
    </row>
    <row r="453" spans="1:15">
      <c r="A453" s="168">
        <v>82</v>
      </c>
      <c r="B453" s="168" t="s">
        <v>2782</v>
      </c>
      <c r="C453" s="168" t="s">
        <v>2792</v>
      </c>
      <c r="D453" s="455" t="s">
        <v>1553</v>
      </c>
      <c r="E453" s="455" t="s">
        <v>616</v>
      </c>
      <c r="F453" s="168" t="s">
        <v>1574</v>
      </c>
      <c r="G453" s="150">
        <v>34222.74</v>
      </c>
      <c r="H453" s="456">
        <v>35000</v>
      </c>
      <c r="I453" s="441">
        <v>72803.58</v>
      </c>
      <c r="J453" s="168">
        <v>72803</v>
      </c>
      <c r="K453" s="168"/>
      <c r="L453" s="168">
        <v>0</v>
      </c>
      <c r="M453" s="139">
        <f t="shared" si="1"/>
        <v>-38580.840000000004</v>
      </c>
    </row>
    <row r="454" spans="1:15">
      <c r="A454" s="168">
        <v>84</v>
      </c>
      <c r="B454" s="168" t="s">
        <v>2782</v>
      </c>
      <c r="C454" s="168" t="s">
        <v>2792</v>
      </c>
      <c r="D454" s="455" t="s">
        <v>1553</v>
      </c>
      <c r="E454" s="455" t="s">
        <v>616</v>
      </c>
      <c r="F454" s="168" t="s">
        <v>1244</v>
      </c>
      <c r="G454" s="150">
        <v>2875.2</v>
      </c>
      <c r="H454" s="456">
        <v>2900</v>
      </c>
      <c r="I454" s="441">
        <v>26119.919999999998</v>
      </c>
      <c r="J454" s="168">
        <v>26119</v>
      </c>
      <c r="K454" s="168"/>
      <c r="L454" s="168">
        <v>0</v>
      </c>
      <c r="M454" s="139">
        <f t="shared" si="1"/>
        <v>-23244.719999999998</v>
      </c>
    </row>
    <row r="455" spans="1:15">
      <c r="A455" s="168">
        <v>86</v>
      </c>
      <c r="B455" s="168" t="s">
        <v>2782</v>
      </c>
      <c r="C455" s="168" t="s">
        <v>2792</v>
      </c>
      <c r="D455" s="455" t="s">
        <v>1553</v>
      </c>
      <c r="E455" s="455" t="s">
        <v>616</v>
      </c>
      <c r="F455" s="168" t="s">
        <v>1576</v>
      </c>
      <c r="G455" s="150">
        <v>5985</v>
      </c>
      <c r="H455" s="456">
        <v>8000</v>
      </c>
      <c r="I455" s="441">
        <v>280.17</v>
      </c>
      <c r="J455" s="168">
        <v>280</v>
      </c>
      <c r="K455" s="168"/>
      <c r="L455" s="168">
        <v>0</v>
      </c>
      <c r="M455" s="139">
        <f t="shared" si="1"/>
        <v>5704.83</v>
      </c>
    </row>
    <row r="456" spans="1:15">
      <c r="A456" s="168">
        <v>90</v>
      </c>
      <c r="B456" s="168" t="s">
        <v>2782</v>
      </c>
      <c r="C456" s="168" t="s">
        <v>2792</v>
      </c>
      <c r="D456" s="455" t="s">
        <v>1553</v>
      </c>
      <c r="E456" s="455" t="s">
        <v>616</v>
      </c>
      <c r="F456" s="168" t="s">
        <v>1240</v>
      </c>
      <c r="G456" s="150">
        <v>611.74</v>
      </c>
      <c r="H456" s="456">
        <v>700</v>
      </c>
      <c r="I456" s="441">
        <v>292.42</v>
      </c>
      <c r="J456" s="168">
        <v>292</v>
      </c>
      <c r="K456" s="168"/>
      <c r="L456" s="168">
        <v>0</v>
      </c>
      <c r="M456" s="139">
        <f t="shared" si="1"/>
        <v>319.32</v>
      </c>
    </row>
    <row r="457" spans="1:15">
      <c r="A457" s="168">
        <v>91</v>
      </c>
      <c r="B457" s="168" t="s">
        <v>2782</v>
      </c>
      <c r="C457" s="168" t="s">
        <v>2792</v>
      </c>
      <c r="D457" s="455" t="s">
        <v>1553</v>
      </c>
      <c r="E457" s="455" t="s">
        <v>616</v>
      </c>
      <c r="F457" s="168" t="s">
        <v>1577</v>
      </c>
      <c r="G457" s="150">
        <v>82.5</v>
      </c>
      <c r="H457" s="456">
        <v>100</v>
      </c>
      <c r="I457" s="441">
        <v>0</v>
      </c>
      <c r="J457" s="168">
        <v>0</v>
      </c>
      <c r="K457" s="168"/>
      <c r="L457" s="168">
        <v>0</v>
      </c>
      <c r="M457" s="139">
        <f t="shared" si="1"/>
        <v>82.5</v>
      </c>
    </row>
    <row r="458" spans="1:15">
      <c r="A458" s="168">
        <v>92</v>
      </c>
      <c r="B458" s="168" t="s">
        <v>2782</v>
      </c>
      <c r="C458" s="168" t="s">
        <v>2792</v>
      </c>
      <c r="D458" s="455" t="s">
        <v>1553</v>
      </c>
      <c r="E458" s="455" t="s">
        <v>616</v>
      </c>
      <c r="F458" s="168" t="s">
        <v>1578</v>
      </c>
      <c r="G458" s="150">
        <v>0</v>
      </c>
      <c r="H458" s="456">
        <v>0</v>
      </c>
      <c r="I458" s="441">
        <v>0</v>
      </c>
      <c r="J458" s="168">
        <v>0</v>
      </c>
      <c r="K458" s="168"/>
      <c r="L458" s="168">
        <v>0</v>
      </c>
      <c r="M458" s="139">
        <f t="shared" si="1"/>
        <v>0</v>
      </c>
    </row>
    <row r="459" spans="1:15">
      <c r="A459" s="168">
        <v>100</v>
      </c>
      <c r="B459" s="168" t="s">
        <v>2782</v>
      </c>
      <c r="C459" s="168" t="s">
        <v>2792</v>
      </c>
      <c r="D459" s="455" t="s">
        <v>1553</v>
      </c>
      <c r="E459" s="455" t="s">
        <v>616</v>
      </c>
      <c r="F459" s="168" t="s">
        <v>1579</v>
      </c>
      <c r="G459" s="150">
        <v>4142.5200000000004</v>
      </c>
      <c r="H459" s="456">
        <v>4200</v>
      </c>
      <c r="I459" s="441">
        <v>1585.74</v>
      </c>
      <c r="J459" s="168">
        <v>1585</v>
      </c>
      <c r="K459" s="168"/>
      <c r="L459" s="168">
        <v>2577</v>
      </c>
      <c r="M459" s="139">
        <f t="shared" si="1"/>
        <v>2556.7800000000007</v>
      </c>
    </row>
    <row r="460" spans="1:15">
      <c r="A460" s="168">
        <v>63</v>
      </c>
      <c r="B460" s="168" t="s">
        <v>2782</v>
      </c>
      <c r="C460" s="168" t="s">
        <v>2886</v>
      </c>
      <c r="D460" s="455" t="s">
        <v>1553</v>
      </c>
      <c r="E460" s="455" t="s">
        <v>1314</v>
      </c>
      <c r="F460" s="168" t="s">
        <v>1229</v>
      </c>
      <c r="G460" s="150">
        <v>6430</v>
      </c>
      <c r="H460" s="456">
        <v>6450</v>
      </c>
      <c r="I460" s="441">
        <v>33951.17</v>
      </c>
      <c r="J460" s="168">
        <v>33951</v>
      </c>
      <c r="K460" s="168"/>
      <c r="L460" s="168">
        <v>7196</v>
      </c>
      <c r="M460" s="139">
        <f t="shared" si="1"/>
        <v>-27521.17</v>
      </c>
    </row>
    <row r="461" spans="1:15">
      <c r="A461" s="168">
        <v>63</v>
      </c>
      <c r="B461" s="168" t="s">
        <v>2782</v>
      </c>
      <c r="C461" s="168" t="s">
        <v>2887</v>
      </c>
      <c r="D461" s="455" t="s">
        <v>1553</v>
      </c>
      <c r="E461" s="455" t="s">
        <v>1316</v>
      </c>
      <c r="F461" s="168" t="s">
        <v>1229</v>
      </c>
      <c r="G461" s="150">
        <v>43.98</v>
      </c>
      <c r="H461" s="456">
        <v>60</v>
      </c>
      <c r="I461" s="160">
        <v>0</v>
      </c>
      <c r="J461" s="168">
        <v>0</v>
      </c>
      <c r="K461" s="168"/>
      <c r="L461" s="168">
        <v>705088</v>
      </c>
      <c r="M461" s="139">
        <f t="shared" ref="M461:M524" si="2">G461-I461</f>
        <v>43.98</v>
      </c>
    </row>
    <row r="462" spans="1:15">
      <c r="A462" s="168">
        <v>63</v>
      </c>
      <c r="B462" s="168" t="s">
        <v>2782</v>
      </c>
      <c r="C462" s="168" t="s">
        <v>2888</v>
      </c>
      <c r="D462" s="455" t="s">
        <v>1553</v>
      </c>
      <c r="E462" s="455" t="s">
        <v>1318</v>
      </c>
      <c r="F462" s="168" t="s">
        <v>1229</v>
      </c>
      <c r="G462" s="150">
        <v>0</v>
      </c>
      <c r="H462" s="456">
        <v>0</v>
      </c>
      <c r="I462" s="160">
        <v>0</v>
      </c>
      <c r="J462" s="168">
        <v>0</v>
      </c>
      <c r="K462" s="168"/>
      <c r="L462" s="168"/>
      <c r="M462" s="139">
        <f t="shared" si="2"/>
        <v>0</v>
      </c>
      <c r="N462" s="139" t="s">
        <v>1666</v>
      </c>
      <c r="O462" s="139">
        <v>1133570.24</v>
      </c>
    </row>
    <row r="463" spans="1:15">
      <c r="A463" s="168">
        <v>63</v>
      </c>
      <c r="B463" s="168" t="s">
        <v>2782</v>
      </c>
      <c r="C463" s="168" t="s">
        <v>2889</v>
      </c>
      <c r="D463" s="455" t="s">
        <v>1553</v>
      </c>
      <c r="E463" s="455" t="s">
        <v>1320</v>
      </c>
      <c r="F463" s="168" t="s">
        <v>1229</v>
      </c>
      <c r="G463" s="150">
        <v>8026.36</v>
      </c>
      <c r="H463" s="456">
        <v>8100</v>
      </c>
      <c r="I463" s="441">
        <v>2950</v>
      </c>
      <c r="J463" s="168">
        <v>2950</v>
      </c>
      <c r="K463" s="168"/>
      <c r="L463" s="168">
        <v>0</v>
      </c>
      <c r="M463" s="139">
        <f t="shared" si="2"/>
        <v>5076.3599999999997</v>
      </c>
    </row>
    <row r="464" spans="1:15">
      <c r="A464" s="168">
        <v>63</v>
      </c>
      <c r="B464" s="168" t="s">
        <v>2782</v>
      </c>
      <c r="C464" s="168" t="s">
        <v>2890</v>
      </c>
      <c r="D464" s="455" t="s">
        <v>1553</v>
      </c>
      <c r="E464" s="455" t="s">
        <v>1323</v>
      </c>
      <c r="F464" s="168" t="s">
        <v>1229</v>
      </c>
      <c r="G464" s="150">
        <v>0</v>
      </c>
      <c r="H464" s="456">
        <v>0</v>
      </c>
      <c r="I464" s="160">
        <v>0</v>
      </c>
      <c r="J464" s="168">
        <v>0</v>
      </c>
      <c r="K464" s="168"/>
      <c r="L464" s="168">
        <v>6761</v>
      </c>
      <c r="M464" s="139">
        <f t="shared" si="2"/>
        <v>0</v>
      </c>
    </row>
    <row r="465" spans="1:13">
      <c r="A465" s="168">
        <v>63</v>
      </c>
      <c r="B465" s="168" t="s">
        <v>2782</v>
      </c>
      <c r="C465" s="168" t="s">
        <v>2891</v>
      </c>
      <c r="D465" s="455" t="s">
        <v>1553</v>
      </c>
      <c r="E465" s="455" t="s">
        <v>1325</v>
      </c>
      <c r="F465" s="168" t="s">
        <v>1229</v>
      </c>
      <c r="G465" s="150">
        <v>0</v>
      </c>
      <c r="H465" s="456">
        <v>0</v>
      </c>
      <c r="I465" s="160">
        <v>0</v>
      </c>
      <c r="J465" s="168">
        <v>0</v>
      </c>
      <c r="K465" s="168"/>
      <c r="L465" s="168">
        <v>11013</v>
      </c>
      <c r="M465" s="139">
        <f t="shared" si="2"/>
        <v>0</v>
      </c>
    </row>
    <row r="466" spans="1:13">
      <c r="A466" s="168">
        <v>10</v>
      </c>
      <c r="B466" s="168" t="s">
        <v>2782</v>
      </c>
      <c r="C466" s="168" t="s">
        <v>2793</v>
      </c>
      <c r="D466" s="455" t="s">
        <v>1553</v>
      </c>
      <c r="E466" s="455" t="s">
        <v>618</v>
      </c>
      <c r="F466" s="168" t="s">
        <v>1558</v>
      </c>
      <c r="G466" s="150">
        <v>98189.23</v>
      </c>
      <c r="H466" s="456">
        <v>123000</v>
      </c>
      <c r="I466" s="441">
        <v>147233.20000000001</v>
      </c>
      <c r="J466" s="168">
        <v>147233</v>
      </c>
      <c r="K466" s="168"/>
      <c r="L466" s="168">
        <v>0</v>
      </c>
      <c r="M466" s="139">
        <f t="shared" si="2"/>
        <v>-49043.970000000016</v>
      </c>
    </row>
    <row r="467" spans="1:13">
      <c r="A467" s="168">
        <v>20</v>
      </c>
      <c r="B467" s="168" t="s">
        <v>2782</v>
      </c>
      <c r="C467" s="168" t="s">
        <v>2836</v>
      </c>
      <c r="D467" s="455" t="s">
        <v>1553</v>
      </c>
      <c r="E467" s="455" t="s">
        <v>620</v>
      </c>
      <c r="F467" s="168" t="s">
        <v>1559</v>
      </c>
      <c r="G467" s="150">
        <v>34022.15</v>
      </c>
      <c r="H467" s="456">
        <v>35000</v>
      </c>
      <c r="I467" s="441">
        <v>44191.66</v>
      </c>
      <c r="J467" s="168">
        <v>44191</v>
      </c>
      <c r="K467" s="168"/>
      <c r="L467" s="168">
        <v>1123</v>
      </c>
      <c r="M467" s="139">
        <f t="shared" si="2"/>
        <v>-10169.510000000002</v>
      </c>
    </row>
    <row r="468" spans="1:13">
      <c r="A468" s="168">
        <v>10</v>
      </c>
      <c r="B468" s="168" t="s">
        <v>2782</v>
      </c>
      <c r="C468" s="168" t="s">
        <v>2794</v>
      </c>
      <c r="D468" s="455" t="s">
        <v>1553</v>
      </c>
      <c r="E468" s="455" t="s">
        <v>620</v>
      </c>
      <c r="F468" s="168" t="s">
        <v>1558</v>
      </c>
      <c r="G468" s="150">
        <v>363842.08</v>
      </c>
      <c r="H468" s="456">
        <v>364300</v>
      </c>
      <c r="I468" s="441">
        <v>543020.53</v>
      </c>
      <c r="J468" s="168">
        <v>543020</v>
      </c>
      <c r="K468" s="168"/>
      <c r="L468" s="168">
        <v>23141</v>
      </c>
      <c r="M468" s="139">
        <f t="shared" si="2"/>
        <v>-179178.45</v>
      </c>
    </row>
    <row r="469" spans="1:13">
      <c r="A469" s="168">
        <v>10</v>
      </c>
      <c r="B469" s="168" t="s">
        <v>2782</v>
      </c>
      <c r="C469" s="168" t="s">
        <v>2795</v>
      </c>
      <c r="D469" s="455" t="s">
        <v>1553</v>
      </c>
      <c r="E469" s="455" t="s">
        <v>622</v>
      </c>
      <c r="F469" s="168" t="s">
        <v>1558</v>
      </c>
      <c r="G469" s="150">
        <v>68853.73</v>
      </c>
      <c r="H469" s="456">
        <v>135000</v>
      </c>
      <c r="I469" s="623">
        <v>139392.34</v>
      </c>
      <c r="J469" s="168">
        <v>139392</v>
      </c>
      <c r="K469" s="168"/>
      <c r="L469" s="168">
        <v>13501</v>
      </c>
      <c r="M469" s="139">
        <f t="shared" si="2"/>
        <v>-70538.61</v>
      </c>
    </row>
    <row r="470" spans="1:13">
      <c r="A470" s="168">
        <v>64</v>
      </c>
      <c r="B470" s="168" t="s">
        <v>2782</v>
      </c>
      <c r="C470" s="168" t="s">
        <v>2795</v>
      </c>
      <c r="D470" s="455" t="s">
        <v>1553</v>
      </c>
      <c r="E470" s="455" t="s">
        <v>622</v>
      </c>
      <c r="F470" s="168" t="s">
        <v>1569</v>
      </c>
      <c r="G470" s="150">
        <v>24648.79</v>
      </c>
      <c r="H470" s="456">
        <v>25000</v>
      </c>
      <c r="I470" s="623">
        <v>32500.32</v>
      </c>
      <c r="J470" s="168">
        <v>32500</v>
      </c>
      <c r="K470" s="168"/>
      <c r="L470" s="168">
        <v>470044</v>
      </c>
      <c r="M470" s="139">
        <f t="shared" si="2"/>
        <v>-7851.5299999999988</v>
      </c>
    </row>
    <row r="471" spans="1:13">
      <c r="A471" s="168">
        <v>66</v>
      </c>
      <c r="B471" s="168" t="s">
        <v>2782</v>
      </c>
      <c r="C471" s="168" t="s">
        <v>2795</v>
      </c>
      <c r="D471" s="455" t="s">
        <v>1553</v>
      </c>
      <c r="E471" s="455" t="s">
        <v>622</v>
      </c>
      <c r="F471" s="168" t="s">
        <v>1571</v>
      </c>
      <c r="G471" s="150">
        <v>81634.75</v>
      </c>
      <c r="H471" s="456">
        <v>82000</v>
      </c>
      <c r="I471" s="623">
        <v>98533</v>
      </c>
      <c r="J471" s="168">
        <v>98533</v>
      </c>
      <c r="K471" s="168"/>
      <c r="L471" s="168">
        <v>99</v>
      </c>
      <c r="M471" s="139">
        <f t="shared" si="2"/>
        <v>-16898.25</v>
      </c>
    </row>
    <row r="472" spans="1:13">
      <c r="A472" s="168">
        <v>81</v>
      </c>
      <c r="B472" s="168" t="s">
        <v>2782</v>
      </c>
      <c r="C472" s="168" t="s">
        <v>2795</v>
      </c>
      <c r="D472" s="455" t="s">
        <v>1553</v>
      </c>
      <c r="E472" s="455" t="s">
        <v>622</v>
      </c>
      <c r="F472" s="168" t="s">
        <v>1573</v>
      </c>
      <c r="G472" s="150">
        <v>72970.61</v>
      </c>
      <c r="H472" s="456">
        <v>73000</v>
      </c>
      <c r="I472" s="623">
        <v>153752.48000000001</v>
      </c>
      <c r="J472" s="168">
        <v>153752</v>
      </c>
      <c r="K472" s="168"/>
      <c r="L472" s="168">
        <v>681</v>
      </c>
      <c r="M472" s="139">
        <f t="shared" si="2"/>
        <v>-80781.87000000001</v>
      </c>
    </row>
    <row r="473" spans="1:13">
      <c r="A473" s="168">
        <v>84</v>
      </c>
      <c r="B473" s="168" t="s">
        <v>2782</v>
      </c>
      <c r="C473" s="168" t="s">
        <v>2795</v>
      </c>
      <c r="D473" s="455" t="s">
        <v>1553</v>
      </c>
      <c r="E473" s="455" t="s">
        <v>622</v>
      </c>
      <c r="F473" s="168" t="s">
        <v>1244</v>
      </c>
      <c r="G473" s="150">
        <v>79289.98</v>
      </c>
      <c r="H473" s="456">
        <v>80000</v>
      </c>
      <c r="I473" s="623">
        <v>137124.97</v>
      </c>
      <c r="J473" s="168">
        <v>137124</v>
      </c>
      <c r="K473" s="168"/>
      <c r="L473" s="168">
        <v>314</v>
      </c>
      <c r="M473" s="139">
        <f t="shared" si="2"/>
        <v>-57834.990000000005</v>
      </c>
    </row>
    <row r="474" spans="1:13">
      <c r="A474" s="168">
        <v>85</v>
      </c>
      <c r="B474" s="168" t="s">
        <v>2782</v>
      </c>
      <c r="C474" s="168" t="s">
        <v>2795</v>
      </c>
      <c r="D474" s="455" t="s">
        <v>1553</v>
      </c>
      <c r="E474" s="455" t="s">
        <v>622</v>
      </c>
      <c r="F474" s="168" t="s">
        <v>1575</v>
      </c>
      <c r="G474" s="150">
        <v>0</v>
      </c>
      <c r="H474" s="456">
        <v>1000</v>
      </c>
      <c r="I474" s="624">
        <v>0</v>
      </c>
      <c r="J474" s="168">
        <v>0</v>
      </c>
      <c r="K474" s="168"/>
      <c r="L474" s="168">
        <v>96572</v>
      </c>
      <c r="M474" s="139">
        <f t="shared" si="2"/>
        <v>0</v>
      </c>
    </row>
    <row r="475" spans="1:13" s="144" customFormat="1">
      <c r="A475" s="168">
        <v>100</v>
      </c>
      <c r="B475" s="168" t="s">
        <v>2782</v>
      </c>
      <c r="C475" s="168" t="s">
        <v>2795</v>
      </c>
      <c r="D475" s="455" t="s">
        <v>1553</v>
      </c>
      <c r="E475" s="455" t="s">
        <v>622</v>
      </c>
      <c r="F475" s="168" t="s">
        <v>1579</v>
      </c>
      <c r="G475" s="150">
        <v>45775.66</v>
      </c>
      <c r="H475" s="456">
        <v>46000</v>
      </c>
      <c r="I475" s="623">
        <v>68779.27</v>
      </c>
      <c r="J475" s="168">
        <v>68780</v>
      </c>
      <c r="K475" s="168"/>
      <c r="L475" s="168">
        <v>12122</v>
      </c>
      <c r="M475" s="139">
        <f t="shared" si="2"/>
        <v>-23003.61</v>
      </c>
    </row>
    <row r="476" spans="1:13">
      <c r="A476" s="168">
        <v>20</v>
      </c>
      <c r="B476" s="168" t="s">
        <v>2782</v>
      </c>
      <c r="C476" s="168" t="s">
        <v>2837</v>
      </c>
      <c r="D476" s="455" t="s">
        <v>1553</v>
      </c>
      <c r="E476" s="455" t="s">
        <v>2322</v>
      </c>
      <c r="F476" s="168" t="s">
        <v>1559</v>
      </c>
      <c r="G476" s="150">
        <v>34993.96</v>
      </c>
      <c r="H476" s="456">
        <v>35000</v>
      </c>
      <c r="I476" s="160">
        <v>0</v>
      </c>
      <c r="J476" s="168">
        <v>0</v>
      </c>
      <c r="K476" s="168"/>
      <c r="L476" s="168">
        <v>11811</v>
      </c>
      <c r="M476" s="139">
        <f t="shared" si="2"/>
        <v>34993.96</v>
      </c>
    </row>
    <row r="477" spans="1:13">
      <c r="A477" s="168">
        <v>27</v>
      </c>
      <c r="B477" s="168" t="s">
        <v>2782</v>
      </c>
      <c r="C477" s="168" t="s">
        <v>2837</v>
      </c>
      <c r="D477" s="455" t="s">
        <v>1553</v>
      </c>
      <c r="E477" s="455" t="s">
        <v>2322</v>
      </c>
      <c r="F477" s="168" t="s">
        <v>1563</v>
      </c>
      <c r="G477" s="150">
        <v>14384.62</v>
      </c>
      <c r="H477" s="456">
        <v>14500</v>
      </c>
      <c r="I477" s="441">
        <v>680.86</v>
      </c>
      <c r="J477" s="168">
        <v>681</v>
      </c>
      <c r="K477" s="168"/>
      <c r="L477" s="168">
        <v>63</v>
      </c>
      <c r="M477" s="139">
        <f t="shared" si="2"/>
        <v>13703.76</v>
      </c>
    </row>
    <row r="478" spans="1:13">
      <c r="A478" s="168">
        <v>31</v>
      </c>
      <c r="B478" s="168" t="s">
        <v>2782</v>
      </c>
      <c r="C478" s="168" t="s">
        <v>2837</v>
      </c>
      <c r="D478" s="455" t="s">
        <v>1553</v>
      </c>
      <c r="E478" s="455" t="s">
        <v>2322</v>
      </c>
      <c r="F478" s="168" t="s">
        <v>1565</v>
      </c>
      <c r="G478" s="150">
        <v>5135.29</v>
      </c>
      <c r="H478" s="456">
        <v>5200</v>
      </c>
      <c r="I478" s="169">
        <v>0</v>
      </c>
      <c r="J478" s="168">
        <v>0</v>
      </c>
      <c r="K478" s="168"/>
      <c r="L478" s="168">
        <v>0</v>
      </c>
      <c r="M478" s="139">
        <f t="shared" si="2"/>
        <v>5135.29</v>
      </c>
    </row>
    <row r="479" spans="1:13">
      <c r="A479" s="168">
        <v>50</v>
      </c>
      <c r="B479" s="168" t="s">
        <v>2782</v>
      </c>
      <c r="C479" s="168" t="s">
        <v>2837</v>
      </c>
      <c r="D479" s="455" t="s">
        <v>1553</v>
      </c>
      <c r="E479" s="455" t="s">
        <v>2322</v>
      </c>
      <c r="F479" s="168" t="s">
        <v>1567</v>
      </c>
      <c r="G479" s="150">
        <v>353663.78</v>
      </c>
      <c r="H479" s="456">
        <v>354000</v>
      </c>
      <c r="I479" s="441">
        <v>695507.64</v>
      </c>
      <c r="J479" s="168">
        <v>695507</v>
      </c>
      <c r="K479" s="168"/>
      <c r="L479" s="168">
        <v>27457</v>
      </c>
      <c r="M479" s="139">
        <f t="shared" si="2"/>
        <v>-341843.86</v>
      </c>
    </row>
    <row r="480" spans="1:13">
      <c r="A480" s="168">
        <v>51</v>
      </c>
      <c r="B480" s="168" t="s">
        <v>2782</v>
      </c>
      <c r="C480" s="168" t="s">
        <v>2837</v>
      </c>
      <c r="D480" s="455" t="s">
        <v>1553</v>
      </c>
      <c r="E480" s="455" t="s">
        <v>2322</v>
      </c>
      <c r="F480" s="168" t="s">
        <v>1990</v>
      </c>
      <c r="G480" s="150">
        <v>2573.96</v>
      </c>
      <c r="H480" s="456">
        <v>2600</v>
      </c>
      <c r="I480" s="169">
        <v>0</v>
      </c>
      <c r="J480" s="168">
        <v>0</v>
      </c>
      <c r="K480" s="168"/>
      <c r="L480" s="168">
        <v>15600</v>
      </c>
      <c r="M480" s="139">
        <f t="shared" si="2"/>
        <v>2573.96</v>
      </c>
    </row>
    <row r="481" spans="1:13">
      <c r="A481" s="168">
        <v>63</v>
      </c>
      <c r="B481" s="168" t="s">
        <v>2782</v>
      </c>
      <c r="C481" s="168" t="s">
        <v>2837</v>
      </c>
      <c r="D481" s="455" t="s">
        <v>1553</v>
      </c>
      <c r="E481" s="455" t="s">
        <v>2322</v>
      </c>
      <c r="F481" s="168" t="s">
        <v>1229</v>
      </c>
      <c r="G481" s="150">
        <v>39615.4</v>
      </c>
      <c r="H481" s="456">
        <v>39650</v>
      </c>
      <c r="I481" s="441">
        <v>0</v>
      </c>
      <c r="J481" s="168">
        <v>0</v>
      </c>
      <c r="K481" s="168"/>
      <c r="L481" s="168">
        <v>405750</v>
      </c>
      <c r="M481" s="139">
        <f t="shared" si="2"/>
        <v>39615.4</v>
      </c>
    </row>
    <row r="482" spans="1:13">
      <c r="A482" s="168">
        <v>64</v>
      </c>
      <c r="B482" s="168" t="s">
        <v>2782</v>
      </c>
      <c r="C482" s="168" t="s">
        <v>2837</v>
      </c>
      <c r="D482" s="455" t="s">
        <v>1553</v>
      </c>
      <c r="E482" s="455" t="s">
        <v>2322</v>
      </c>
      <c r="F482" s="168" t="s">
        <v>1569</v>
      </c>
      <c r="G482" s="150">
        <v>19924.759999999998</v>
      </c>
      <c r="H482" s="456">
        <v>20000</v>
      </c>
      <c r="I482" s="441">
        <v>0</v>
      </c>
      <c r="J482" s="168">
        <v>0</v>
      </c>
      <c r="K482" s="168"/>
      <c r="L482" s="168">
        <v>511</v>
      </c>
      <c r="M482" s="139">
        <f t="shared" si="2"/>
        <v>19924.759999999998</v>
      </c>
    </row>
    <row r="483" spans="1:13">
      <c r="A483" s="168">
        <v>65</v>
      </c>
      <c r="B483" s="168" t="s">
        <v>2782</v>
      </c>
      <c r="C483" s="168" t="s">
        <v>2837</v>
      </c>
      <c r="D483" s="455" t="s">
        <v>1553</v>
      </c>
      <c r="E483" s="455" t="s">
        <v>2322</v>
      </c>
      <c r="F483" s="168" t="s">
        <v>1570</v>
      </c>
      <c r="G483" s="150">
        <v>3993.12</v>
      </c>
      <c r="H483" s="456">
        <v>4000</v>
      </c>
      <c r="I483" s="169">
        <v>0</v>
      </c>
      <c r="J483" s="168">
        <v>0</v>
      </c>
      <c r="K483" s="168"/>
      <c r="L483" s="168">
        <v>0</v>
      </c>
      <c r="M483" s="139">
        <f t="shared" si="2"/>
        <v>3993.12</v>
      </c>
    </row>
    <row r="484" spans="1:13">
      <c r="A484" s="168">
        <v>66</v>
      </c>
      <c r="B484" s="168" t="s">
        <v>2782</v>
      </c>
      <c r="C484" s="168" t="s">
        <v>2837</v>
      </c>
      <c r="D484" s="455" t="s">
        <v>1553</v>
      </c>
      <c r="E484" s="455" t="s">
        <v>2322</v>
      </c>
      <c r="F484" s="168" t="s">
        <v>1571</v>
      </c>
      <c r="G484" s="150">
        <v>8511.2800000000007</v>
      </c>
      <c r="H484" s="456">
        <v>8511</v>
      </c>
      <c r="I484" s="441">
        <v>0</v>
      </c>
      <c r="J484" s="168">
        <v>0</v>
      </c>
      <c r="K484" s="168"/>
      <c r="L484" s="168">
        <v>68288</v>
      </c>
      <c r="M484" s="139">
        <f t="shared" si="2"/>
        <v>8511.2800000000007</v>
      </c>
    </row>
    <row r="485" spans="1:13">
      <c r="A485" s="168">
        <v>80</v>
      </c>
      <c r="B485" s="168" t="s">
        <v>2782</v>
      </c>
      <c r="C485" s="168" t="s">
        <v>2837</v>
      </c>
      <c r="D485" s="455" t="s">
        <v>1553</v>
      </c>
      <c r="E485" s="455" t="s">
        <v>2322</v>
      </c>
      <c r="F485" s="168" t="s">
        <v>1572</v>
      </c>
      <c r="G485" s="150">
        <v>23781.27</v>
      </c>
      <c r="H485" s="456">
        <v>23842</v>
      </c>
      <c r="I485" s="441">
        <v>0</v>
      </c>
      <c r="J485" s="168">
        <v>0</v>
      </c>
      <c r="K485" s="168"/>
      <c r="L485" s="168">
        <v>3703</v>
      </c>
      <c r="M485" s="139">
        <f t="shared" si="2"/>
        <v>23781.27</v>
      </c>
    </row>
    <row r="486" spans="1:13">
      <c r="A486" s="168">
        <v>81</v>
      </c>
      <c r="B486" s="168" t="s">
        <v>2782</v>
      </c>
      <c r="C486" s="168" t="s">
        <v>2837</v>
      </c>
      <c r="D486" s="455" t="s">
        <v>1553</v>
      </c>
      <c r="E486" s="455" t="s">
        <v>2322</v>
      </c>
      <c r="F486" s="168" t="s">
        <v>1573</v>
      </c>
      <c r="G486" s="150">
        <v>45113.279999999999</v>
      </c>
      <c r="H486" s="456">
        <v>45213</v>
      </c>
      <c r="I486" s="441">
        <v>0</v>
      </c>
      <c r="J486" s="168">
        <v>0</v>
      </c>
      <c r="K486" s="168"/>
      <c r="L486" s="168">
        <v>847</v>
      </c>
      <c r="M486" s="139">
        <f t="shared" si="2"/>
        <v>45113.279999999999</v>
      </c>
    </row>
    <row r="487" spans="1:13">
      <c r="A487" s="168">
        <v>82</v>
      </c>
      <c r="B487" s="168" t="s">
        <v>2782</v>
      </c>
      <c r="C487" s="168" t="s">
        <v>2837</v>
      </c>
      <c r="D487" s="455" t="s">
        <v>1553</v>
      </c>
      <c r="E487" s="455" t="s">
        <v>2322</v>
      </c>
      <c r="F487" s="168" t="s">
        <v>1574</v>
      </c>
      <c r="G487" s="150">
        <v>49998.3</v>
      </c>
      <c r="H487" s="456">
        <v>50098</v>
      </c>
      <c r="I487" s="169">
        <v>0</v>
      </c>
      <c r="J487" s="168">
        <v>0</v>
      </c>
      <c r="K487" s="168"/>
      <c r="L487" s="168">
        <v>0</v>
      </c>
      <c r="M487" s="139">
        <f t="shared" si="2"/>
        <v>49998.3</v>
      </c>
    </row>
    <row r="488" spans="1:13">
      <c r="A488" s="168">
        <v>84</v>
      </c>
      <c r="B488" s="168" t="s">
        <v>2782</v>
      </c>
      <c r="C488" s="168" t="s">
        <v>2837</v>
      </c>
      <c r="D488" s="455" t="s">
        <v>1553</v>
      </c>
      <c r="E488" s="455" t="s">
        <v>2322</v>
      </c>
      <c r="F488" s="168" t="s">
        <v>1244</v>
      </c>
      <c r="G488" s="150">
        <v>24578.080000000002</v>
      </c>
      <c r="H488" s="456">
        <v>25000</v>
      </c>
      <c r="I488" s="441">
        <v>0</v>
      </c>
      <c r="J488" s="168">
        <v>0</v>
      </c>
      <c r="K488" s="168"/>
      <c r="L488" s="168">
        <v>0</v>
      </c>
      <c r="M488" s="139">
        <f t="shared" si="2"/>
        <v>24578.080000000002</v>
      </c>
    </row>
    <row r="489" spans="1:13">
      <c r="A489" s="168">
        <v>85</v>
      </c>
      <c r="B489" s="168" t="s">
        <v>2782</v>
      </c>
      <c r="C489" s="168" t="s">
        <v>2837</v>
      </c>
      <c r="D489" s="455" t="s">
        <v>1553</v>
      </c>
      <c r="E489" s="455" t="s">
        <v>2322</v>
      </c>
      <c r="F489" s="168" t="s">
        <v>1575</v>
      </c>
      <c r="G489" s="150">
        <v>4176.6499999999996</v>
      </c>
      <c r="H489" s="456">
        <v>4177</v>
      </c>
      <c r="I489" s="169">
        <v>0</v>
      </c>
      <c r="J489" s="168">
        <v>0</v>
      </c>
      <c r="K489" s="168"/>
      <c r="L489" s="168">
        <v>260145</v>
      </c>
      <c r="M489" s="139">
        <f t="shared" si="2"/>
        <v>4176.6499999999996</v>
      </c>
    </row>
    <row r="490" spans="1:13">
      <c r="A490" s="168">
        <v>86</v>
      </c>
      <c r="B490" s="168" t="s">
        <v>2782</v>
      </c>
      <c r="C490" s="168" t="s">
        <v>2837</v>
      </c>
      <c r="D490" s="455" t="s">
        <v>1553</v>
      </c>
      <c r="E490" s="455" t="s">
        <v>2322</v>
      </c>
      <c r="F490" s="168" t="s">
        <v>1576</v>
      </c>
      <c r="G490" s="150">
        <v>3597.3</v>
      </c>
      <c r="H490" s="456">
        <v>3697</v>
      </c>
      <c r="I490" s="169">
        <v>0</v>
      </c>
      <c r="J490" s="168">
        <v>0</v>
      </c>
      <c r="K490" s="168"/>
      <c r="L490" s="168">
        <v>0</v>
      </c>
      <c r="M490" s="139">
        <f t="shared" si="2"/>
        <v>3597.3</v>
      </c>
    </row>
    <row r="491" spans="1:13">
      <c r="A491" s="168">
        <v>100</v>
      </c>
      <c r="B491" s="168" t="s">
        <v>2782</v>
      </c>
      <c r="C491" s="168" t="s">
        <v>2837</v>
      </c>
      <c r="D491" s="455" t="s">
        <v>1553</v>
      </c>
      <c r="E491" s="455" t="s">
        <v>2322</v>
      </c>
      <c r="F491" s="168" t="s">
        <v>1579</v>
      </c>
      <c r="G491" s="150">
        <v>13232.54</v>
      </c>
      <c r="H491" s="456">
        <v>13300</v>
      </c>
      <c r="I491" s="441">
        <v>0</v>
      </c>
      <c r="J491" s="168">
        <v>0</v>
      </c>
      <c r="K491" s="168"/>
      <c r="L491" s="168">
        <v>0</v>
      </c>
      <c r="M491" s="139">
        <f t="shared" si="2"/>
        <v>13232.54</v>
      </c>
    </row>
    <row r="492" spans="1:13">
      <c r="A492" s="168">
        <v>31</v>
      </c>
      <c r="B492" s="168" t="s">
        <v>2782</v>
      </c>
      <c r="C492" s="168" t="s">
        <v>2841</v>
      </c>
      <c r="D492" s="455" t="s">
        <v>1553</v>
      </c>
      <c r="E492" s="455" t="s">
        <v>2323</v>
      </c>
      <c r="F492" s="168" t="s">
        <v>1565</v>
      </c>
      <c r="G492" s="150">
        <v>0</v>
      </c>
      <c r="H492" s="456">
        <v>0</v>
      </c>
      <c r="I492" s="168">
        <v>0</v>
      </c>
      <c r="J492" s="168">
        <v>0</v>
      </c>
      <c r="K492" s="168"/>
      <c r="L492" s="168">
        <v>0</v>
      </c>
      <c r="M492" s="139">
        <f t="shared" si="2"/>
        <v>0</v>
      </c>
    </row>
    <row r="493" spans="1:13">
      <c r="A493" s="168">
        <v>10</v>
      </c>
      <c r="B493" s="168" t="s">
        <v>2782</v>
      </c>
      <c r="C493" s="168" t="s">
        <v>2796</v>
      </c>
      <c r="D493" s="455" t="s">
        <v>1553</v>
      </c>
      <c r="E493" s="455" t="s">
        <v>624</v>
      </c>
      <c r="F493" s="168" t="s">
        <v>1558</v>
      </c>
      <c r="G493" s="150">
        <v>15034</v>
      </c>
      <c r="H493" s="456">
        <v>15100</v>
      </c>
      <c r="I493" s="623">
        <v>540</v>
      </c>
      <c r="J493" s="168">
        <v>540</v>
      </c>
      <c r="K493" s="168"/>
      <c r="L493" s="168">
        <v>0</v>
      </c>
      <c r="M493" s="139">
        <f t="shared" si="2"/>
        <v>14494</v>
      </c>
    </row>
    <row r="494" spans="1:13">
      <c r="A494" s="168">
        <v>50</v>
      </c>
      <c r="B494" s="168" t="s">
        <v>2782</v>
      </c>
      <c r="C494" s="168" t="s">
        <v>2796</v>
      </c>
      <c r="D494" s="455" t="s">
        <v>1553</v>
      </c>
      <c r="E494" s="455" t="s">
        <v>624</v>
      </c>
      <c r="F494" s="168" t="s">
        <v>1567</v>
      </c>
      <c r="G494" s="150">
        <v>0</v>
      </c>
      <c r="H494" s="456">
        <v>0</v>
      </c>
      <c r="I494" s="623">
        <v>0</v>
      </c>
      <c r="J494" s="168">
        <v>0</v>
      </c>
      <c r="K494" s="168"/>
      <c r="L494" s="168">
        <v>0</v>
      </c>
      <c r="M494" s="139">
        <f t="shared" si="2"/>
        <v>0</v>
      </c>
    </row>
    <row r="495" spans="1:13">
      <c r="A495" s="168">
        <v>66</v>
      </c>
      <c r="B495" s="168" t="s">
        <v>2782</v>
      </c>
      <c r="C495" s="168" t="s">
        <v>2796</v>
      </c>
      <c r="D495" s="455" t="s">
        <v>1553</v>
      </c>
      <c r="E495" s="455" t="s">
        <v>624</v>
      </c>
      <c r="F495" s="168" t="s">
        <v>1571</v>
      </c>
      <c r="G495" s="150">
        <v>3763</v>
      </c>
      <c r="H495" s="456">
        <v>4326</v>
      </c>
      <c r="I495" s="623">
        <v>2243</v>
      </c>
      <c r="J495" s="168">
        <v>2243</v>
      </c>
      <c r="K495" s="168"/>
      <c r="L495" s="168">
        <v>52</v>
      </c>
      <c r="M495" s="139">
        <f t="shared" si="2"/>
        <v>1520</v>
      </c>
    </row>
    <row r="496" spans="1:13">
      <c r="A496" s="168">
        <v>81</v>
      </c>
      <c r="B496" s="168" t="s">
        <v>2782</v>
      </c>
      <c r="C496" s="168" t="s">
        <v>2796</v>
      </c>
      <c r="D496" s="455" t="s">
        <v>1553</v>
      </c>
      <c r="E496" s="455" t="s">
        <v>624</v>
      </c>
      <c r="F496" s="168" t="s">
        <v>1573</v>
      </c>
      <c r="G496" s="150">
        <v>3853.8</v>
      </c>
      <c r="H496" s="456">
        <v>5079</v>
      </c>
      <c r="I496" s="623">
        <v>2614.75</v>
      </c>
      <c r="J496" s="168">
        <v>2614</v>
      </c>
      <c r="K496" s="168"/>
      <c r="L496" s="168">
        <v>5963</v>
      </c>
      <c r="M496" s="139">
        <f t="shared" si="2"/>
        <v>1239.0500000000002</v>
      </c>
    </row>
    <row r="497" spans="1:13">
      <c r="A497" s="168">
        <v>84</v>
      </c>
      <c r="B497" s="168" t="s">
        <v>2782</v>
      </c>
      <c r="C497" s="168" t="s">
        <v>2796</v>
      </c>
      <c r="D497" s="455" t="s">
        <v>1553</v>
      </c>
      <c r="E497" s="455" t="s">
        <v>624</v>
      </c>
      <c r="F497" s="168" t="s">
        <v>1244</v>
      </c>
      <c r="G497" s="150">
        <v>2726.69</v>
      </c>
      <c r="H497" s="456">
        <v>4000</v>
      </c>
      <c r="I497" s="623">
        <v>5425</v>
      </c>
      <c r="J497" s="168">
        <v>5425</v>
      </c>
      <c r="K497" s="168"/>
      <c r="L497" s="168">
        <v>1382</v>
      </c>
      <c r="M497" s="139">
        <f t="shared" si="2"/>
        <v>-2698.31</v>
      </c>
    </row>
    <row r="498" spans="1:13">
      <c r="A498" s="168">
        <v>100</v>
      </c>
      <c r="B498" s="168" t="s">
        <v>2782</v>
      </c>
      <c r="C498" s="168" t="s">
        <v>2796</v>
      </c>
      <c r="D498" s="455" t="s">
        <v>1553</v>
      </c>
      <c r="E498" s="455" t="s">
        <v>624</v>
      </c>
      <c r="F498" s="168" t="s">
        <v>1579</v>
      </c>
      <c r="G498" s="150">
        <v>1207.5</v>
      </c>
      <c r="H498" s="456">
        <v>1300</v>
      </c>
      <c r="I498" s="623">
        <v>1221.5999999999999</v>
      </c>
      <c r="J498" s="168">
        <v>1221</v>
      </c>
      <c r="K498" s="168"/>
      <c r="L498" s="168">
        <v>0</v>
      </c>
      <c r="M498" s="139">
        <f t="shared" si="2"/>
        <v>-14.099999999999909</v>
      </c>
    </row>
    <row r="499" spans="1:13">
      <c r="A499" s="168">
        <v>31</v>
      </c>
      <c r="B499" s="168" t="s">
        <v>2782</v>
      </c>
      <c r="C499" s="168" t="s">
        <v>2847</v>
      </c>
      <c r="D499" s="455" t="s">
        <v>1553</v>
      </c>
      <c r="E499" s="455" t="s">
        <v>190</v>
      </c>
      <c r="F499" s="168" t="s">
        <v>1565</v>
      </c>
      <c r="G499" s="150">
        <v>1140.06</v>
      </c>
      <c r="H499" s="456">
        <v>1200</v>
      </c>
      <c r="I499" s="624">
        <v>0</v>
      </c>
      <c r="J499" s="168">
        <v>0</v>
      </c>
      <c r="K499" s="168"/>
      <c r="L499" s="168">
        <v>0</v>
      </c>
      <c r="M499" s="139">
        <f t="shared" si="2"/>
        <v>1140.06</v>
      </c>
    </row>
    <row r="500" spans="1:13">
      <c r="A500" s="168">
        <v>52</v>
      </c>
      <c r="B500" s="168" t="s">
        <v>2782</v>
      </c>
      <c r="C500" s="168" t="s">
        <v>2847</v>
      </c>
      <c r="D500" s="455" t="s">
        <v>1553</v>
      </c>
      <c r="E500" s="455" t="s">
        <v>190</v>
      </c>
      <c r="F500" s="168" t="s">
        <v>1568</v>
      </c>
      <c r="G500" s="150">
        <v>181641.19</v>
      </c>
      <c r="H500" s="456">
        <v>182000</v>
      </c>
      <c r="I500" s="623">
        <v>289115.05</v>
      </c>
      <c r="J500" s="168">
        <v>289115</v>
      </c>
      <c r="K500" s="168"/>
      <c r="L500" s="168">
        <v>395</v>
      </c>
      <c r="M500" s="139">
        <f t="shared" si="2"/>
        <v>-107473.85999999999</v>
      </c>
    </row>
    <row r="501" spans="1:13">
      <c r="A501" s="168">
        <v>80</v>
      </c>
      <c r="B501" s="168" t="s">
        <v>2782</v>
      </c>
      <c r="C501" s="168" t="s">
        <v>2847</v>
      </c>
      <c r="D501" s="455" t="s">
        <v>1553</v>
      </c>
      <c r="E501" s="455" t="s">
        <v>190</v>
      </c>
      <c r="F501" s="168" t="s">
        <v>1572</v>
      </c>
      <c r="G501" s="150">
        <v>0</v>
      </c>
      <c r="H501" s="456">
        <v>0</v>
      </c>
      <c r="I501" s="623">
        <v>12610.66</v>
      </c>
      <c r="J501" s="168">
        <v>12610</v>
      </c>
      <c r="K501" s="168"/>
      <c r="L501" s="168">
        <v>0</v>
      </c>
      <c r="M501" s="139">
        <f t="shared" si="2"/>
        <v>-12610.66</v>
      </c>
    </row>
    <row r="502" spans="1:13">
      <c r="A502" s="168">
        <v>10</v>
      </c>
      <c r="B502" s="168" t="s">
        <v>2782</v>
      </c>
      <c r="C502" s="168" t="s">
        <v>2797</v>
      </c>
      <c r="D502" s="455" t="s">
        <v>1553</v>
      </c>
      <c r="E502" s="455" t="s">
        <v>626</v>
      </c>
      <c r="F502" s="168" t="s">
        <v>1558</v>
      </c>
      <c r="G502" s="150">
        <v>4543.62</v>
      </c>
      <c r="H502" s="456">
        <v>4600</v>
      </c>
      <c r="I502" s="441">
        <v>4059.5</v>
      </c>
      <c r="J502" s="168">
        <v>4059</v>
      </c>
      <c r="K502" s="168"/>
      <c r="L502" s="168">
        <v>0</v>
      </c>
      <c r="M502" s="139">
        <f t="shared" si="2"/>
        <v>484.11999999999989</v>
      </c>
    </row>
    <row r="503" spans="1:13">
      <c r="A503" s="168">
        <v>21</v>
      </c>
      <c r="B503" s="168" t="s">
        <v>2782</v>
      </c>
      <c r="C503" s="168" t="s">
        <v>2797</v>
      </c>
      <c r="D503" s="455" t="s">
        <v>1553</v>
      </c>
      <c r="E503" s="455" t="s">
        <v>628</v>
      </c>
      <c r="F503" s="168" t="s">
        <v>1560</v>
      </c>
      <c r="G503" s="150">
        <v>1479</v>
      </c>
      <c r="H503" s="456">
        <v>1500</v>
      </c>
      <c r="I503" s="169">
        <v>0</v>
      </c>
      <c r="J503" s="168">
        <v>0</v>
      </c>
      <c r="K503" s="168"/>
      <c r="L503" s="168">
        <v>1793</v>
      </c>
      <c r="M503" s="139">
        <f t="shared" si="2"/>
        <v>1479</v>
      </c>
    </row>
    <row r="504" spans="1:13">
      <c r="A504" s="168">
        <v>10</v>
      </c>
      <c r="B504" s="168" t="s">
        <v>2782</v>
      </c>
      <c r="C504" s="168" t="s">
        <v>2798</v>
      </c>
      <c r="D504" s="455" t="s">
        <v>1553</v>
      </c>
      <c r="E504" s="455" t="s">
        <v>628</v>
      </c>
      <c r="F504" s="168" t="s">
        <v>1558</v>
      </c>
      <c r="G504" s="150">
        <v>77300.97</v>
      </c>
      <c r="H504" s="456">
        <v>77400</v>
      </c>
      <c r="I504" s="441">
        <v>130345.51</v>
      </c>
      <c r="J504" s="168">
        <v>130345</v>
      </c>
      <c r="K504" s="168"/>
      <c r="L504" s="168">
        <v>61514</v>
      </c>
      <c r="M504" s="139">
        <f t="shared" si="2"/>
        <v>-53044.539999999994</v>
      </c>
    </row>
    <row r="505" spans="1:13">
      <c r="A505" s="168">
        <v>10</v>
      </c>
      <c r="B505" s="168" t="s">
        <v>2782</v>
      </c>
      <c r="C505" s="168" t="s">
        <v>2799</v>
      </c>
      <c r="D505" s="455" t="s">
        <v>1553</v>
      </c>
      <c r="E505" s="455" t="s">
        <v>2326</v>
      </c>
      <c r="F505" s="168" t="s">
        <v>1558</v>
      </c>
      <c r="G505" s="150">
        <v>14594.92</v>
      </c>
      <c r="H505" s="456">
        <v>15000</v>
      </c>
      <c r="I505" s="160">
        <v>0</v>
      </c>
      <c r="J505" s="168">
        <v>0</v>
      </c>
      <c r="K505" s="168"/>
      <c r="L505" s="168">
        <v>6416</v>
      </c>
      <c r="M505" s="139">
        <f t="shared" si="2"/>
        <v>14594.92</v>
      </c>
    </row>
    <row r="506" spans="1:13">
      <c r="A506" s="168">
        <v>10</v>
      </c>
      <c r="B506" s="168" t="s">
        <v>2782</v>
      </c>
      <c r="C506" s="168" t="s">
        <v>2800</v>
      </c>
      <c r="D506" s="455" t="s">
        <v>1553</v>
      </c>
      <c r="E506" s="455" t="s">
        <v>631</v>
      </c>
      <c r="F506" s="168" t="s">
        <v>1558</v>
      </c>
      <c r="G506" s="150">
        <v>1484.17</v>
      </c>
      <c r="H506" s="456">
        <v>1650</v>
      </c>
      <c r="I506" s="604">
        <v>3495.57</v>
      </c>
      <c r="J506" s="168">
        <v>3495</v>
      </c>
      <c r="K506" s="168"/>
      <c r="L506" s="168">
        <v>30439</v>
      </c>
      <c r="M506" s="139">
        <f t="shared" si="2"/>
        <v>-2011.4</v>
      </c>
    </row>
    <row r="507" spans="1:13">
      <c r="A507" s="168">
        <v>20</v>
      </c>
      <c r="B507" s="168" t="s">
        <v>2782</v>
      </c>
      <c r="C507" s="168" t="s">
        <v>2800</v>
      </c>
      <c r="D507" s="455" t="s">
        <v>1553</v>
      </c>
      <c r="E507" s="455" t="s">
        <v>631</v>
      </c>
      <c r="F507" s="168" t="s">
        <v>1559</v>
      </c>
      <c r="G507" s="150">
        <v>121.04</v>
      </c>
      <c r="H507" s="456">
        <v>220</v>
      </c>
      <c r="I507" s="604">
        <v>307.48</v>
      </c>
      <c r="J507" s="168">
        <v>307</v>
      </c>
      <c r="K507" s="168"/>
      <c r="L507" s="168">
        <v>0</v>
      </c>
      <c r="M507" s="139">
        <f t="shared" si="2"/>
        <v>-186.44</v>
      </c>
    </row>
    <row r="508" spans="1:13">
      <c r="A508" s="168">
        <v>21</v>
      </c>
      <c r="B508" s="168" t="s">
        <v>2782</v>
      </c>
      <c r="C508" s="168" t="s">
        <v>2800</v>
      </c>
      <c r="D508" s="455" t="s">
        <v>1553</v>
      </c>
      <c r="E508" s="455" t="s">
        <v>631</v>
      </c>
      <c r="F508" s="168" t="s">
        <v>1560</v>
      </c>
      <c r="G508" s="150">
        <v>0</v>
      </c>
      <c r="H508" s="456">
        <v>0</v>
      </c>
      <c r="I508" s="603">
        <v>0</v>
      </c>
      <c r="J508" s="168">
        <v>0</v>
      </c>
      <c r="K508" s="168"/>
      <c r="L508" s="168">
        <v>761353</v>
      </c>
      <c r="M508" s="139">
        <f t="shared" si="2"/>
        <v>0</v>
      </c>
    </row>
    <row r="509" spans="1:13">
      <c r="A509" s="168">
        <v>22</v>
      </c>
      <c r="B509" s="168" t="s">
        <v>2782</v>
      </c>
      <c r="C509" s="168" t="s">
        <v>2800</v>
      </c>
      <c r="D509" s="455" t="s">
        <v>1553</v>
      </c>
      <c r="E509" s="455" t="s">
        <v>631</v>
      </c>
      <c r="F509" s="168" t="s">
        <v>1561</v>
      </c>
      <c r="G509" s="150">
        <v>0</v>
      </c>
      <c r="H509" s="456">
        <v>0</v>
      </c>
      <c r="I509" s="603">
        <v>0</v>
      </c>
      <c r="J509" s="168">
        <v>0</v>
      </c>
      <c r="K509" s="168"/>
      <c r="L509" s="168">
        <v>630720</v>
      </c>
      <c r="M509" s="139">
        <f t="shared" si="2"/>
        <v>0</v>
      </c>
    </row>
    <row r="510" spans="1:13">
      <c r="A510" s="168">
        <v>25</v>
      </c>
      <c r="B510" s="168" t="s">
        <v>2782</v>
      </c>
      <c r="C510" s="168" t="s">
        <v>2800</v>
      </c>
      <c r="D510" s="455" t="s">
        <v>1553</v>
      </c>
      <c r="E510" s="455" t="s">
        <v>631</v>
      </c>
      <c r="F510" s="168" t="s">
        <v>1562</v>
      </c>
      <c r="G510" s="150">
        <v>246.51</v>
      </c>
      <c r="H510" s="456">
        <v>286</v>
      </c>
      <c r="I510" s="604">
        <v>0</v>
      </c>
      <c r="J510" s="168">
        <v>0</v>
      </c>
      <c r="K510" s="168"/>
      <c r="L510" s="168">
        <v>235827</v>
      </c>
      <c r="M510" s="139">
        <f t="shared" si="2"/>
        <v>246.51</v>
      </c>
    </row>
    <row r="511" spans="1:13">
      <c r="A511" s="168">
        <v>27</v>
      </c>
      <c r="B511" s="168" t="s">
        <v>2782</v>
      </c>
      <c r="C511" s="168" t="s">
        <v>2800</v>
      </c>
      <c r="D511" s="455" t="s">
        <v>1553</v>
      </c>
      <c r="E511" s="455" t="s">
        <v>631</v>
      </c>
      <c r="F511" s="168" t="s">
        <v>1563</v>
      </c>
      <c r="G511" s="150">
        <v>520.13</v>
      </c>
      <c r="H511" s="456">
        <v>650</v>
      </c>
      <c r="I511" s="604">
        <v>314.2</v>
      </c>
      <c r="J511" s="168">
        <v>314</v>
      </c>
      <c r="K511" s="168"/>
      <c r="L511" s="168">
        <v>36703</v>
      </c>
      <c r="M511" s="139">
        <f t="shared" si="2"/>
        <v>205.93</v>
      </c>
    </row>
    <row r="512" spans="1:13">
      <c r="A512" s="168">
        <v>30</v>
      </c>
      <c r="B512" s="168" t="s">
        <v>2782</v>
      </c>
      <c r="C512" s="168" t="s">
        <v>2800</v>
      </c>
      <c r="D512" s="455" t="s">
        <v>1553</v>
      </c>
      <c r="E512" s="455" t="s">
        <v>631</v>
      </c>
      <c r="F512" s="168" t="s">
        <v>1564</v>
      </c>
      <c r="G512" s="150">
        <v>576.78</v>
      </c>
      <c r="H512" s="456">
        <v>800</v>
      </c>
      <c r="I512" s="604">
        <v>511.46</v>
      </c>
      <c r="J512" s="168">
        <v>511</v>
      </c>
      <c r="K512" s="168"/>
      <c r="L512" s="168">
        <v>1405999</v>
      </c>
      <c r="M512" s="139">
        <f t="shared" si="2"/>
        <v>65.319999999999993</v>
      </c>
    </row>
    <row r="513" spans="1:15">
      <c r="A513" s="168">
        <v>31</v>
      </c>
      <c r="B513" s="168" t="s">
        <v>2782</v>
      </c>
      <c r="C513" s="168" t="s">
        <v>2800</v>
      </c>
      <c r="D513" s="455" t="s">
        <v>1553</v>
      </c>
      <c r="E513" s="455" t="s">
        <v>631</v>
      </c>
      <c r="F513" s="168" t="s">
        <v>1565</v>
      </c>
      <c r="G513" s="150">
        <v>0</v>
      </c>
      <c r="H513" s="456">
        <v>0</v>
      </c>
      <c r="I513" s="604">
        <v>51.41</v>
      </c>
      <c r="J513" s="168">
        <v>52</v>
      </c>
      <c r="K513" s="168"/>
      <c r="L513" s="168">
        <v>695507</v>
      </c>
      <c r="M513" s="139">
        <f t="shared" si="2"/>
        <v>-51.41</v>
      </c>
    </row>
    <row r="514" spans="1:15">
      <c r="A514" s="168">
        <v>32</v>
      </c>
      <c r="B514" s="168" t="s">
        <v>2782</v>
      </c>
      <c r="C514" s="168" t="s">
        <v>2800</v>
      </c>
      <c r="D514" s="455" t="s">
        <v>1553</v>
      </c>
      <c r="E514" s="455" t="s">
        <v>631</v>
      </c>
      <c r="F514" s="168" t="s">
        <v>1566</v>
      </c>
      <c r="G514" s="150">
        <v>0</v>
      </c>
      <c r="H514" s="456">
        <v>0</v>
      </c>
      <c r="I514" s="604">
        <v>0</v>
      </c>
      <c r="J514" s="168">
        <v>0</v>
      </c>
      <c r="K514" s="168"/>
      <c r="L514" s="168">
        <v>0</v>
      </c>
      <c r="M514" s="139">
        <f t="shared" si="2"/>
        <v>0</v>
      </c>
      <c r="N514" s="139" t="s">
        <v>248</v>
      </c>
      <c r="O514" s="139">
        <v>15341.03</v>
      </c>
    </row>
    <row r="515" spans="1:15">
      <c r="A515" s="168">
        <v>50</v>
      </c>
      <c r="B515" s="168" t="s">
        <v>2782</v>
      </c>
      <c r="C515" s="168" t="s">
        <v>2800</v>
      </c>
      <c r="D515" s="455" t="s">
        <v>1553</v>
      </c>
      <c r="E515" s="455" t="s">
        <v>631</v>
      </c>
      <c r="F515" s="168" t="s">
        <v>1567</v>
      </c>
      <c r="G515" s="150">
        <v>91601.62</v>
      </c>
      <c r="H515" s="456">
        <v>100000</v>
      </c>
      <c r="I515" s="604">
        <v>106960.21</v>
      </c>
      <c r="J515" s="168">
        <v>106961</v>
      </c>
      <c r="K515" s="168"/>
      <c r="L515" s="168">
        <v>106961</v>
      </c>
      <c r="M515" s="139">
        <f t="shared" si="2"/>
        <v>-15358.590000000011</v>
      </c>
    </row>
    <row r="516" spans="1:15">
      <c r="A516" s="168">
        <v>63</v>
      </c>
      <c r="B516" s="168" t="s">
        <v>2782</v>
      </c>
      <c r="C516" s="168" t="s">
        <v>2800</v>
      </c>
      <c r="D516" s="455" t="s">
        <v>1553</v>
      </c>
      <c r="E516" s="455" t="s">
        <v>631</v>
      </c>
      <c r="F516" s="168" t="s">
        <v>1229</v>
      </c>
      <c r="G516" s="150">
        <v>0</v>
      </c>
      <c r="H516" s="456">
        <v>0</v>
      </c>
      <c r="I516" s="604">
        <v>0</v>
      </c>
      <c r="J516" s="168">
        <v>0</v>
      </c>
      <c r="K516" s="168"/>
      <c r="L516" s="168">
        <v>199457</v>
      </c>
      <c r="M516" s="139">
        <f t="shared" si="2"/>
        <v>0</v>
      </c>
    </row>
    <row r="517" spans="1:15">
      <c r="A517" s="168">
        <v>80</v>
      </c>
      <c r="B517" s="168" t="s">
        <v>2782</v>
      </c>
      <c r="C517" s="168" t="s">
        <v>2800</v>
      </c>
      <c r="D517" s="455" t="s">
        <v>1553</v>
      </c>
      <c r="E517" s="455" t="s">
        <v>631</v>
      </c>
      <c r="F517" s="168" t="s">
        <v>1572</v>
      </c>
      <c r="G517" s="150">
        <v>1060.3800000000001</v>
      </c>
      <c r="H517" s="456">
        <v>1300</v>
      </c>
      <c r="I517" s="604">
        <v>5180.95</v>
      </c>
      <c r="J517" s="168">
        <v>5180</v>
      </c>
      <c r="K517" s="168"/>
      <c r="L517" s="168">
        <v>0</v>
      </c>
      <c r="M517" s="139">
        <f t="shared" si="2"/>
        <v>-4120.57</v>
      </c>
    </row>
    <row r="518" spans="1:15">
      <c r="A518" s="168">
        <v>90</v>
      </c>
      <c r="B518" s="168" t="s">
        <v>2782</v>
      </c>
      <c r="C518" s="168" t="s">
        <v>2800</v>
      </c>
      <c r="D518" s="455" t="s">
        <v>1553</v>
      </c>
      <c r="E518" s="455" t="s">
        <v>631</v>
      </c>
      <c r="F518" s="168" t="s">
        <v>1240</v>
      </c>
      <c r="G518" s="150">
        <v>0</v>
      </c>
      <c r="H518" s="456">
        <v>0</v>
      </c>
      <c r="I518" s="604">
        <v>0</v>
      </c>
      <c r="J518" s="168">
        <v>0</v>
      </c>
      <c r="K518" s="168"/>
      <c r="L518" s="168">
        <v>0</v>
      </c>
      <c r="M518" s="139">
        <f t="shared" si="2"/>
        <v>0</v>
      </c>
    </row>
    <row r="519" spans="1:15">
      <c r="A519" s="168">
        <v>91</v>
      </c>
      <c r="B519" s="168" t="s">
        <v>2782</v>
      </c>
      <c r="C519" s="168" t="s">
        <v>2800</v>
      </c>
      <c r="D519" s="455" t="s">
        <v>1553</v>
      </c>
      <c r="E519" s="455" t="s">
        <v>631</v>
      </c>
      <c r="F519" s="168" t="s">
        <v>1577</v>
      </c>
      <c r="G519" s="150">
        <v>0</v>
      </c>
      <c r="H519" s="456">
        <v>0</v>
      </c>
      <c r="I519" s="604">
        <v>0</v>
      </c>
      <c r="J519" s="168">
        <v>0</v>
      </c>
      <c r="K519" s="168"/>
      <c r="L519" s="168">
        <v>28180</v>
      </c>
      <c r="M519" s="139">
        <f t="shared" si="2"/>
        <v>0</v>
      </c>
    </row>
    <row r="520" spans="1:15">
      <c r="A520" s="168">
        <v>92</v>
      </c>
      <c r="B520" s="168" t="s">
        <v>2782</v>
      </c>
      <c r="C520" s="168" t="s">
        <v>2800</v>
      </c>
      <c r="D520" s="455" t="s">
        <v>1553</v>
      </c>
      <c r="E520" s="455" t="s">
        <v>631</v>
      </c>
      <c r="F520" s="168" t="s">
        <v>1578</v>
      </c>
      <c r="G520" s="150">
        <v>0</v>
      </c>
      <c r="H520" s="456">
        <v>0</v>
      </c>
      <c r="I520" s="604">
        <v>0</v>
      </c>
      <c r="J520" s="168">
        <v>0</v>
      </c>
      <c r="K520" s="168"/>
      <c r="L520" s="168">
        <v>97658</v>
      </c>
      <c r="M520" s="139">
        <f t="shared" si="2"/>
        <v>0</v>
      </c>
    </row>
    <row r="521" spans="1:15">
      <c r="A521" s="168">
        <v>100</v>
      </c>
      <c r="B521" s="168" t="s">
        <v>2782</v>
      </c>
      <c r="C521" s="168" t="s">
        <v>2800</v>
      </c>
      <c r="D521" s="455" t="s">
        <v>1553</v>
      </c>
      <c r="E521" s="455" t="s">
        <v>631</v>
      </c>
      <c r="F521" s="168" t="s">
        <v>1579</v>
      </c>
      <c r="G521" s="150">
        <v>6806.68</v>
      </c>
      <c r="H521" s="456">
        <v>7000</v>
      </c>
      <c r="I521" s="604">
        <v>14279.79</v>
      </c>
      <c r="J521" s="168">
        <v>14279</v>
      </c>
      <c r="K521" s="168"/>
      <c r="L521" s="168">
        <v>12642</v>
      </c>
      <c r="M521" s="139">
        <f t="shared" si="2"/>
        <v>-7473.1100000000006</v>
      </c>
    </row>
    <row r="522" spans="1:15">
      <c r="A522" s="168">
        <v>10</v>
      </c>
      <c r="B522" s="168" t="s">
        <v>2782</v>
      </c>
      <c r="C522" s="168" t="s">
        <v>2801</v>
      </c>
      <c r="D522" s="455" t="s">
        <v>1553</v>
      </c>
      <c r="E522" s="455" t="s">
        <v>633</v>
      </c>
      <c r="F522" s="168" t="s">
        <v>1558</v>
      </c>
      <c r="G522" s="150">
        <v>85157.9</v>
      </c>
      <c r="H522" s="456">
        <v>86000</v>
      </c>
      <c r="I522" s="452">
        <v>106541.93</v>
      </c>
      <c r="J522" s="168">
        <v>106541</v>
      </c>
      <c r="K522" s="168"/>
      <c r="L522" s="168">
        <v>3154</v>
      </c>
      <c r="M522" s="139">
        <f t="shared" si="2"/>
        <v>-21384.03</v>
      </c>
    </row>
    <row r="523" spans="1:15">
      <c r="A523" s="168">
        <v>20</v>
      </c>
      <c r="B523" s="168" t="s">
        <v>2782</v>
      </c>
      <c r="C523" s="168" t="s">
        <v>2801</v>
      </c>
      <c r="D523" s="455" t="s">
        <v>1553</v>
      </c>
      <c r="E523" s="455" t="s">
        <v>633</v>
      </c>
      <c r="F523" s="168" t="s">
        <v>1559</v>
      </c>
      <c r="G523" s="150">
        <v>13967.03</v>
      </c>
      <c r="H523" s="456">
        <v>14000</v>
      </c>
      <c r="I523" s="452">
        <v>37008.720000000001</v>
      </c>
      <c r="J523" s="168">
        <v>37008</v>
      </c>
      <c r="K523" s="168"/>
      <c r="L523" s="168">
        <v>0</v>
      </c>
      <c r="M523" s="139">
        <f t="shared" si="2"/>
        <v>-23041.690000000002</v>
      </c>
    </row>
    <row r="524" spans="1:15">
      <c r="A524" s="168">
        <v>21</v>
      </c>
      <c r="B524" s="168" t="s">
        <v>2782</v>
      </c>
      <c r="C524" s="168" t="s">
        <v>2801</v>
      </c>
      <c r="D524" s="455" t="s">
        <v>1553</v>
      </c>
      <c r="E524" s="455" t="s">
        <v>633</v>
      </c>
      <c r="F524" s="168" t="s">
        <v>1560</v>
      </c>
      <c r="G524" s="150">
        <v>0</v>
      </c>
      <c r="H524" s="456">
        <v>0</v>
      </c>
      <c r="I524" s="462">
        <v>0</v>
      </c>
      <c r="J524" s="168">
        <v>0</v>
      </c>
      <c r="K524" s="168"/>
      <c r="L524" s="168">
        <v>0</v>
      </c>
      <c r="M524" s="139">
        <f t="shared" si="2"/>
        <v>0</v>
      </c>
    </row>
    <row r="525" spans="1:15">
      <c r="A525" s="168">
        <v>22</v>
      </c>
      <c r="B525" s="168" t="s">
        <v>2782</v>
      </c>
      <c r="C525" s="168" t="s">
        <v>2801</v>
      </c>
      <c r="D525" s="455" t="s">
        <v>1553</v>
      </c>
      <c r="E525" s="455" t="s">
        <v>633</v>
      </c>
      <c r="F525" s="168" t="s">
        <v>1561</v>
      </c>
      <c r="G525" s="150">
        <v>0</v>
      </c>
      <c r="H525" s="456">
        <v>3400</v>
      </c>
      <c r="I525" s="462">
        <v>0</v>
      </c>
      <c r="J525" s="168">
        <v>0</v>
      </c>
      <c r="K525" s="168"/>
      <c r="L525" s="168">
        <v>0</v>
      </c>
      <c r="M525" s="139">
        <f t="shared" ref="M525:M588" si="3">G525-I525</f>
        <v>0</v>
      </c>
    </row>
    <row r="526" spans="1:15">
      <c r="A526" s="168">
        <v>25</v>
      </c>
      <c r="B526" s="168" t="s">
        <v>2782</v>
      </c>
      <c r="C526" s="168" t="s">
        <v>2801</v>
      </c>
      <c r="D526" s="455" t="s">
        <v>1553</v>
      </c>
      <c r="E526" s="455" t="s">
        <v>633</v>
      </c>
      <c r="F526" s="168" t="s">
        <v>1562</v>
      </c>
      <c r="G526" s="150">
        <v>23759.62</v>
      </c>
      <c r="H526" s="456">
        <v>24000</v>
      </c>
      <c r="I526" s="452">
        <v>6761.46</v>
      </c>
      <c r="J526" s="168">
        <v>6761</v>
      </c>
      <c r="K526" s="168"/>
      <c r="L526" s="168">
        <v>0</v>
      </c>
      <c r="M526" s="139">
        <f t="shared" si="3"/>
        <v>16998.16</v>
      </c>
      <c r="N526" s="139" t="s">
        <v>2962</v>
      </c>
      <c r="O526" s="139">
        <v>1249846.3500000001</v>
      </c>
    </row>
    <row r="527" spans="1:15" s="158" customFormat="1">
      <c r="A527" s="168">
        <v>27</v>
      </c>
      <c r="B527" s="168" t="s">
        <v>2782</v>
      </c>
      <c r="C527" s="168" t="s">
        <v>2801</v>
      </c>
      <c r="D527" s="455" t="s">
        <v>1553</v>
      </c>
      <c r="E527" s="455" t="s">
        <v>633</v>
      </c>
      <c r="F527" s="168" t="s">
        <v>1563</v>
      </c>
      <c r="G527" s="150">
        <v>98124.479999999996</v>
      </c>
      <c r="H527" s="456">
        <v>99000</v>
      </c>
      <c r="I527" s="452">
        <v>96572.19</v>
      </c>
      <c r="J527" s="168">
        <v>96572</v>
      </c>
      <c r="K527" s="462"/>
      <c r="L527" s="462">
        <v>1344488</v>
      </c>
      <c r="M527" s="139">
        <f t="shared" si="3"/>
        <v>1552.2899999999936</v>
      </c>
    </row>
    <row r="528" spans="1:15">
      <c r="A528" s="168">
        <v>30</v>
      </c>
      <c r="B528" s="168" t="s">
        <v>2782</v>
      </c>
      <c r="C528" s="168" t="s">
        <v>2801</v>
      </c>
      <c r="D528" s="455" t="s">
        <v>1553</v>
      </c>
      <c r="E528" s="455" t="s">
        <v>633</v>
      </c>
      <c r="F528" s="168" t="s">
        <v>1564</v>
      </c>
      <c r="G528" s="150">
        <v>13808.23</v>
      </c>
      <c r="H528" s="456">
        <v>14000</v>
      </c>
      <c r="I528" s="452">
        <v>0</v>
      </c>
      <c r="J528" s="168">
        <v>0</v>
      </c>
      <c r="K528" s="168"/>
      <c r="L528" s="168">
        <v>86573</v>
      </c>
      <c r="M528" s="139">
        <f t="shared" si="3"/>
        <v>13808.23</v>
      </c>
    </row>
    <row r="529" spans="1:15">
      <c r="A529" s="168">
        <v>31</v>
      </c>
      <c r="B529" s="168" t="s">
        <v>2782</v>
      </c>
      <c r="C529" s="168" t="s">
        <v>2801</v>
      </c>
      <c r="D529" s="455" t="s">
        <v>1553</v>
      </c>
      <c r="E529" s="455" t="s">
        <v>633</v>
      </c>
      <c r="F529" s="168" t="s">
        <v>1565</v>
      </c>
      <c r="G529" s="150">
        <v>5952.23</v>
      </c>
      <c r="H529" s="456">
        <v>6000</v>
      </c>
      <c r="I529" s="452">
        <v>5963.98</v>
      </c>
      <c r="J529" s="168">
        <v>5963</v>
      </c>
      <c r="K529" s="168"/>
      <c r="L529" s="168">
        <v>0</v>
      </c>
      <c r="M529" s="139">
        <f t="shared" si="3"/>
        <v>-11.75</v>
      </c>
    </row>
    <row r="530" spans="1:15">
      <c r="A530" s="168">
        <v>32</v>
      </c>
      <c r="B530" s="168" t="s">
        <v>2782</v>
      </c>
      <c r="C530" s="168" t="s">
        <v>2801</v>
      </c>
      <c r="D530" s="455" t="s">
        <v>1553</v>
      </c>
      <c r="E530" s="455" t="s">
        <v>633</v>
      </c>
      <c r="F530" s="168" t="s">
        <v>1566</v>
      </c>
      <c r="G530" s="150">
        <v>767.13</v>
      </c>
      <c r="H530" s="456">
        <v>1000</v>
      </c>
      <c r="I530" s="452">
        <v>1792.26</v>
      </c>
      <c r="J530" s="168">
        <v>1793</v>
      </c>
      <c r="K530" s="168"/>
      <c r="L530" s="168">
        <v>280384</v>
      </c>
      <c r="M530" s="139">
        <f t="shared" si="3"/>
        <v>-1025.1300000000001</v>
      </c>
    </row>
    <row r="531" spans="1:15" s="158" customFormat="1">
      <c r="A531" s="168">
        <v>50</v>
      </c>
      <c r="B531" s="168" t="s">
        <v>2782</v>
      </c>
      <c r="C531" s="168" t="s">
        <v>2801</v>
      </c>
      <c r="D531" s="455" t="s">
        <v>1553</v>
      </c>
      <c r="E531" s="455" t="s">
        <v>633</v>
      </c>
      <c r="F531" s="168" t="s">
        <v>1567</v>
      </c>
      <c r="G531" s="150">
        <v>628505.38</v>
      </c>
      <c r="H531" s="456">
        <v>630000</v>
      </c>
      <c r="I531" s="452">
        <v>199457.77</v>
      </c>
      <c r="J531" s="168">
        <v>199457</v>
      </c>
      <c r="K531" s="462"/>
      <c r="L531" s="462">
        <v>179980</v>
      </c>
      <c r="M531" s="139">
        <f t="shared" si="3"/>
        <v>429047.61</v>
      </c>
    </row>
    <row r="532" spans="1:15">
      <c r="A532" s="168">
        <v>63</v>
      </c>
      <c r="B532" s="168" t="s">
        <v>2782</v>
      </c>
      <c r="C532" s="168" t="s">
        <v>2801</v>
      </c>
      <c r="D532" s="455" t="s">
        <v>1553</v>
      </c>
      <c r="E532" s="455" t="s">
        <v>633</v>
      </c>
      <c r="F532" s="168" t="s">
        <v>1229</v>
      </c>
      <c r="G532" s="150">
        <v>4168.29</v>
      </c>
      <c r="H532" s="456">
        <v>4200</v>
      </c>
      <c r="I532" s="452">
        <v>1476.3</v>
      </c>
      <c r="J532" s="168">
        <v>1476</v>
      </c>
      <c r="K532" s="168"/>
      <c r="L532" s="168">
        <v>289115</v>
      </c>
      <c r="M532" s="139">
        <f t="shared" si="3"/>
        <v>2691.99</v>
      </c>
    </row>
    <row r="533" spans="1:15">
      <c r="A533" s="168">
        <v>66</v>
      </c>
      <c r="B533" s="168" t="s">
        <v>2782</v>
      </c>
      <c r="C533" s="168" t="s">
        <v>2801</v>
      </c>
      <c r="D533" s="455" t="s">
        <v>1553</v>
      </c>
      <c r="E533" s="455" t="s">
        <v>633</v>
      </c>
      <c r="F533" s="168" t="s">
        <v>1571</v>
      </c>
      <c r="G533" s="150">
        <v>0</v>
      </c>
      <c r="H533" s="456">
        <v>0</v>
      </c>
      <c r="I533" s="452">
        <v>126.55</v>
      </c>
      <c r="J533" s="168">
        <v>126</v>
      </c>
      <c r="K533" s="168"/>
      <c r="L533" s="168">
        <v>1401</v>
      </c>
      <c r="M533" s="139">
        <f t="shared" si="3"/>
        <v>-126.55</v>
      </c>
    </row>
    <row r="534" spans="1:15">
      <c r="A534" s="168">
        <v>80</v>
      </c>
      <c r="B534" s="168" t="s">
        <v>2782</v>
      </c>
      <c r="C534" s="168" t="s">
        <v>2801</v>
      </c>
      <c r="D534" s="455" t="s">
        <v>1553</v>
      </c>
      <c r="E534" s="455" t="s">
        <v>633</v>
      </c>
      <c r="F534" s="168" t="s">
        <v>1572</v>
      </c>
      <c r="G534" s="150">
        <v>10726.04</v>
      </c>
      <c r="H534" s="456">
        <v>11000</v>
      </c>
      <c r="I534" s="452">
        <v>9263.31</v>
      </c>
      <c r="J534" s="168">
        <v>9263</v>
      </c>
      <c r="K534" s="168"/>
      <c r="L534" s="168">
        <v>172787</v>
      </c>
      <c r="M534" s="139">
        <f t="shared" si="3"/>
        <v>1462.7300000000014</v>
      </c>
    </row>
    <row r="535" spans="1:15">
      <c r="A535" s="168">
        <v>81</v>
      </c>
      <c r="B535" s="168" t="s">
        <v>2782</v>
      </c>
      <c r="C535" s="168" t="s">
        <v>2801</v>
      </c>
      <c r="D535" s="455" t="s">
        <v>1553</v>
      </c>
      <c r="E535" s="455" t="s">
        <v>633</v>
      </c>
      <c r="F535" s="168" t="s">
        <v>1573</v>
      </c>
      <c r="G535" s="150">
        <v>246.46</v>
      </c>
      <c r="H535" s="456">
        <v>330</v>
      </c>
      <c r="I535" s="452">
        <v>201.54</v>
      </c>
      <c r="J535" s="168">
        <v>201</v>
      </c>
      <c r="K535" s="168"/>
      <c r="L535" s="168">
        <v>15200</v>
      </c>
      <c r="M535" s="139">
        <f t="shared" si="3"/>
        <v>44.920000000000016</v>
      </c>
    </row>
    <row r="536" spans="1:15">
      <c r="A536" s="168">
        <v>84</v>
      </c>
      <c r="B536" s="168" t="s">
        <v>2782</v>
      </c>
      <c r="C536" s="168" t="s">
        <v>2801</v>
      </c>
      <c r="D536" s="455" t="s">
        <v>1553</v>
      </c>
      <c r="E536" s="455" t="s">
        <v>633</v>
      </c>
      <c r="F536" s="168" t="s">
        <v>1244</v>
      </c>
      <c r="G536" s="150">
        <v>972.7</v>
      </c>
      <c r="H536" s="456">
        <v>1300</v>
      </c>
      <c r="I536" s="452">
        <v>97.01</v>
      </c>
      <c r="J536" s="168">
        <v>98</v>
      </c>
      <c r="K536" s="168"/>
      <c r="L536" s="168">
        <v>0</v>
      </c>
      <c r="M536" s="139">
        <f t="shared" si="3"/>
        <v>875.69</v>
      </c>
    </row>
    <row r="537" spans="1:15">
      <c r="A537" s="168">
        <v>85</v>
      </c>
      <c r="B537" s="168" t="s">
        <v>2782</v>
      </c>
      <c r="C537" s="168" t="s">
        <v>2801</v>
      </c>
      <c r="D537" s="455" t="s">
        <v>1553</v>
      </c>
      <c r="E537" s="455" t="s">
        <v>633</v>
      </c>
      <c r="F537" s="168" t="s">
        <v>1575</v>
      </c>
      <c r="G537" s="150">
        <v>0</v>
      </c>
      <c r="H537" s="456">
        <v>0</v>
      </c>
      <c r="I537" s="462">
        <v>0</v>
      </c>
      <c r="J537" s="168">
        <v>0</v>
      </c>
      <c r="K537" s="168"/>
      <c r="L537" s="168">
        <v>23</v>
      </c>
      <c r="M537" s="139">
        <f t="shared" si="3"/>
        <v>0</v>
      </c>
    </row>
    <row r="538" spans="1:15">
      <c r="A538" s="168">
        <v>86</v>
      </c>
      <c r="B538" s="168" t="s">
        <v>2782</v>
      </c>
      <c r="C538" s="168" t="s">
        <v>2801</v>
      </c>
      <c r="D538" s="455" t="s">
        <v>1553</v>
      </c>
      <c r="E538" s="455" t="s">
        <v>633</v>
      </c>
      <c r="F538" s="168" t="s">
        <v>1576</v>
      </c>
      <c r="G538" s="150">
        <v>0</v>
      </c>
      <c r="H538" s="456">
        <v>0</v>
      </c>
      <c r="I538" s="462">
        <v>0</v>
      </c>
      <c r="J538" s="168">
        <v>0</v>
      </c>
      <c r="K538" s="168"/>
      <c r="L538" s="168"/>
      <c r="M538" s="139">
        <f t="shared" si="3"/>
        <v>0</v>
      </c>
      <c r="N538" s="139" t="s">
        <v>2705</v>
      </c>
      <c r="O538" s="139">
        <v>735000</v>
      </c>
    </row>
    <row r="539" spans="1:15">
      <c r="A539" s="168">
        <v>88</v>
      </c>
      <c r="B539" s="168" t="s">
        <v>2782</v>
      </c>
      <c r="C539" s="168" t="s">
        <v>2801</v>
      </c>
      <c r="D539" s="455" t="s">
        <v>1553</v>
      </c>
      <c r="E539" s="455" t="s">
        <v>633</v>
      </c>
      <c r="F539" s="168" t="s">
        <v>461</v>
      </c>
      <c r="G539" s="150">
        <v>2714.82</v>
      </c>
      <c r="H539" s="456">
        <v>2750</v>
      </c>
      <c r="I539" s="452">
        <v>2077.02</v>
      </c>
      <c r="J539" s="168">
        <v>2078</v>
      </c>
      <c r="K539" s="168"/>
      <c r="L539" s="168">
        <v>1100</v>
      </c>
      <c r="M539" s="139">
        <f t="shared" si="3"/>
        <v>637.80000000000018</v>
      </c>
    </row>
    <row r="540" spans="1:15">
      <c r="A540" s="168">
        <v>90</v>
      </c>
      <c r="B540" s="168" t="s">
        <v>2782</v>
      </c>
      <c r="C540" s="168" t="s">
        <v>2801</v>
      </c>
      <c r="D540" s="455" t="s">
        <v>1553</v>
      </c>
      <c r="E540" s="455" t="s">
        <v>633</v>
      </c>
      <c r="F540" s="168" t="s">
        <v>1240</v>
      </c>
      <c r="G540" s="150">
        <v>52.49</v>
      </c>
      <c r="H540" s="456">
        <v>100</v>
      </c>
      <c r="I540" s="452">
        <v>1060.2</v>
      </c>
      <c r="J540" s="168">
        <v>1061</v>
      </c>
      <c r="K540" s="168"/>
      <c r="L540" s="168">
        <v>0</v>
      </c>
      <c r="M540" s="139">
        <f t="shared" si="3"/>
        <v>-1007.71</v>
      </c>
    </row>
    <row r="541" spans="1:15">
      <c r="A541" s="168">
        <v>91</v>
      </c>
      <c r="B541" s="168" t="s">
        <v>2782</v>
      </c>
      <c r="C541" s="168" t="s">
        <v>2801</v>
      </c>
      <c r="D541" s="455" t="s">
        <v>1553</v>
      </c>
      <c r="E541" s="455" t="s">
        <v>633</v>
      </c>
      <c r="F541" s="168" t="s">
        <v>1577</v>
      </c>
      <c r="G541" s="150">
        <v>2902.44</v>
      </c>
      <c r="H541" s="456">
        <v>3000</v>
      </c>
      <c r="I541" s="452">
        <v>0</v>
      </c>
      <c r="J541" s="168">
        <v>0</v>
      </c>
      <c r="K541" s="168"/>
      <c r="L541" s="168">
        <v>33951</v>
      </c>
      <c r="M541" s="139">
        <f t="shared" si="3"/>
        <v>2902.44</v>
      </c>
    </row>
    <row r="542" spans="1:15">
      <c r="A542" s="168">
        <v>92</v>
      </c>
      <c r="B542" s="168" t="s">
        <v>2782</v>
      </c>
      <c r="C542" s="168" t="s">
        <v>2801</v>
      </c>
      <c r="D542" s="455" t="s">
        <v>1553</v>
      </c>
      <c r="E542" s="455" t="s">
        <v>633</v>
      </c>
      <c r="F542" s="168" t="s">
        <v>1578</v>
      </c>
      <c r="G542" s="150">
        <v>0</v>
      </c>
      <c r="H542" s="456">
        <v>0</v>
      </c>
      <c r="I542" s="452">
        <v>4850</v>
      </c>
      <c r="J542" s="168">
        <v>4850</v>
      </c>
      <c r="K542" s="168"/>
      <c r="L542" s="168">
        <v>0</v>
      </c>
      <c r="M542" s="139">
        <f t="shared" si="3"/>
        <v>-4850</v>
      </c>
    </row>
    <row r="543" spans="1:15">
      <c r="A543" s="168">
        <v>100</v>
      </c>
      <c r="B543" s="168" t="s">
        <v>2782</v>
      </c>
      <c r="C543" s="168" t="s">
        <v>2801</v>
      </c>
      <c r="D543" s="455" t="s">
        <v>1553</v>
      </c>
      <c r="E543" s="455" t="s">
        <v>633</v>
      </c>
      <c r="F543" s="168" t="s">
        <v>1579</v>
      </c>
      <c r="G543" s="150">
        <v>89070.49</v>
      </c>
      <c r="H543" s="456">
        <v>89100</v>
      </c>
      <c r="I543" s="452">
        <v>82072.84</v>
      </c>
      <c r="J543" s="168">
        <v>82072</v>
      </c>
      <c r="K543" s="168"/>
      <c r="L543" s="168">
        <v>0</v>
      </c>
      <c r="M543" s="139">
        <f t="shared" si="3"/>
        <v>6997.6500000000087</v>
      </c>
    </row>
    <row r="544" spans="1:15">
      <c r="A544" s="168">
        <v>50</v>
      </c>
      <c r="B544" s="168" t="s">
        <v>2782</v>
      </c>
      <c r="C544" s="168" t="s">
        <v>2864</v>
      </c>
      <c r="D544" s="455" t="s">
        <v>1553</v>
      </c>
      <c r="E544" s="455" t="s">
        <v>253</v>
      </c>
      <c r="F544" s="168" t="s">
        <v>1567</v>
      </c>
      <c r="G544" s="150">
        <v>807.46</v>
      </c>
      <c r="H544" s="456">
        <v>850</v>
      </c>
      <c r="I544" s="623">
        <v>0</v>
      </c>
      <c r="J544" s="168">
        <v>0</v>
      </c>
      <c r="K544" s="168"/>
      <c r="L544" s="168">
        <v>2950</v>
      </c>
      <c r="M544" s="139">
        <f t="shared" si="3"/>
        <v>807.46</v>
      </c>
    </row>
    <row r="545" spans="1:13">
      <c r="A545" s="168">
        <v>63</v>
      </c>
      <c r="B545" s="168" t="s">
        <v>2782</v>
      </c>
      <c r="C545" s="168" t="s">
        <v>2864</v>
      </c>
      <c r="D545" s="455" t="s">
        <v>1553</v>
      </c>
      <c r="E545" s="455" t="s">
        <v>253</v>
      </c>
      <c r="F545" s="168" t="s">
        <v>1229</v>
      </c>
      <c r="G545" s="150">
        <v>295.8</v>
      </c>
      <c r="H545" s="456">
        <v>400</v>
      </c>
      <c r="I545" s="623">
        <v>0</v>
      </c>
      <c r="J545" s="168">
        <v>0</v>
      </c>
      <c r="K545" s="168"/>
      <c r="L545" s="168">
        <v>0</v>
      </c>
      <c r="M545" s="139">
        <f t="shared" si="3"/>
        <v>295.8</v>
      </c>
    </row>
    <row r="546" spans="1:13">
      <c r="A546" s="168">
        <v>64</v>
      </c>
      <c r="B546" s="168" t="s">
        <v>2782</v>
      </c>
      <c r="C546" s="168" t="s">
        <v>2864</v>
      </c>
      <c r="D546" s="455" t="s">
        <v>1553</v>
      </c>
      <c r="E546" s="455" t="s">
        <v>253</v>
      </c>
      <c r="F546" s="168" t="s">
        <v>1569</v>
      </c>
      <c r="G546" s="150">
        <v>2105.12</v>
      </c>
      <c r="H546" s="456">
        <v>2600</v>
      </c>
      <c r="I546" s="623">
        <v>0</v>
      </c>
      <c r="J546" s="168">
        <v>0</v>
      </c>
      <c r="K546" s="168"/>
      <c r="L546" s="168">
        <v>0</v>
      </c>
      <c r="M546" s="139">
        <f t="shared" si="3"/>
        <v>2105.12</v>
      </c>
    </row>
    <row r="547" spans="1:13">
      <c r="A547" s="168">
        <v>65</v>
      </c>
      <c r="B547" s="168" t="s">
        <v>2782</v>
      </c>
      <c r="C547" s="168" t="s">
        <v>2864</v>
      </c>
      <c r="D547" s="455" t="s">
        <v>1553</v>
      </c>
      <c r="E547" s="455" t="s">
        <v>253</v>
      </c>
      <c r="F547" s="168" t="s">
        <v>1570</v>
      </c>
      <c r="G547" s="150">
        <v>0</v>
      </c>
      <c r="H547" s="456">
        <v>0</v>
      </c>
      <c r="I547" s="624">
        <v>0</v>
      </c>
      <c r="J547" s="168">
        <v>0</v>
      </c>
      <c r="K547" s="168"/>
      <c r="L547" s="168">
        <v>0</v>
      </c>
      <c r="M547" s="139">
        <f t="shared" si="3"/>
        <v>0</v>
      </c>
    </row>
    <row r="548" spans="1:13">
      <c r="A548" s="168">
        <v>66</v>
      </c>
      <c r="B548" s="168" t="s">
        <v>2782</v>
      </c>
      <c r="C548" s="168" t="s">
        <v>2864</v>
      </c>
      <c r="D548" s="455" t="s">
        <v>1553</v>
      </c>
      <c r="E548" s="455" t="s">
        <v>253</v>
      </c>
      <c r="F548" s="168" t="s">
        <v>1571</v>
      </c>
      <c r="G548" s="150">
        <v>63885.599999999999</v>
      </c>
      <c r="H548" s="456">
        <v>85000</v>
      </c>
      <c r="I548" s="623">
        <v>72110.73</v>
      </c>
      <c r="J548" s="168">
        <v>72110</v>
      </c>
      <c r="K548" s="168"/>
      <c r="L548" s="168">
        <v>0</v>
      </c>
      <c r="M548" s="139">
        <f t="shared" si="3"/>
        <v>-8225.1299999999974</v>
      </c>
    </row>
    <row r="549" spans="1:13">
      <c r="A549" s="168">
        <v>80</v>
      </c>
      <c r="B549" s="168" t="s">
        <v>2782</v>
      </c>
      <c r="C549" s="168" t="s">
        <v>2864</v>
      </c>
      <c r="D549" s="455" t="s">
        <v>1553</v>
      </c>
      <c r="E549" s="455" t="s">
        <v>253</v>
      </c>
      <c r="F549" s="168" t="s">
        <v>1572</v>
      </c>
      <c r="G549" s="150">
        <v>188965.67</v>
      </c>
      <c r="H549" s="456">
        <v>189000</v>
      </c>
      <c r="I549" s="623">
        <v>111168.05</v>
      </c>
      <c r="J549" s="168">
        <v>111168</v>
      </c>
      <c r="K549" s="168"/>
      <c r="L549" s="168">
        <v>1476</v>
      </c>
      <c r="M549" s="139">
        <f t="shared" si="3"/>
        <v>77797.62000000001</v>
      </c>
    </row>
    <row r="550" spans="1:13">
      <c r="A550" s="168">
        <v>81</v>
      </c>
      <c r="B550" s="168" t="s">
        <v>2782</v>
      </c>
      <c r="C550" s="168" t="s">
        <v>2864</v>
      </c>
      <c r="D550" s="455" t="s">
        <v>1553</v>
      </c>
      <c r="E550" s="455" t="s">
        <v>253</v>
      </c>
      <c r="F550" s="168" t="s">
        <v>1573</v>
      </c>
      <c r="G550" s="150">
        <v>17718.78</v>
      </c>
      <c r="H550" s="456">
        <v>24000</v>
      </c>
      <c r="I550" s="623">
        <v>96681.95</v>
      </c>
      <c r="J550" s="168">
        <v>96681</v>
      </c>
      <c r="K550" s="168"/>
      <c r="L550" s="168">
        <v>0</v>
      </c>
      <c r="M550" s="139">
        <f t="shared" si="3"/>
        <v>-78963.17</v>
      </c>
    </row>
    <row r="551" spans="1:13">
      <c r="A551" s="168">
        <v>84</v>
      </c>
      <c r="B551" s="168" t="s">
        <v>2782</v>
      </c>
      <c r="C551" s="168" t="s">
        <v>2864</v>
      </c>
      <c r="D551" s="455" t="s">
        <v>1553</v>
      </c>
      <c r="E551" s="455" t="s">
        <v>253</v>
      </c>
      <c r="F551" s="168" t="s">
        <v>1244</v>
      </c>
      <c r="G551" s="150">
        <v>61581</v>
      </c>
      <c r="H551" s="456">
        <v>82000</v>
      </c>
      <c r="I551" s="623">
        <v>76457.88</v>
      </c>
      <c r="J551" s="168">
        <v>76457</v>
      </c>
      <c r="K551" s="168"/>
      <c r="L551" s="168">
        <v>4597</v>
      </c>
      <c r="M551" s="139">
        <f t="shared" si="3"/>
        <v>-14876.880000000005</v>
      </c>
    </row>
    <row r="552" spans="1:13">
      <c r="A552" s="168">
        <v>85</v>
      </c>
      <c r="B552" s="168" t="s">
        <v>2782</v>
      </c>
      <c r="C552" s="168" t="s">
        <v>2864</v>
      </c>
      <c r="D552" s="455" t="s">
        <v>1553</v>
      </c>
      <c r="E552" s="455" t="s">
        <v>253</v>
      </c>
      <c r="F552" s="168" t="s">
        <v>1575</v>
      </c>
      <c r="G552" s="150">
        <v>0</v>
      </c>
      <c r="H552" s="456">
        <v>0</v>
      </c>
      <c r="I552" s="624">
        <v>0</v>
      </c>
      <c r="J552" s="168">
        <v>0</v>
      </c>
      <c r="K552" s="168"/>
      <c r="L552" s="168">
        <v>0</v>
      </c>
      <c r="M552" s="139">
        <f t="shared" si="3"/>
        <v>0</v>
      </c>
    </row>
    <row r="553" spans="1:13">
      <c r="A553" s="168">
        <v>86</v>
      </c>
      <c r="B553" s="168" t="s">
        <v>2782</v>
      </c>
      <c r="C553" s="168" t="s">
        <v>2864</v>
      </c>
      <c r="D553" s="455" t="s">
        <v>1553</v>
      </c>
      <c r="E553" s="455" t="s">
        <v>253</v>
      </c>
      <c r="F553" s="168" t="s">
        <v>1576</v>
      </c>
      <c r="G553" s="150">
        <v>0</v>
      </c>
      <c r="H553" s="456">
        <v>0</v>
      </c>
      <c r="I553" s="624">
        <v>0</v>
      </c>
      <c r="J553" s="168">
        <v>0</v>
      </c>
      <c r="K553" s="168"/>
      <c r="L553" s="168">
        <v>1727</v>
      </c>
      <c r="M553" s="139">
        <f t="shared" si="3"/>
        <v>0</v>
      </c>
    </row>
    <row r="554" spans="1:13">
      <c r="A554" s="168">
        <v>90</v>
      </c>
      <c r="B554" s="168" t="s">
        <v>2782</v>
      </c>
      <c r="C554" s="168" t="s">
        <v>2864</v>
      </c>
      <c r="D554" s="455" t="s">
        <v>1553</v>
      </c>
      <c r="E554" s="455" t="s">
        <v>253</v>
      </c>
      <c r="F554" s="168" t="s">
        <v>1240</v>
      </c>
      <c r="G554" s="150">
        <v>0</v>
      </c>
      <c r="H554" s="456">
        <v>0</v>
      </c>
      <c r="I554" s="623">
        <v>0</v>
      </c>
      <c r="J554" s="168">
        <v>0</v>
      </c>
      <c r="K554" s="168"/>
      <c r="L554" s="168">
        <v>0</v>
      </c>
      <c r="M554" s="139">
        <f t="shared" si="3"/>
        <v>0</v>
      </c>
    </row>
    <row r="555" spans="1:13">
      <c r="A555" s="168">
        <v>91</v>
      </c>
      <c r="B555" s="168" t="s">
        <v>2782</v>
      </c>
      <c r="C555" s="168" t="s">
        <v>2864</v>
      </c>
      <c r="D555" s="455" t="s">
        <v>1553</v>
      </c>
      <c r="E555" s="455" t="s">
        <v>253</v>
      </c>
      <c r="F555" s="168" t="s">
        <v>1577</v>
      </c>
      <c r="G555" s="150">
        <v>0</v>
      </c>
      <c r="H555" s="456">
        <v>0</v>
      </c>
      <c r="I555" s="623">
        <v>0</v>
      </c>
      <c r="J555" s="168">
        <v>0</v>
      </c>
      <c r="K555" s="168"/>
      <c r="L555" s="168">
        <v>0</v>
      </c>
      <c r="M555" s="139">
        <f t="shared" si="3"/>
        <v>0</v>
      </c>
    </row>
    <row r="556" spans="1:13">
      <c r="A556" s="168">
        <v>92</v>
      </c>
      <c r="B556" s="168" t="s">
        <v>2782</v>
      </c>
      <c r="C556" s="168" t="s">
        <v>2864</v>
      </c>
      <c r="D556" s="455" t="s">
        <v>1553</v>
      </c>
      <c r="E556" s="455" t="s">
        <v>253</v>
      </c>
      <c r="F556" s="168" t="s">
        <v>1578</v>
      </c>
      <c r="G556" s="150">
        <v>0</v>
      </c>
      <c r="H556" s="456">
        <v>0</v>
      </c>
      <c r="I556" s="624">
        <v>0</v>
      </c>
      <c r="J556" s="168">
        <v>0</v>
      </c>
      <c r="K556" s="168"/>
      <c r="L556" s="168">
        <v>0</v>
      </c>
      <c r="M556" s="139">
        <f t="shared" si="3"/>
        <v>0</v>
      </c>
    </row>
    <row r="557" spans="1:13">
      <c r="A557" s="168">
        <v>100</v>
      </c>
      <c r="B557" s="168" t="s">
        <v>2782</v>
      </c>
      <c r="C557" s="168" t="s">
        <v>2864</v>
      </c>
      <c r="D557" s="455" t="s">
        <v>1553</v>
      </c>
      <c r="E557" s="455" t="s">
        <v>253</v>
      </c>
      <c r="F557" s="168" t="s">
        <v>1579</v>
      </c>
      <c r="G557" s="150">
        <v>4094.56</v>
      </c>
      <c r="H557" s="456">
        <v>4100</v>
      </c>
      <c r="I557" s="623">
        <v>1065.3900000000001</v>
      </c>
      <c r="J557" s="168">
        <v>1065</v>
      </c>
      <c r="K557" s="168"/>
      <c r="L557" s="168">
        <v>0</v>
      </c>
      <c r="M557" s="139">
        <f t="shared" si="3"/>
        <v>3029.17</v>
      </c>
    </row>
    <row r="558" spans="1:13">
      <c r="A558" s="168">
        <v>32</v>
      </c>
      <c r="B558" s="168" t="s">
        <v>2782</v>
      </c>
      <c r="C558" s="168" t="s">
        <v>2853</v>
      </c>
      <c r="D558" s="455" t="s">
        <v>1553</v>
      </c>
      <c r="E558" s="455" t="s">
        <v>70</v>
      </c>
      <c r="F558" s="168" t="s">
        <v>1566</v>
      </c>
      <c r="G558" s="150">
        <v>97954.3</v>
      </c>
      <c r="H558" s="456">
        <v>98000</v>
      </c>
      <c r="I558" s="623">
        <v>61514.3</v>
      </c>
      <c r="J558" s="168">
        <v>61514</v>
      </c>
      <c r="K558" s="168"/>
      <c r="L558" s="168">
        <v>0</v>
      </c>
      <c r="M558" s="139">
        <f t="shared" si="3"/>
        <v>36440</v>
      </c>
    </row>
    <row r="559" spans="1:13">
      <c r="A559" s="168">
        <v>50</v>
      </c>
      <c r="B559" s="168" t="s">
        <v>2782</v>
      </c>
      <c r="C559" s="168" t="s">
        <v>2865</v>
      </c>
      <c r="D559" s="455" t="s">
        <v>1553</v>
      </c>
      <c r="E559" s="455" t="s">
        <v>255</v>
      </c>
      <c r="F559" s="168" t="s">
        <v>1567</v>
      </c>
      <c r="G559" s="150">
        <v>0</v>
      </c>
      <c r="H559" s="456">
        <v>0</v>
      </c>
      <c r="I559" s="160">
        <v>0</v>
      </c>
      <c r="J559" s="168">
        <v>0</v>
      </c>
      <c r="K559" s="168"/>
      <c r="L559" s="168">
        <v>737</v>
      </c>
      <c r="M559" s="139">
        <f t="shared" si="3"/>
        <v>0</v>
      </c>
    </row>
    <row r="560" spans="1:13">
      <c r="A560" s="168">
        <v>52</v>
      </c>
      <c r="B560" s="168" t="s">
        <v>2782</v>
      </c>
      <c r="C560" s="168" t="s">
        <v>2882</v>
      </c>
      <c r="D560" s="455" t="s">
        <v>1553</v>
      </c>
      <c r="E560" s="455" t="s">
        <v>1147</v>
      </c>
      <c r="F560" s="168" t="s">
        <v>1568</v>
      </c>
      <c r="G560" s="150">
        <v>0</v>
      </c>
      <c r="H560" s="456">
        <v>0</v>
      </c>
      <c r="I560" s="626">
        <v>1401.84</v>
      </c>
      <c r="J560" s="168">
        <v>1401</v>
      </c>
      <c r="K560" s="168"/>
      <c r="L560" s="168">
        <v>32500</v>
      </c>
      <c r="M560" s="139">
        <f t="shared" si="3"/>
        <v>-1401.84</v>
      </c>
    </row>
    <row r="561" spans="1:13">
      <c r="A561" s="168">
        <v>52</v>
      </c>
      <c r="B561" s="168" t="s">
        <v>2782</v>
      </c>
      <c r="C561" s="168" t="s">
        <v>2883</v>
      </c>
      <c r="D561" s="455" t="s">
        <v>1553</v>
      </c>
      <c r="E561" s="455" t="s">
        <v>1149</v>
      </c>
      <c r="F561" s="168" t="s">
        <v>1568</v>
      </c>
      <c r="G561" s="150">
        <v>105213.69</v>
      </c>
      <c r="H561" s="456">
        <v>106000</v>
      </c>
      <c r="I561" s="160">
        <v>172786.65</v>
      </c>
      <c r="J561" s="168">
        <v>172787</v>
      </c>
      <c r="K561" s="168"/>
      <c r="L561" s="168">
        <v>0</v>
      </c>
      <c r="M561" s="139">
        <f t="shared" si="3"/>
        <v>-67572.959999999992</v>
      </c>
    </row>
    <row r="562" spans="1:13" s="144" customFormat="1">
      <c r="A562" s="168">
        <v>10</v>
      </c>
      <c r="B562" s="168" t="s">
        <v>2782</v>
      </c>
      <c r="C562" s="168" t="s">
        <v>2802</v>
      </c>
      <c r="D562" s="455" t="s">
        <v>1553</v>
      </c>
      <c r="E562" s="455"/>
      <c r="F562" s="168" t="s">
        <v>1558</v>
      </c>
      <c r="G562" s="150"/>
      <c r="H562" s="456"/>
      <c r="I562" s="626">
        <v>16000</v>
      </c>
      <c r="J562" s="168">
        <v>16000</v>
      </c>
      <c r="K562" s="168"/>
      <c r="L562" s="168">
        <v>0</v>
      </c>
      <c r="M562" s="139">
        <f t="shared" si="3"/>
        <v>-16000</v>
      </c>
    </row>
    <row r="563" spans="1:13">
      <c r="A563" s="168">
        <v>50</v>
      </c>
      <c r="B563" s="168" t="s">
        <v>2782</v>
      </c>
      <c r="C563" s="168" t="s">
        <v>2802</v>
      </c>
      <c r="D563" s="455" t="s">
        <v>1553</v>
      </c>
      <c r="E563" s="455" t="s">
        <v>2325</v>
      </c>
      <c r="F563" s="168" t="s">
        <v>1567</v>
      </c>
      <c r="G563" s="150">
        <v>48315.7</v>
      </c>
      <c r="H563" s="456">
        <v>51000</v>
      </c>
      <c r="I563" s="626">
        <v>28180.55</v>
      </c>
      <c r="J563" s="168">
        <v>28180</v>
      </c>
      <c r="K563" s="168"/>
      <c r="L563" s="168">
        <v>4720</v>
      </c>
      <c r="M563" s="139">
        <f t="shared" si="3"/>
        <v>20135.149999999998</v>
      </c>
    </row>
    <row r="564" spans="1:13">
      <c r="A564" s="168">
        <v>65</v>
      </c>
      <c r="B564" s="168" t="s">
        <v>2782</v>
      </c>
      <c r="C564" s="168" t="s">
        <v>2802</v>
      </c>
      <c r="D564" s="455" t="s">
        <v>1553</v>
      </c>
      <c r="E564" s="455" t="s">
        <v>2325</v>
      </c>
      <c r="F564" s="168" t="s">
        <v>1570</v>
      </c>
      <c r="G564" s="150">
        <v>3227.86</v>
      </c>
      <c r="H564" s="456">
        <v>4500</v>
      </c>
      <c r="I564" s="627">
        <v>0</v>
      </c>
      <c r="J564" s="168">
        <v>0</v>
      </c>
      <c r="K564" s="168"/>
      <c r="L564" s="168">
        <v>1810</v>
      </c>
      <c r="M564" s="139">
        <f t="shared" si="3"/>
        <v>3227.86</v>
      </c>
    </row>
    <row r="565" spans="1:13">
      <c r="A565" s="168">
        <v>10</v>
      </c>
      <c r="B565" s="168" t="s">
        <v>2782</v>
      </c>
      <c r="C565" s="168" t="s">
        <v>2803</v>
      </c>
      <c r="D565" s="455" t="s">
        <v>1553</v>
      </c>
      <c r="E565" s="455" t="s">
        <v>50</v>
      </c>
      <c r="F565" s="168" t="s">
        <v>1558</v>
      </c>
      <c r="G565" s="150">
        <v>1280113.3400000001</v>
      </c>
      <c r="H565" s="456">
        <v>1218000</v>
      </c>
      <c r="I565" s="623">
        <v>1342304.12</v>
      </c>
      <c r="J565" s="168">
        <v>1342305</v>
      </c>
      <c r="K565" s="168"/>
      <c r="L565" s="168">
        <v>0</v>
      </c>
      <c r="M565" s="139">
        <f t="shared" si="3"/>
        <v>-62190.780000000028</v>
      </c>
    </row>
    <row r="566" spans="1:13">
      <c r="A566" s="168">
        <v>20</v>
      </c>
      <c r="B566" s="168" t="s">
        <v>2782</v>
      </c>
      <c r="C566" s="168" t="s">
        <v>2803</v>
      </c>
      <c r="D566" s="455" t="s">
        <v>1553</v>
      </c>
      <c r="E566" s="455" t="s">
        <v>50</v>
      </c>
      <c r="F566" s="168" t="s">
        <v>1559</v>
      </c>
      <c r="G566" s="150">
        <v>376978.46</v>
      </c>
      <c r="H566" s="456">
        <v>377000</v>
      </c>
      <c r="I566" s="623">
        <v>365561.87</v>
      </c>
      <c r="J566" s="168">
        <v>365561</v>
      </c>
      <c r="K566" s="168"/>
      <c r="L566" s="168">
        <v>0</v>
      </c>
      <c r="M566" s="139">
        <f t="shared" si="3"/>
        <v>11416.590000000026</v>
      </c>
    </row>
    <row r="567" spans="1:13">
      <c r="A567" s="168">
        <v>21</v>
      </c>
      <c r="B567" s="168" t="s">
        <v>2782</v>
      </c>
      <c r="C567" s="168" t="s">
        <v>2803</v>
      </c>
      <c r="D567" s="455" t="s">
        <v>1553</v>
      </c>
      <c r="E567" s="455" t="s">
        <v>50</v>
      </c>
      <c r="F567" s="168" t="s">
        <v>1560</v>
      </c>
      <c r="G567" s="150">
        <v>2324.46</v>
      </c>
      <c r="H567" s="456">
        <v>2500</v>
      </c>
      <c r="I567" s="624">
        <v>0</v>
      </c>
      <c r="J567" s="168">
        <v>0</v>
      </c>
      <c r="K567" s="168"/>
      <c r="L567" s="168">
        <v>0</v>
      </c>
      <c r="M567" s="139">
        <f t="shared" si="3"/>
        <v>2324.46</v>
      </c>
    </row>
    <row r="568" spans="1:13">
      <c r="A568" s="168">
        <v>22</v>
      </c>
      <c r="B568" s="168" t="s">
        <v>2782</v>
      </c>
      <c r="C568" s="168" t="s">
        <v>2803</v>
      </c>
      <c r="D568" s="455" t="s">
        <v>1553</v>
      </c>
      <c r="E568" s="455" t="s">
        <v>50</v>
      </c>
      <c r="F568" s="168" t="s">
        <v>1561</v>
      </c>
      <c r="G568" s="150">
        <v>0</v>
      </c>
      <c r="H568" s="456">
        <v>5000</v>
      </c>
      <c r="I568" s="624">
        <v>0</v>
      </c>
      <c r="J568" s="168">
        <v>0</v>
      </c>
      <c r="K568" s="168"/>
      <c r="L568" s="168">
        <v>0</v>
      </c>
      <c r="M568" s="139">
        <f t="shared" si="3"/>
        <v>0</v>
      </c>
    </row>
    <row r="569" spans="1:13">
      <c r="A569" s="168">
        <v>25</v>
      </c>
      <c r="B569" s="168" t="s">
        <v>2782</v>
      </c>
      <c r="C569" s="168" t="s">
        <v>2803</v>
      </c>
      <c r="D569" s="455" t="s">
        <v>1553</v>
      </c>
      <c r="E569" s="455" t="s">
        <v>50</v>
      </c>
      <c r="F569" s="168" t="s">
        <v>1562</v>
      </c>
      <c r="G569" s="150">
        <v>55362.3</v>
      </c>
      <c r="H569" s="456">
        <v>56000</v>
      </c>
      <c r="I569" s="623">
        <v>11011.88</v>
      </c>
      <c r="J569" s="168">
        <v>11013</v>
      </c>
      <c r="K569" s="168"/>
      <c r="L569" s="168">
        <v>115002</v>
      </c>
      <c r="M569" s="139">
        <f t="shared" si="3"/>
        <v>44350.420000000006</v>
      </c>
    </row>
    <row r="570" spans="1:13">
      <c r="A570" s="168">
        <v>27</v>
      </c>
      <c r="B570" s="168" t="s">
        <v>2782</v>
      </c>
      <c r="C570" s="168" t="s">
        <v>2803</v>
      </c>
      <c r="D570" s="455" t="s">
        <v>1553</v>
      </c>
      <c r="E570" s="455" t="s">
        <v>50</v>
      </c>
      <c r="F570" s="168" t="s">
        <v>1563</v>
      </c>
      <c r="G570" s="150">
        <v>204363.55</v>
      </c>
      <c r="H570" s="456">
        <v>205000</v>
      </c>
      <c r="I570" s="623">
        <v>12121.7</v>
      </c>
      <c r="J570" s="168">
        <v>12122</v>
      </c>
      <c r="K570" s="168"/>
      <c r="L570" s="168">
        <v>98533</v>
      </c>
      <c r="M570" s="139">
        <f t="shared" si="3"/>
        <v>192241.84999999998</v>
      </c>
    </row>
    <row r="571" spans="1:13">
      <c r="A571" s="168">
        <v>30</v>
      </c>
      <c r="B571" s="168" t="s">
        <v>2782</v>
      </c>
      <c r="C571" s="168" t="s">
        <v>2803</v>
      </c>
      <c r="D571" s="455" t="s">
        <v>1553</v>
      </c>
      <c r="E571" s="455" t="s">
        <v>50</v>
      </c>
      <c r="F571" s="168" t="s">
        <v>1564</v>
      </c>
      <c r="G571" s="150">
        <v>50798.7</v>
      </c>
      <c r="H571" s="456">
        <v>50800</v>
      </c>
      <c r="I571" s="623">
        <v>68288.28</v>
      </c>
      <c r="J571" s="168">
        <v>68288</v>
      </c>
      <c r="K571" s="168"/>
      <c r="L571" s="168">
        <v>0</v>
      </c>
      <c r="M571" s="139">
        <f t="shared" si="3"/>
        <v>-17489.580000000002</v>
      </c>
    </row>
    <row r="572" spans="1:13">
      <c r="A572" s="168">
        <v>31</v>
      </c>
      <c r="B572" s="168" t="s">
        <v>2782</v>
      </c>
      <c r="C572" s="168" t="s">
        <v>2803</v>
      </c>
      <c r="D572" s="455" t="s">
        <v>1553</v>
      </c>
      <c r="E572" s="455" t="s">
        <v>50</v>
      </c>
      <c r="F572" s="168" t="s">
        <v>1565</v>
      </c>
      <c r="G572" s="150">
        <v>1951</v>
      </c>
      <c r="H572" s="456">
        <v>2000</v>
      </c>
      <c r="I572" s="623">
        <v>1382.55</v>
      </c>
      <c r="J572" s="168">
        <v>1382</v>
      </c>
      <c r="K572" s="168"/>
      <c r="L572" s="168">
        <v>2243</v>
      </c>
      <c r="M572" s="139">
        <f t="shared" si="3"/>
        <v>568.45000000000005</v>
      </c>
    </row>
    <row r="573" spans="1:13">
      <c r="A573" s="168">
        <v>32</v>
      </c>
      <c r="B573" s="168" t="s">
        <v>2782</v>
      </c>
      <c r="C573" s="168" t="s">
        <v>2803</v>
      </c>
      <c r="D573" s="455" t="s">
        <v>1553</v>
      </c>
      <c r="E573" s="455" t="s">
        <v>50</v>
      </c>
      <c r="F573" s="168" t="s">
        <v>1566</v>
      </c>
      <c r="G573" s="150">
        <v>8532.26</v>
      </c>
      <c r="H573" s="456">
        <v>13500</v>
      </c>
      <c r="I573" s="623">
        <v>6415.89</v>
      </c>
      <c r="J573" s="168">
        <v>6416</v>
      </c>
      <c r="K573" s="168"/>
      <c r="L573" s="168">
        <v>126</v>
      </c>
      <c r="M573" s="139">
        <f t="shared" si="3"/>
        <v>2116.37</v>
      </c>
    </row>
    <row r="574" spans="1:13">
      <c r="A574" s="168">
        <v>50</v>
      </c>
      <c r="B574" s="168" t="s">
        <v>2782</v>
      </c>
      <c r="C574" s="168" t="s">
        <v>2803</v>
      </c>
      <c r="D574" s="455" t="s">
        <v>1553</v>
      </c>
      <c r="E574" s="455" t="s">
        <v>50</v>
      </c>
      <c r="F574" s="168" t="s">
        <v>1567</v>
      </c>
      <c r="G574" s="150">
        <v>211415.76</v>
      </c>
      <c r="H574" s="456">
        <v>212000</v>
      </c>
      <c r="I574" s="623">
        <v>97657.11</v>
      </c>
      <c r="J574" s="168">
        <v>97658</v>
      </c>
      <c r="K574" s="168"/>
      <c r="L574" s="168">
        <v>72110</v>
      </c>
      <c r="M574" s="139">
        <f t="shared" si="3"/>
        <v>113758.65000000001</v>
      </c>
    </row>
    <row r="575" spans="1:13">
      <c r="A575" s="168">
        <v>52</v>
      </c>
      <c r="B575" s="168" t="s">
        <v>2782</v>
      </c>
      <c r="C575" s="168" t="s">
        <v>2803</v>
      </c>
      <c r="D575" s="455" t="s">
        <v>1553</v>
      </c>
      <c r="E575" s="455" t="s">
        <v>50</v>
      </c>
      <c r="F575" s="168" t="s">
        <v>1568</v>
      </c>
      <c r="G575" s="150">
        <v>15385.03</v>
      </c>
      <c r="H575" s="456">
        <v>18750</v>
      </c>
      <c r="I575" s="623">
        <v>15200.25</v>
      </c>
      <c r="J575" s="168">
        <v>15200</v>
      </c>
      <c r="K575" s="168"/>
      <c r="L575" s="168">
        <v>898</v>
      </c>
      <c r="M575" s="139">
        <f t="shared" si="3"/>
        <v>184.78000000000065</v>
      </c>
    </row>
    <row r="576" spans="1:13">
      <c r="A576" s="168">
        <v>63</v>
      </c>
      <c r="B576" s="168" t="s">
        <v>2782</v>
      </c>
      <c r="C576" s="168" t="s">
        <v>2803</v>
      </c>
      <c r="D576" s="455" t="s">
        <v>1553</v>
      </c>
      <c r="E576" s="455" t="s">
        <v>50</v>
      </c>
      <c r="F576" s="168" t="s">
        <v>1229</v>
      </c>
      <c r="G576" s="150">
        <v>30840.7</v>
      </c>
      <c r="H576" s="456">
        <v>30900</v>
      </c>
      <c r="I576" s="623">
        <v>4596.6899999999996</v>
      </c>
      <c r="J576" s="168">
        <v>4597</v>
      </c>
      <c r="K576" s="168"/>
      <c r="L576" s="168">
        <v>0</v>
      </c>
      <c r="M576" s="139">
        <f t="shared" si="3"/>
        <v>26244.010000000002</v>
      </c>
    </row>
    <row r="577" spans="1:13">
      <c r="A577" s="168">
        <v>64</v>
      </c>
      <c r="B577" s="168" t="s">
        <v>2782</v>
      </c>
      <c r="C577" s="168" t="s">
        <v>2803</v>
      </c>
      <c r="D577" s="455" t="s">
        <v>1553</v>
      </c>
      <c r="E577" s="455" t="s">
        <v>50</v>
      </c>
      <c r="F577" s="168" t="s">
        <v>1569</v>
      </c>
      <c r="G577" s="150">
        <v>38860.379999999997</v>
      </c>
      <c r="H577" s="456">
        <v>38900</v>
      </c>
      <c r="I577" s="623">
        <v>4719.62</v>
      </c>
      <c r="J577" s="168">
        <v>4720</v>
      </c>
      <c r="K577" s="168"/>
      <c r="L577" s="168">
        <v>702</v>
      </c>
      <c r="M577" s="139">
        <f t="shared" si="3"/>
        <v>34140.759999999995</v>
      </c>
    </row>
    <row r="578" spans="1:13">
      <c r="A578" s="168">
        <v>66</v>
      </c>
      <c r="B578" s="168" t="s">
        <v>2782</v>
      </c>
      <c r="C578" s="168" t="s">
        <v>2803</v>
      </c>
      <c r="D578" s="455" t="s">
        <v>1553</v>
      </c>
      <c r="E578" s="455" t="s">
        <v>50</v>
      </c>
      <c r="F578" s="168"/>
      <c r="G578" s="150"/>
      <c r="H578" s="456"/>
      <c r="I578" s="623">
        <v>898.87</v>
      </c>
      <c r="J578" s="168">
        <v>898</v>
      </c>
      <c r="K578" s="168"/>
      <c r="L578" s="168">
        <v>0</v>
      </c>
      <c r="M578" s="139">
        <f t="shared" si="3"/>
        <v>-898.87</v>
      </c>
    </row>
    <row r="579" spans="1:13">
      <c r="A579" s="168">
        <v>80</v>
      </c>
      <c r="B579" s="168" t="s">
        <v>2782</v>
      </c>
      <c r="C579" s="168" t="s">
        <v>2803</v>
      </c>
      <c r="D579" s="455" t="s">
        <v>1553</v>
      </c>
      <c r="E579" s="455" t="s">
        <v>50</v>
      </c>
      <c r="F579" s="168" t="s">
        <v>1572</v>
      </c>
      <c r="G579" s="150">
        <v>77160.34</v>
      </c>
      <c r="H579" s="456">
        <v>78000</v>
      </c>
      <c r="I579" s="623">
        <v>104344.98</v>
      </c>
      <c r="J579" s="168">
        <v>104344.98</v>
      </c>
      <c r="K579" s="168"/>
      <c r="L579" s="168">
        <v>335662</v>
      </c>
      <c r="M579" s="139">
        <f t="shared" si="3"/>
        <v>-27184.639999999999</v>
      </c>
    </row>
    <row r="580" spans="1:13">
      <c r="A580" s="168">
        <v>81</v>
      </c>
      <c r="B580" s="168" t="s">
        <v>2782</v>
      </c>
      <c r="C580" s="168" t="s">
        <v>2803</v>
      </c>
      <c r="D580" s="455" t="s">
        <v>1553</v>
      </c>
      <c r="E580" s="455" t="s">
        <v>50</v>
      </c>
      <c r="F580" s="168" t="s">
        <v>1573</v>
      </c>
      <c r="G580" s="150">
        <v>0</v>
      </c>
      <c r="H580" s="456">
        <v>0</v>
      </c>
      <c r="I580" s="623">
        <v>0</v>
      </c>
      <c r="J580" s="168">
        <v>0</v>
      </c>
      <c r="K580" s="168"/>
      <c r="L580" s="168">
        <v>933</v>
      </c>
      <c r="M580" s="139">
        <f t="shared" si="3"/>
        <v>0</v>
      </c>
    </row>
    <row r="581" spans="1:13">
      <c r="A581" s="168">
        <v>84</v>
      </c>
      <c r="B581" s="168" t="s">
        <v>2782</v>
      </c>
      <c r="C581" s="168" t="s">
        <v>2803</v>
      </c>
      <c r="D581" s="455" t="s">
        <v>1553</v>
      </c>
      <c r="E581" s="455" t="s">
        <v>50</v>
      </c>
      <c r="F581" s="168" t="s">
        <v>1244</v>
      </c>
      <c r="G581" s="150">
        <v>10577.36</v>
      </c>
      <c r="H581" s="456">
        <v>13000</v>
      </c>
      <c r="I581" s="623">
        <v>968.53</v>
      </c>
      <c r="J581" s="168">
        <v>968</v>
      </c>
      <c r="K581" s="168"/>
      <c r="L581" s="168">
        <v>0</v>
      </c>
      <c r="M581" s="139">
        <f t="shared" si="3"/>
        <v>9608.83</v>
      </c>
    </row>
    <row r="582" spans="1:13">
      <c r="A582" s="168">
        <v>87</v>
      </c>
      <c r="B582" s="168" t="s">
        <v>2782</v>
      </c>
      <c r="C582" s="168" t="s">
        <v>2803</v>
      </c>
      <c r="D582" s="455" t="s">
        <v>1553</v>
      </c>
      <c r="E582" s="455" t="s">
        <v>50</v>
      </c>
      <c r="F582" s="168" t="s">
        <v>458</v>
      </c>
      <c r="G582" s="150">
        <v>23694.11</v>
      </c>
      <c r="H582" s="456">
        <v>24000</v>
      </c>
      <c r="I582" s="623">
        <v>77153.039999999994</v>
      </c>
      <c r="J582" s="168">
        <v>77153</v>
      </c>
      <c r="K582" s="168"/>
      <c r="L582" s="168">
        <v>12610</v>
      </c>
      <c r="M582" s="139">
        <f t="shared" si="3"/>
        <v>-53458.929999999993</v>
      </c>
    </row>
    <row r="583" spans="1:13">
      <c r="A583" s="168">
        <v>88</v>
      </c>
      <c r="B583" s="168" t="s">
        <v>2782</v>
      </c>
      <c r="C583" s="168" t="s">
        <v>2803</v>
      </c>
      <c r="D583" s="455" t="s">
        <v>1553</v>
      </c>
      <c r="E583" s="455" t="s">
        <v>50</v>
      </c>
      <c r="F583" s="168" t="s">
        <v>461</v>
      </c>
      <c r="G583" s="150">
        <v>9657.2000000000007</v>
      </c>
      <c r="H583" s="456">
        <v>13000</v>
      </c>
      <c r="I583" s="623">
        <v>22611.47</v>
      </c>
      <c r="J583" s="168">
        <v>22611</v>
      </c>
      <c r="K583" s="168"/>
      <c r="L583" s="168">
        <v>5180</v>
      </c>
      <c r="M583" s="139">
        <f t="shared" si="3"/>
        <v>-12954.27</v>
      </c>
    </row>
    <row r="584" spans="1:13">
      <c r="A584" s="168">
        <v>90</v>
      </c>
      <c r="B584" s="168" t="s">
        <v>2782</v>
      </c>
      <c r="C584" s="168" t="s">
        <v>2803</v>
      </c>
      <c r="D584" s="455" t="s">
        <v>1553</v>
      </c>
      <c r="E584" s="455" t="s">
        <v>50</v>
      </c>
      <c r="F584" s="168" t="s">
        <v>1240</v>
      </c>
      <c r="G584" s="150">
        <v>3067.51</v>
      </c>
      <c r="H584" s="456">
        <v>4000</v>
      </c>
      <c r="I584" s="623">
        <v>6477.4</v>
      </c>
      <c r="J584" s="168">
        <v>6478</v>
      </c>
      <c r="K584" s="168"/>
      <c r="L584" s="168">
        <v>9263</v>
      </c>
      <c r="M584" s="139">
        <f t="shared" si="3"/>
        <v>-3409.8899999999994</v>
      </c>
    </row>
    <row r="585" spans="1:13">
      <c r="A585" s="168">
        <v>91</v>
      </c>
      <c r="B585" s="168" t="s">
        <v>2782</v>
      </c>
      <c r="C585" s="168" t="s">
        <v>2803</v>
      </c>
      <c r="D585" s="455" t="s">
        <v>1553</v>
      </c>
      <c r="E585" s="455" t="s">
        <v>50</v>
      </c>
      <c r="F585" s="168" t="s">
        <v>1577</v>
      </c>
      <c r="G585" s="150">
        <v>0</v>
      </c>
      <c r="H585" s="456">
        <v>8900</v>
      </c>
      <c r="I585" s="623">
        <v>548.57000000000005</v>
      </c>
      <c r="J585" s="168">
        <v>549</v>
      </c>
      <c r="K585" s="168"/>
      <c r="L585" s="168">
        <v>111168</v>
      </c>
      <c r="M585" s="139">
        <f t="shared" si="3"/>
        <v>-548.57000000000005</v>
      </c>
    </row>
    <row r="586" spans="1:13">
      <c r="A586" s="168">
        <v>92</v>
      </c>
      <c r="B586" s="168" t="s">
        <v>2782</v>
      </c>
      <c r="C586" s="168" t="s">
        <v>2803</v>
      </c>
      <c r="D586" s="455" t="s">
        <v>1553</v>
      </c>
      <c r="E586" s="455" t="s">
        <v>50</v>
      </c>
      <c r="F586" s="168" t="s">
        <v>1578</v>
      </c>
      <c r="G586" s="150">
        <v>0</v>
      </c>
      <c r="H586" s="456">
        <v>0</v>
      </c>
      <c r="I586" s="624">
        <v>0</v>
      </c>
      <c r="J586" s="168">
        <v>0</v>
      </c>
      <c r="K586" s="168"/>
      <c r="L586" s="168">
        <v>104344.98</v>
      </c>
      <c r="M586" s="139">
        <f t="shared" si="3"/>
        <v>0</v>
      </c>
    </row>
    <row r="587" spans="1:13">
      <c r="A587" s="168">
        <v>100</v>
      </c>
      <c r="B587" s="168" t="s">
        <v>2782</v>
      </c>
      <c r="C587" s="168" t="s">
        <v>2803</v>
      </c>
      <c r="D587" s="455" t="s">
        <v>1553</v>
      </c>
      <c r="E587" s="455" t="s">
        <v>50</v>
      </c>
      <c r="F587" s="168" t="s">
        <v>1579</v>
      </c>
      <c r="G587" s="150">
        <v>104144.81</v>
      </c>
      <c r="H587" s="456">
        <v>105000</v>
      </c>
      <c r="I587" s="623">
        <v>129415.46</v>
      </c>
      <c r="J587" s="168">
        <v>129415</v>
      </c>
      <c r="K587" s="168"/>
      <c r="L587" s="168">
        <v>2255</v>
      </c>
      <c r="M587" s="139">
        <f t="shared" si="3"/>
        <v>-25270.650000000009</v>
      </c>
    </row>
    <row r="588" spans="1:13">
      <c r="A588" s="168">
        <v>10</v>
      </c>
      <c r="B588" s="168" t="s">
        <v>2782</v>
      </c>
      <c r="C588" s="168" t="s">
        <v>2804</v>
      </c>
      <c r="D588" s="455" t="s">
        <v>1553</v>
      </c>
      <c r="E588" s="455" t="s">
        <v>52</v>
      </c>
      <c r="F588" s="168" t="s">
        <v>1558</v>
      </c>
      <c r="G588" s="150">
        <v>274691.62</v>
      </c>
      <c r="H588" s="456">
        <v>519000</v>
      </c>
      <c r="I588" s="441">
        <v>791716.22</v>
      </c>
      <c r="J588" s="168">
        <v>791716</v>
      </c>
      <c r="K588" s="168"/>
      <c r="L588" s="168">
        <v>3308</v>
      </c>
      <c r="M588" s="139">
        <f t="shared" si="3"/>
        <v>-517024.6</v>
      </c>
    </row>
    <row r="589" spans="1:13">
      <c r="A589" s="168">
        <v>20</v>
      </c>
      <c r="B589" s="168" t="s">
        <v>2782</v>
      </c>
      <c r="C589" s="168" t="s">
        <v>2804</v>
      </c>
      <c r="D589" s="455" t="s">
        <v>1553</v>
      </c>
      <c r="E589" s="455" t="s">
        <v>52</v>
      </c>
      <c r="F589" s="168" t="s">
        <v>1559</v>
      </c>
      <c r="G589" s="150">
        <v>5998.05</v>
      </c>
      <c r="H589" s="456">
        <v>6000</v>
      </c>
      <c r="I589" s="441">
        <v>12662.84</v>
      </c>
      <c r="J589" s="168">
        <v>12662</v>
      </c>
      <c r="K589" s="168"/>
      <c r="L589" s="168">
        <v>1334</v>
      </c>
      <c r="M589" s="139">
        <f t="shared" ref="M589:M652" si="4">G589-I589</f>
        <v>-6664.79</v>
      </c>
    </row>
    <row r="590" spans="1:13">
      <c r="A590" s="168">
        <v>21</v>
      </c>
      <c r="B590" s="168" t="s">
        <v>2782</v>
      </c>
      <c r="C590" s="168" t="s">
        <v>2804</v>
      </c>
      <c r="D590" s="455" t="s">
        <v>1553</v>
      </c>
      <c r="E590" s="455" t="s">
        <v>52</v>
      </c>
      <c r="F590" s="168" t="s">
        <v>1560</v>
      </c>
      <c r="G590" s="150">
        <v>0</v>
      </c>
      <c r="H590" s="456">
        <v>0</v>
      </c>
      <c r="I590" s="169">
        <v>0</v>
      </c>
      <c r="J590" s="168">
        <v>0</v>
      </c>
      <c r="K590" s="168"/>
      <c r="L590" s="168">
        <v>153752</v>
      </c>
      <c r="M590" s="139">
        <f t="shared" si="4"/>
        <v>0</v>
      </c>
    </row>
    <row r="591" spans="1:13">
      <c r="A591" s="168">
        <v>22</v>
      </c>
      <c r="B591" s="168" t="s">
        <v>2782</v>
      </c>
      <c r="C591" s="168" t="s">
        <v>2804</v>
      </c>
      <c r="D591" s="455" t="s">
        <v>1553</v>
      </c>
      <c r="E591" s="455" t="s">
        <v>52</v>
      </c>
      <c r="F591" s="168" t="s">
        <v>1561</v>
      </c>
      <c r="G591" s="150">
        <v>0</v>
      </c>
      <c r="H591" s="456">
        <v>1500</v>
      </c>
      <c r="I591" s="169">
        <v>0</v>
      </c>
      <c r="J591" s="168">
        <v>0</v>
      </c>
      <c r="K591" s="168"/>
      <c r="L591" s="168">
        <v>0</v>
      </c>
      <c r="M591" s="139">
        <f t="shared" si="4"/>
        <v>0</v>
      </c>
    </row>
    <row r="592" spans="1:13">
      <c r="A592" s="168">
        <v>25</v>
      </c>
      <c r="B592" s="168" t="s">
        <v>2782</v>
      </c>
      <c r="C592" s="168" t="s">
        <v>2804</v>
      </c>
      <c r="D592" s="455" t="s">
        <v>1553</v>
      </c>
      <c r="E592" s="455" t="s">
        <v>52</v>
      </c>
      <c r="F592" s="168" t="s">
        <v>1562</v>
      </c>
      <c r="G592" s="150">
        <v>0</v>
      </c>
      <c r="H592" s="456">
        <v>2000</v>
      </c>
      <c r="I592" s="441">
        <v>0</v>
      </c>
      <c r="J592" s="168">
        <v>0</v>
      </c>
      <c r="K592" s="168"/>
      <c r="L592" s="168">
        <v>2614</v>
      </c>
      <c r="M592" s="139">
        <f t="shared" si="4"/>
        <v>0</v>
      </c>
    </row>
    <row r="593" spans="1:15">
      <c r="A593" s="168">
        <v>27</v>
      </c>
      <c r="B593" s="168" t="s">
        <v>2782</v>
      </c>
      <c r="C593" s="168" t="s">
        <v>2804</v>
      </c>
      <c r="D593" s="455" t="s">
        <v>1553</v>
      </c>
      <c r="E593" s="455" t="s">
        <v>52</v>
      </c>
      <c r="F593" s="168" t="s">
        <v>1563</v>
      </c>
      <c r="G593" s="150">
        <v>9497.41</v>
      </c>
      <c r="H593" s="456">
        <v>9500</v>
      </c>
      <c r="I593" s="441">
        <v>11811.23</v>
      </c>
      <c r="J593" s="168">
        <v>11811</v>
      </c>
      <c r="K593" s="168"/>
      <c r="L593" s="168">
        <v>201</v>
      </c>
      <c r="M593" s="139">
        <f t="shared" si="4"/>
        <v>-2313.8199999999997</v>
      </c>
    </row>
    <row r="594" spans="1:15">
      <c r="A594" s="168">
        <v>30</v>
      </c>
      <c r="B594" s="168" t="s">
        <v>2782</v>
      </c>
      <c r="C594" s="168" t="s">
        <v>2804</v>
      </c>
      <c r="D594" s="455" t="s">
        <v>1553</v>
      </c>
      <c r="E594" s="455" t="s">
        <v>52</v>
      </c>
      <c r="F594" s="168" t="s">
        <v>1564</v>
      </c>
      <c r="G594" s="150">
        <v>0</v>
      </c>
      <c r="H594" s="456">
        <v>3000</v>
      </c>
      <c r="I594" s="441">
        <v>3703.5</v>
      </c>
      <c r="J594" s="168">
        <v>3703</v>
      </c>
      <c r="K594" s="168"/>
      <c r="L594" s="168">
        <v>96681</v>
      </c>
      <c r="M594" s="139">
        <f t="shared" si="4"/>
        <v>-3703.5</v>
      </c>
    </row>
    <row r="595" spans="1:15">
      <c r="A595" s="168">
        <v>31</v>
      </c>
      <c r="B595" s="168" t="s">
        <v>2782</v>
      </c>
      <c r="C595" s="168" t="s">
        <v>2804</v>
      </c>
      <c r="D595" s="455" t="s">
        <v>1553</v>
      </c>
      <c r="E595" s="455" t="s">
        <v>52</v>
      </c>
      <c r="F595" s="168" t="s">
        <v>1565</v>
      </c>
      <c r="G595" s="150">
        <v>0</v>
      </c>
      <c r="H595" s="456">
        <v>0</v>
      </c>
      <c r="I595" s="169">
        <v>0</v>
      </c>
      <c r="J595" s="168">
        <v>0</v>
      </c>
      <c r="K595" s="168"/>
      <c r="L595" s="168">
        <v>0</v>
      </c>
      <c r="M595" s="139">
        <f t="shared" si="4"/>
        <v>0</v>
      </c>
    </row>
    <row r="596" spans="1:15">
      <c r="A596" s="168">
        <v>32</v>
      </c>
      <c r="B596" s="168" t="s">
        <v>2782</v>
      </c>
      <c r="C596" s="168" t="s">
        <v>2804</v>
      </c>
      <c r="D596" s="455" t="s">
        <v>1553</v>
      </c>
      <c r="E596" s="455" t="s">
        <v>52</v>
      </c>
      <c r="F596" s="168" t="s">
        <v>1566</v>
      </c>
      <c r="G596" s="150">
        <v>8382.4</v>
      </c>
      <c r="H596" s="456">
        <v>10000</v>
      </c>
      <c r="I596" s="441">
        <v>30439.31</v>
      </c>
      <c r="J596" s="168">
        <v>30439</v>
      </c>
      <c r="K596" s="168"/>
      <c r="L596" s="168">
        <v>0</v>
      </c>
      <c r="M596" s="139">
        <f t="shared" si="4"/>
        <v>-22056.910000000003</v>
      </c>
    </row>
    <row r="597" spans="1:15">
      <c r="A597" s="168">
        <v>50</v>
      </c>
      <c r="B597" s="168" t="s">
        <v>2782</v>
      </c>
      <c r="C597" s="168" t="s">
        <v>2804</v>
      </c>
      <c r="D597" s="455" t="s">
        <v>1553</v>
      </c>
      <c r="E597" s="455" t="s">
        <v>52</v>
      </c>
      <c r="F597" s="168" t="s">
        <v>1567</v>
      </c>
      <c r="G597" s="150">
        <v>2921.51</v>
      </c>
      <c r="H597" s="456">
        <v>4000</v>
      </c>
      <c r="I597" s="441">
        <v>12642.75</v>
      </c>
      <c r="J597" s="168">
        <v>12642</v>
      </c>
      <c r="K597" s="168"/>
      <c r="L597" s="168">
        <v>1149</v>
      </c>
      <c r="M597" s="139">
        <f t="shared" si="4"/>
        <v>-9721.24</v>
      </c>
    </row>
    <row r="598" spans="1:15">
      <c r="A598" s="168">
        <v>52</v>
      </c>
      <c r="B598" s="168" t="s">
        <v>2782</v>
      </c>
      <c r="C598" s="168" t="s">
        <v>2804</v>
      </c>
      <c r="D598" s="455" t="s">
        <v>1553</v>
      </c>
      <c r="E598" s="455" t="s">
        <v>52</v>
      </c>
      <c r="F598" s="168" t="s">
        <v>1568</v>
      </c>
      <c r="G598" s="150">
        <v>9097.61</v>
      </c>
      <c r="H598" s="456">
        <v>16000</v>
      </c>
      <c r="I598" s="441">
        <v>0</v>
      </c>
      <c r="J598" s="168">
        <v>0</v>
      </c>
      <c r="K598" s="168"/>
      <c r="L598" s="168"/>
      <c r="M598" s="139">
        <f t="shared" si="4"/>
        <v>9097.61</v>
      </c>
    </row>
    <row r="599" spans="1:15" s="158" customFormat="1">
      <c r="A599" s="168">
        <v>63</v>
      </c>
      <c r="B599" s="168" t="s">
        <v>2782</v>
      </c>
      <c r="C599" s="168" t="s">
        <v>2804</v>
      </c>
      <c r="D599" s="455" t="s">
        <v>1553</v>
      </c>
      <c r="E599" s="455" t="s">
        <v>52</v>
      </c>
      <c r="F599" s="168" t="s">
        <v>1229</v>
      </c>
      <c r="G599" s="150">
        <v>0</v>
      </c>
      <c r="H599" s="456">
        <v>1300</v>
      </c>
      <c r="I599" s="441">
        <v>0</v>
      </c>
      <c r="J599" s="168">
        <v>0</v>
      </c>
      <c r="K599" s="462"/>
      <c r="L599" s="462"/>
      <c r="M599" s="139">
        <f t="shared" si="4"/>
        <v>0</v>
      </c>
    </row>
    <row r="600" spans="1:15">
      <c r="A600" s="168">
        <v>66</v>
      </c>
      <c r="B600" s="168" t="s">
        <v>2782</v>
      </c>
      <c r="C600" s="168" t="s">
        <v>2804</v>
      </c>
      <c r="D600" s="455" t="s">
        <v>1553</v>
      </c>
      <c r="E600" s="455" t="s">
        <v>52</v>
      </c>
      <c r="F600" s="168" t="s">
        <v>1571</v>
      </c>
      <c r="G600" s="150">
        <v>0</v>
      </c>
      <c r="H600" s="456">
        <v>0</v>
      </c>
      <c r="I600" s="441">
        <v>0</v>
      </c>
      <c r="J600" s="168">
        <v>0</v>
      </c>
      <c r="K600" s="168"/>
      <c r="L600" s="168">
        <v>0</v>
      </c>
      <c r="M600" s="139">
        <f t="shared" si="4"/>
        <v>0</v>
      </c>
    </row>
    <row r="601" spans="1:15">
      <c r="A601" s="168">
        <v>80</v>
      </c>
      <c r="B601" s="168" t="s">
        <v>2782</v>
      </c>
      <c r="C601" s="168" t="s">
        <v>2804</v>
      </c>
      <c r="D601" s="455" t="s">
        <v>1553</v>
      </c>
      <c r="E601" s="455" t="s">
        <v>52</v>
      </c>
      <c r="F601" s="168" t="s">
        <v>1572</v>
      </c>
      <c r="G601" s="150">
        <v>0</v>
      </c>
      <c r="H601" s="456">
        <v>4260</v>
      </c>
      <c r="I601" s="441">
        <v>2254.09</v>
      </c>
      <c r="J601" s="168">
        <v>2255</v>
      </c>
      <c r="K601" s="168"/>
      <c r="L601" s="168">
        <v>0</v>
      </c>
      <c r="M601" s="139">
        <f t="shared" si="4"/>
        <v>-2254.09</v>
      </c>
    </row>
    <row r="602" spans="1:15">
      <c r="A602" s="168">
        <v>81</v>
      </c>
      <c r="B602" s="168" t="s">
        <v>2782</v>
      </c>
      <c r="C602" s="168" t="s">
        <v>2804</v>
      </c>
      <c r="D602" s="455" t="s">
        <v>1553</v>
      </c>
      <c r="E602" s="455" t="s">
        <v>52</v>
      </c>
      <c r="F602" s="168" t="s">
        <v>1573</v>
      </c>
      <c r="G602" s="150">
        <v>0</v>
      </c>
      <c r="H602" s="456">
        <v>1975</v>
      </c>
      <c r="I602" s="441">
        <v>0</v>
      </c>
      <c r="J602" s="168">
        <v>0</v>
      </c>
      <c r="K602" s="168"/>
      <c r="L602" s="168">
        <v>72803</v>
      </c>
      <c r="M602" s="139">
        <f t="shared" si="4"/>
        <v>0</v>
      </c>
    </row>
    <row r="603" spans="1:15">
      <c r="A603" s="168">
        <v>84</v>
      </c>
      <c r="B603" s="168" t="s">
        <v>2782</v>
      </c>
      <c r="C603" s="168" t="s">
        <v>2804</v>
      </c>
      <c r="D603" s="455" t="s">
        <v>1553</v>
      </c>
      <c r="E603" s="455" t="s">
        <v>52</v>
      </c>
      <c r="F603" s="168" t="s">
        <v>1244</v>
      </c>
      <c r="G603" s="150">
        <v>0</v>
      </c>
      <c r="H603" s="456">
        <v>0</v>
      </c>
      <c r="I603" s="441">
        <v>0</v>
      </c>
      <c r="J603" s="168">
        <v>0</v>
      </c>
      <c r="K603" s="168"/>
      <c r="L603" s="168">
        <v>0</v>
      </c>
      <c r="M603" s="139">
        <f t="shared" si="4"/>
        <v>0</v>
      </c>
    </row>
    <row r="604" spans="1:15">
      <c r="A604" s="168">
        <v>87</v>
      </c>
      <c r="B604" s="168" t="s">
        <v>2782</v>
      </c>
      <c r="C604" s="168" t="s">
        <v>2804</v>
      </c>
      <c r="D604" s="455" t="s">
        <v>1553</v>
      </c>
      <c r="E604" s="455" t="s">
        <v>52</v>
      </c>
      <c r="F604" s="168" t="s">
        <v>458</v>
      </c>
      <c r="G604" s="150">
        <v>0</v>
      </c>
      <c r="H604" s="456">
        <v>5000</v>
      </c>
      <c r="I604" s="169">
        <v>0</v>
      </c>
      <c r="J604" s="168">
        <v>0</v>
      </c>
      <c r="K604" s="168"/>
      <c r="L604" s="168">
        <v>0</v>
      </c>
      <c r="M604" s="139">
        <f t="shared" si="4"/>
        <v>0</v>
      </c>
      <c r="N604" s="139" t="s">
        <v>3335</v>
      </c>
      <c r="O604" s="139">
        <v>16578331.51</v>
      </c>
    </row>
    <row r="605" spans="1:15">
      <c r="A605" s="168">
        <v>90</v>
      </c>
      <c r="B605" s="168" t="s">
        <v>2782</v>
      </c>
      <c r="C605" s="168" t="s">
        <v>2804</v>
      </c>
      <c r="D605" s="455" t="s">
        <v>1553</v>
      </c>
      <c r="E605" s="455" t="s">
        <v>52</v>
      </c>
      <c r="F605" s="168" t="s">
        <v>1240</v>
      </c>
      <c r="G605" s="150">
        <v>0</v>
      </c>
      <c r="H605" s="456">
        <v>4200</v>
      </c>
      <c r="I605" s="169">
        <v>0</v>
      </c>
      <c r="J605" s="168">
        <v>0</v>
      </c>
      <c r="K605" s="168"/>
      <c r="L605" s="168">
        <v>26119</v>
      </c>
      <c r="M605" s="139">
        <f t="shared" si="4"/>
        <v>0</v>
      </c>
    </row>
    <row r="606" spans="1:15">
      <c r="A606" s="168">
        <v>91</v>
      </c>
      <c r="B606" s="168" t="s">
        <v>2782</v>
      </c>
      <c r="C606" s="168" t="s">
        <v>2804</v>
      </c>
      <c r="D606" s="455" t="s">
        <v>1553</v>
      </c>
      <c r="E606" s="455" t="s">
        <v>52</v>
      </c>
      <c r="F606" s="168" t="s">
        <v>1577</v>
      </c>
      <c r="G606" s="150">
        <v>0</v>
      </c>
      <c r="H606" s="456">
        <v>0</v>
      </c>
      <c r="I606" s="441">
        <v>0</v>
      </c>
      <c r="J606" s="168">
        <v>0</v>
      </c>
      <c r="K606" s="168"/>
      <c r="L606" s="168">
        <v>137124</v>
      </c>
      <c r="M606" s="139">
        <f t="shared" si="4"/>
        <v>0</v>
      </c>
    </row>
    <row r="607" spans="1:15">
      <c r="A607" s="168">
        <v>92</v>
      </c>
      <c r="B607" s="168" t="s">
        <v>2782</v>
      </c>
      <c r="C607" s="168" t="s">
        <v>2804</v>
      </c>
      <c r="D607" s="455" t="s">
        <v>1553</v>
      </c>
      <c r="E607" s="455" t="s">
        <v>52</v>
      </c>
      <c r="F607" s="168" t="s">
        <v>1578</v>
      </c>
      <c r="G607" s="150">
        <v>0</v>
      </c>
      <c r="H607" s="456">
        <v>0</v>
      </c>
      <c r="I607" s="169">
        <v>0</v>
      </c>
      <c r="J607" s="168">
        <v>0</v>
      </c>
      <c r="K607" s="168"/>
      <c r="L607" s="168">
        <v>0</v>
      </c>
      <c r="M607" s="139">
        <f t="shared" si="4"/>
        <v>0</v>
      </c>
    </row>
    <row r="608" spans="1:15">
      <c r="A608" s="168">
        <v>100</v>
      </c>
      <c r="B608" s="168" t="s">
        <v>2782</v>
      </c>
      <c r="C608" s="168" t="s">
        <v>2804</v>
      </c>
      <c r="D608" s="455" t="s">
        <v>1553</v>
      </c>
      <c r="E608" s="455" t="s">
        <v>52</v>
      </c>
      <c r="F608" s="168" t="s">
        <v>1579</v>
      </c>
      <c r="G608" s="150">
        <v>16452.77</v>
      </c>
      <c r="H608" s="456">
        <v>17000</v>
      </c>
      <c r="I608" s="441">
        <v>18844.12</v>
      </c>
      <c r="J608" s="168">
        <v>18844</v>
      </c>
      <c r="K608" s="168"/>
      <c r="L608" s="168">
        <v>5425</v>
      </c>
      <c r="M608" s="139">
        <f t="shared" si="4"/>
        <v>-2391.3499999999985</v>
      </c>
    </row>
    <row r="609" spans="1:13" s="144" customFormat="1">
      <c r="A609" s="168">
        <v>10</v>
      </c>
      <c r="B609" s="168" t="s">
        <v>2782</v>
      </c>
      <c r="C609" s="168" t="s">
        <v>2805</v>
      </c>
      <c r="D609" s="455" t="s">
        <v>1553</v>
      </c>
      <c r="E609" s="455" t="s">
        <v>52</v>
      </c>
      <c r="F609" s="168" t="s">
        <v>1558</v>
      </c>
      <c r="G609" s="150">
        <v>788612.97</v>
      </c>
      <c r="H609" s="456">
        <v>789000</v>
      </c>
      <c r="I609" s="441">
        <v>1056770.29</v>
      </c>
      <c r="J609" s="168">
        <v>1056770</v>
      </c>
      <c r="K609" s="168"/>
      <c r="L609" s="168">
        <v>98</v>
      </c>
      <c r="M609" s="139">
        <f t="shared" si="4"/>
        <v>-268157.32000000007</v>
      </c>
    </row>
    <row r="610" spans="1:13">
      <c r="A610" s="168">
        <v>20</v>
      </c>
      <c r="B610" s="168" t="s">
        <v>2782</v>
      </c>
      <c r="C610" s="168" t="s">
        <v>2805</v>
      </c>
      <c r="D610" s="455" t="s">
        <v>1553</v>
      </c>
      <c r="E610" s="455" t="s">
        <v>52</v>
      </c>
      <c r="F610" s="168" t="s">
        <v>1559</v>
      </c>
      <c r="G610" s="150">
        <v>44078.93</v>
      </c>
      <c r="H610" s="456">
        <v>44100</v>
      </c>
      <c r="I610" s="441">
        <v>61424.75</v>
      </c>
      <c r="J610" s="168">
        <v>61424.75</v>
      </c>
      <c r="K610" s="168"/>
      <c r="L610" s="168">
        <v>76457</v>
      </c>
      <c r="M610" s="139">
        <f t="shared" si="4"/>
        <v>-17345.82</v>
      </c>
    </row>
    <row r="611" spans="1:13">
      <c r="A611" s="168">
        <v>21</v>
      </c>
      <c r="B611" s="168" t="s">
        <v>2782</v>
      </c>
      <c r="C611" s="168" t="s">
        <v>2805</v>
      </c>
      <c r="D611" s="455" t="s">
        <v>1553</v>
      </c>
      <c r="E611" s="455" t="s">
        <v>52</v>
      </c>
      <c r="F611" s="168" t="s">
        <v>1560</v>
      </c>
      <c r="G611" s="150">
        <v>0</v>
      </c>
      <c r="H611" s="456">
        <v>0</v>
      </c>
      <c r="I611" s="169">
        <v>0</v>
      </c>
      <c r="J611" s="168">
        <v>0</v>
      </c>
      <c r="K611" s="168"/>
      <c r="L611" s="168">
        <v>968</v>
      </c>
      <c r="M611" s="139">
        <f t="shared" si="4"/>
        <v>0</v>
      </c>
    </row>
    <row r="612" spans="1:13">
      <c r="A612" s="168">
        <v>22</v>
      </c>
      <c r="B612" s="168" t="s">
        <v>2782</v>
      </c>
      <c r="C612" s="168" t="s">
        <v>2805</v>
      </c>
      <c r="D612" s="455" t="s">
        <v>1553</v>
      </c>
      <c r="E612" s="455" t="s">
        <v>52</v>
      </c>
      <c r="F612" s="168" t="s">
        <v>1561</v>
      </c>
      <c r="G612" s="150">
        <v>0</v>
      </c>
      <c r="H612" s="456">
        <v>3000</v>
      </c>
      <c r="I612" s="169">
        <v>0</v>
      </c>
      <c r="J612" s="168">
        <v>0</v>
      </c>
      <c r="K612" s="168"/>
      <c r="L612" s="168">
        <v>0</v>
      </c>
      <c r="M612" s="139">
        <f t="shared" si="4"/>
        <v>0</v>
      </c>
    </row>
    <row r="613" spans="1:13">
      <c r="A613" s="168">
        <v>25</v>
      </c>
      <c r="B613" s="168" t="s">
        <v>2782</v>
      </c>
      <c r="C613" s="168" t="s">
        <v>2805</v>
      </c>
      <c r="D613" s="455" t="s">
        <v>1553</v>
      </c>
      <c r="E613" s="455" t="s">
        <v>52</v>
      </c>
      <c r="F613" s="168" t="s">
        <v>1562</v>
      </c>
      <c r="G613" s="150">
        <v>6945.36</v>
      </c>
      <c r="H613" s="456">
        <v>7000</v>
      </c>
      <c r="I613" s="441">
        <v>1122.1400000000001</v>
      </c>
      <c r="J613" s="168">
        <v>1123</v>
      </c>
      <c r="K613" s="168"/>
      <c r="L613" s="168">
        <v>16506</v>
      </c>
      <c r="M613" s="139">
        <f t="shared" si="4"/>
        <v>5823.2199999999993</v>
      </c>
    </row>
    <row r="614" spans="1:13">
      <c r="A614" s="168">
        <v>27</v>
      </c>
      <c r="B614" s="168" t="s">
        <v>2782</v>
      </c>
      <c r="C614" s="168" t="s">
        <v>2805</v>
      </c>
      <c r="D614" s="455" t="s">
        <v>1553</v>
      </c>
      <c r="E614" s="455" t="s">
        <v>52</v>
      </c>
      <c r="F614" s="168" t="s">
        <v>1563</v>
      </c>
      <c r="G614" s="150">
        <v>1988.98</v>
      </c>
      <c r="H614" s="456">
        <v>2700</v>
      </c>
      <c r="I614" s="441">
        <v>62.38</v>
      </c>
      <c r="J614" s="168">
        <v>63</v>
      </c>
      <c r="K614" s="168"/>
      <c r="L614" s="168">
        <v>0</v>
      </c>
      <c r="M614" s="139">
        <f t="shared" si="4"/>
        <v>1926.6</v>
      </c>
    </row>
    <row r="615" spans="1:13">
      <c r="A615" s="168">
        <v>30</v>
      </c>
      <c r="B615" s="168" t="s">
        <v>2782</v>
      </c>
      <c r="C615" s="168" t="s">
        <v>2805</v>
      </c>
      <c r="D615" s="455" t="s">
        <v>1553</v>
      </c>
      <c r="E615" s="455" t="s">
        <v>52</v>
      </c>
      <c r="F615" s="168" t="s">
        <v>1564</v>
      </c>
      <c r="G615" s="150"/>
      <c r="H615" s="456"/>
      <c r="I615" s="441">
        <v>846.08</v>
      </c>
      <c r="J615" s="168">
        <v>847</v>
      </c>
      <c r="K615" s="168"/>
      <c r="L615" s="168">
        <v>0</v>
      </c>
      <c r="M615" s="139">
        <f t="shared" si="4"/>
        <v>-846.08</v>
      </c>
    </row>
    <row r="616" spans="1:13">
      <c r="A616" s="168">
        <v>31</v>
      </c>
      <c r="B616" s="168" t="s">
        <v>2782</v>
      </c>
      <c r="C616" s="168" t="s">
        <v>2805</v>
      </c>
      <c r="D616" s="455" t="s">
        <v>1553</v>
      </c>
      <c r="E616" s="455" t="s">
        <v>52</v>
      </c>
      <c r="F616" s="168" t="s">
        <v>1565</v>
      </c>
      <c r="G616" s="150">
        <v>0</v>
      </c>
      <c r="H616" s="456">
        <v>0</v>
      </c>
      <c r="I616" s="169">
        <v>0</v>
      </c>
      <c r="J616" s="168">
        <v>0</v>
      </c>
      <c r="K616" s="168"/>
      <c r="L616" s="168">
        <v>0</v>
      </c>
      <c r="M616" s="139">
        <f t="shared" si="4"/>
        <v>0</v>
      </c>
    </row>
    <row r="617" spans="1:13">
      <c r="A617" s="168">
        <v>32</v>
      </c>
      <c r="B617" s="168" t="s">
        <v>2782</v>
      </c>
      <c r="C617" s="168" t="s">
        <v>2805</v>
      </c>
      <c r="D617" s="455" t="s">
        <v>1553</v>
      </c>
      <c r="E617" s="455" t="s">
        <v>52</v>
      </c>
      <c r="F617" s="168" t="s">
        <v>1566</v>
      </c>
      <c r="G617" s="150">
        <v>0</v>
      </c>
      <c r="H617" s="456">
        <v>0</v>
      </c>
      <c r="I617" s="169">
        <v>0</v>
      </c>
      <c r="J617" s="168">
        <v>0</v>
      </c>
      <c r="K617" s="168"/>
      <c r="L617" s="168">
        <v>0</v>
      </c>
      <c r="M617" s="139">
        <f t="shared" si="4"/>
        <v>0</v>
      </c>
    </row>
    <row r="618" spans="1:13">
      <c r="A618" s="168">
        <v>50</v>
      </c>
      <c r="B618" s="168" t="s">
        <v>2782</v>
      </c>
      <c r="C618" s="168" t="s">
        <v>2805</v>
      </c>
      <c r="D618" s="455" t="s">
        <v>1553</v>
      </c>
      <c r="E618" s="455" t="s">
        <v>52</v>
      </c>
      <c r="F618" s="168" t="s">
        <v>1567</v>
      </c>
      <c r="G618" s="150">
        <v>32892.71</v>
      </c>
      <c r="H618" s="456">
        <v>35000</v>
      </c>
      <c r="I618" s="441">
        <v>3153.57</v>
      </c>
      <c r="J618" s="168">
        <v>3154</v>
      </c>
      <c r="K618" s="168"/>
      <c r="L618" s="168">
        <v>280</v>
      </c>
      <c r="M618" s="139">
        <f t="shared" si="4"/>
        <v>29739.14</v>
      </c>
    </row>
    <row r="619" spans="1:13">
      <c r="A619" s="168">
        <v>63</v>
      </c>
      <c r="B619" s="168" t="s">
        <v>2782</v>
      </c>
      <c r="C619" s="168" t="s">
        <v>2805</v>
      </c>
      <c r="D619" s="455" t="s">
        <v>1553</v>
      </c>
      <c r="E619" s="455" t="s">
        <v>52</v>
      </c>
      <c r="F619" s="168" t="s">
        <v>1229</v>
      </c>
      <c r="G619" s="150">
        <v>9628.0499999999993</v>
      </c>
      <c r="H619" s="456">
        <v>9924</v>
      </c>
      <c r="I619" s="441">
        <v>1727.93</v>
      </c>
      <c r="J619" s="168">
        <v>1727</v>
      </c>
      <c r="K619" s="168"/>
      <c r="L619" s="168">
        <v>0</v>
      </c>
      <c r="M619" s="139">
        <f t="shared" si="4"/>
        <v>7900.119999999999</v>
      </c>
    </row>
    <row r="620" spans="1:13">
      <c r="A620" s="168">
        <v>66</v>
      </c>
      <c r="B620" s="168" t="s">
        <v>2782</v>
      </c>
      <c r="C620" s="168" t="s">
        <v>2805</v>
      </c>
      <c r="D620" s="455" t="s">
        <v>1553</v>
      </c>
      <c r="E620" s="455" t="s">
        <v>52</v>
      </c>
      <c r="F620" s="168" t="s">
        <v>1571</v>
      </c>
      <c r="G620" s="150">
        <v>6511.03</v>
      </c>
      <c r="H620" s="456">
        <v>6600</v>
      </c>
      <c r="I620" s="441">
        <v>702.05</v>
      </c>
      <c r="J620" s="168">
        <v>702</v>
      </c>
      <c r="K620" s="168"/>
      <c r="L620" s="168">
        <v>0</v>
      </c>
      <c r="M620" s="139">
        <f t="shared" si="4"/>
        <v>5808.98</v>
      </c>
    </row>
    <row r="621" spans="1:13">
      <c r="A621" s="168">
        <v>80</v>
      </c>
      <c r="B621" s="168" t="s">
        <v>2782</v>
      </c>
      <c r="C621" s="168" t="s">
        <v>2805</v>
      </c>
      <c r="D621" s="455" t="s">
        <v>1553</v>
      </c>
      <c r="E621" s="455" t="s">
        <v>52</v>
      </c>
      <c r="F621" s="168" t="s">
        <v>1572</v>
      </c>
      <c r="G621" s="150">
        <v>18193.39</v>
      </c>
      <c r="H621" s="456">
        <v>18200</v>
      </c>
      <c r="I621" s="441">
        <v>3308.88</v>
      </c>
      <c r="J621" s="168">
        <v>3308</v>
      </c>
      <c r="K621" s="168"/>
      <c r="L621" s="168">
        <v>0</v>
      </c>
      <c r="M621" s="139">
        <f t="shared" si="4"/>
        <v>14884.509999999998</v>
      </c>
    </row>
    <row r="622" spans="1:13">
      <c r="A622" s="168">
        <v>81</v>
      </c>
      <c r="B622" s="168" t="s">
        <v>2782</v>
      </c>
      <c r="C622" s="168" t="s">
        <v>2805</v>
      </c>
      <c r="D622" s="455" t="s">
        <v>1553</v>
      </c>
      <c r="E622" s="455" t="s">
        <v>52</v>
      </c>
      <c r="F622" s="168" t="s">
        <v>1573</v>
      </c>
      <c r="G622" s="150">
        <v>6547.54</v>
      </c>
      <c r="H622" s="456">
        <v>6600</v>
      </c>
      <c r="I622" s="441">
        <v>1148.73</v>
      </c>
      <c r="J622" s="168">
        <v>1149</v>
      </c>
      <c r="K622" s="168"/>
      <c r="L622" s="168">
        <v>0</v>
      </c>
      <c r="M622" s="139">
        <f t="shared" si="4"/>
        <v>5398.8099999999995</v>
      </c>
    </row>
    <row r="623" spans="1:13">
      <c r="A623" s="168">
        <v>84</v>
      </c>
      <c r="B623" s="168" t="s">
        <v>2782</v>
      </c>
      <c r="C623" s="168" t="s">
        <v>2805</v>
      </c>
      <c r="D623" s="455" t="s">
        <v>1553</v>
      </c>
      <c r="E623" s="455" t="s">
        <v>52</v>
      </c>
      <c r="F623" s="168" t="s">
        <v>1244</v>
      </c>
      <c r="G623" s="150">
        <v>45253.09</v>
      </c>
      <c r="H623" s="456">
        <v>45300</v>
      </c>
      <c r="I623" s="441">
        <v>16506.64</v>
      </c>
      <c r="J623" s="168">
        <v>16506</v>
      </c>
      <c r="K623" s="168"/>
      <c r="L623" s="168">
        <v>77153</v>
      </c>
      <c r="M623" s="139">
        <f t="shared" si="4"/>
        <v>28746.449999999997</v>
      </c>
    </row>
    <row r="624" spans="1:13">
      <c r="A624" s="168">
        <v>90</v>
      </c>
      <c r="B624" s="168" t="s">
        <v>2782</v>
      </c>
      <c r="C624" s="168" t="s">
        <v>2805</v>
      </c>
      <c r="D624" s="455" t="s">
        <v>1553</v>
      </c>
      <c r="E624" s="455" t="s">
        <v>52</v>
      </c>
      <c r="F624" s="168" t="s">
        <v>1240</v>
      </c>
      <c r="G624" s="150">
        <v>0</v>
      </c>
      <c r="H624" s="456">
        <v>0</v>
      </c>
      <c r="I624" s="169">
        <v>0</v>
      </c>
      <c r="J624" s="168">
        <v>0</v>
      </c>
      <c r="K624" s="168"/>
      <c r="L624" s="168">
        <v>0</v>
      </c>
      <c r="M624" s="139">
        <f t="shared" si="4"/>
        <v>0</v>
      </c>
    </row>
    <row r="625" spans="1:13">
      <c r="A625" s="168">
        <v>91</v>
      </c>
      <c r="B625" s="168" t="s">
        <v>2782</v>
      </c>
      <c r="C625" s="168" t="s">
        <v>2805</v>
      </c>
      <c r="D625" s="455" t="s">
        <v>1553</v>
      </c>
      <c r="E625" s="455" t="s">
        <v>52</v>
      </c>
      <c r="F625" s="168" t="s">
        <v>1577</v>
      </c>
      <c r="G625" s="150">
        <v>0</v>
      </c>
      <c r="H625" s="456">
        <v>0</v>
      </c>
      <c r="I625" s="441">
        <v>0</v>
      </c>
      <c r="J625" s="168">
        <v>0</v>
      </c>
      <c r="K625" s="168"/>
      <c r="L625" s="168">
        <v>0</v>
      </c>
      <c r="M625" s="139">
        <f t="shared" si="4"/>
        <v>0</v>
      </c>
    </row>
    <row r="626" spans="1:13">
      <c r="A626" s="168">
        <v>92</v>
      </c>
      <c r="B626" s="168" t="s">
        <v>2782</v>
      </c>
      <c r="C626" s="168" t="s">
        <v>2805</v>
      </c>
      <c r="D626" s="455" t="s">
        <v>1553</v>
      </c>
      <c r="E626" s="455" t="s">
        <v>52</v>
      </c>
      <c r="F626" s="168" t="s">
        <v>1578</v>
      </c>
      <c r="G626" s="150">
        <v>0</v>
      </c>
      <c r="H626" s="456">
        <v>0</v>
      </c>
      <c r="I626" s="169">
        <v>0</v>
      </c>
      <c r="J626" s="168">
        <v>0</v>
      </c>
      <c r="K626" s="168"/>
      <c r="L626" s="168">
        <v>0</v>
      </c>
      <c r="M626" s="139">
        <f t="shared" si="4"/>
        <v>0</v>
      </c>
    </row>
    <row r="627" spans="1:13">
      <c r="A627" s="168">
        <v>100</v>
      </c>
      <c r="B627" s="168" t="s">
        <v>2782</v>
      </c>
      <c r="C627" s="168" t="s">
        <v>2805</v>
      </c>
      <c r="D627" s="455" t="s">
        <v>1553</v>
      </c>
      <c r="E627" s="455" t="s">
        <v>52</v>
      </c>
      <c r="F627" s="168" t="s">
        <v>1579</v>
      </c>
      <c r="G627" s="150">
        <v>74365.289999999994</v>
      </c>
      <c r="H627" s="456">
        <v>74366</v>
      </c>
      <c r="I627" s="441">
        <v>12075.31</v>
      </c>
      <c r="J627" s="168">
        <v>12067</v>
      </c>
      <c r="K627" s="168"/>
      <c r="L627" s="168">
        <v>1503</v>
      </c>
      <c r="M627" s="139">
        <f t="shared" si="4"/>
        <v>62289.979999999996</v>
      </c>
    </row>
    <row r="628" spans="1:13">
      <c r="A628" s="168">
        <v>10</v>
      </c>
      <c r="B628" s="168" t="s">
        <v>2782</v>
      </c>
      <c r="C628" s="168" t="s">
        <v>2806</v>
      </c>
      <c r="D628" s="455" t="s">
        <v>1553</v>
      </c>
      <c r="E628" s="455" t="s">
        <v>55</v>
      </c>
      <c r="F628" s="168" t="s">
        <v>1558</v>
      </c>
      <c r="G628" s="150">
        <v>79762.12</v>
      </c>
      <c r="H628" s="456">
        <v>80000</v>
      </c>
      <c r="I628" s="160">
        <v>400712.76</v>
      </c>
      <c r="J628" s="168">
        <v>400712</v>
      </c>
      <c r="K628" s="168"/>
      <c r="L628" s="168">
        <v>0</v>
      </c>
      <c r="M628" s="139">
        <f t="shared" si="4"/>
        <v>-320950.64</v>
      </c>
    </row>
    <row r="629" spans="1:13">
      <c r="A629" s="168">
        <v>27</v>
      </c>
      <c r="B629" s="168" t="s">
        <v>2782</v>
      </c>
      <c r="C629" s="168" t="s">
        <v>2806</v>
      </c>
      <c r="D629" s="455" t="s">
        <v>1553</v>
      </c>
      <c r="E629" s="455" t="s">
        <v>160</v>
      </c>
      <c r="F629" s="168" t="s">
        <v>1563</v>
      </c>
      <c r="G629" s="150">
        <v>298936.33</v>
      </c>
      <c r="H629" s="456">
        <v>300000</v>
      </c>
      <c r="I629" s="168">
        <v>0</v>
      </c>
      <c r="J629" s="168">
        <v>0</v>
      </c>
      <c r="K629" s="168"/>
      <c r="L629" s="168">
        <v>2078</v>
      </c>
      <c r="M629" s="139">
        <f t="shared" si="4"/>
        <v>298936.33</v>
      </c>
    </row>
    <row r="630" spans="1:13">
      <c r="A630" s="168">
        <v>30</v>
      </c>
      <c r="B630" s="168" t="s">
        <v>2782</v>
      </c>
      <c r="C630" s="168" t="s">
        <v>2806</v>
      </c>
      <c r="D630" s="455" t="s">
        <v>1553</v>
      </c>
      <c r="E630" s="455" t="s">
        <v>160</v>
      </c>
      <c r="F630" s="168" t="s">
        <v>1564</v>
      </c>
      <c r="G630" s="150">
        <v>408724.11</v>
      </c>
      <c r="H630" s="456">
        <v>410000</v>
      </c>
      <c r="I630" s="160">
        <v>0</v>
      </c>
      <c r="J630" s="168">
        <v>0</v>
      </c>
      <c r="K630" s="168"/>
      <c r="L630" s="168">
        <v>22611</v>
      </c>
      <c r="M630" s="139">
        <f t="shared" si="4"/>
        <v>408724.11</v>
      </c>
    </row>
    <row r="631" spans="1:13">
      <c r="A631" s="168">
        <v>50</v>
      </c>
      <c r="B631" s="168" t="s">
        <v>2782</v>
      </c>
      <c r="C631" s="168" t="s">
        <v>2806</v>
      </c>
      <c r="D631" s="455" t="s">
        <v>1553</v>
      </c>
      <c r="E631" s="455" t="s">
        <v>261</v>
      </c>
      <c r="F631" s="168" t="s">
        <v>1567</v>
      </c>
      <c r="G631" s="150">
        <v>1547675.29</v>
      </c>
      <c r="H631" s="456">
        <v>1557600</v>
      </c>
      <c r="I631" s="168">
        <v>0</v>
      </c>
      <c r="J631" s="168">
        <v>0</v>
      </c>
      <c r="K631" s="168"/>
      <c r="L631" s="168">
        <v>22650</v>
      </c>
      <c r="M631" s="139">
        <f t="shared" si="4"/>
        <v>1547675.29</v>
      </c>
    </row>
    <row r="632" spans="1:13">
      <c r="A632" s="462">
        <v>10</v>
      </c>
      <c r="B632" s="462" t="s">
        <v>2782</v>
      </c>
      <c r="C632" s="462" t="s">
        <v>2807</v>
      </c>
      <c r="D632" s="459" t="s">
        <v>1553</v>
      </c>
      <c r="E632" s="459" t="s">
        <v>57</v>
      </c>
      <c r="F632" s="462" t="s">
        <v>1558</v>
      </c>
      <c r="G632" s="460">
        <v>107944.37</v>
      </c>
      <c r="H632" s="461">
        <v>108000</v>
      </c>
      <c r="I632" s="452">
        <v>117039.44</v>
      </c>
      <c r="J632" s="462">
        <v>101996</v>
      </c>
      <c r="K632" s="168"/>
      <c r="L632" s="168">
        <v>411</v>
      </c>
      <c r="M632" s="139">
        <f t="shared" si="4"/>
        <v>-9095.070000000007</v>
      </c>
    </row>
    <row r="633" spans="1:13">
      <c r="A633" s="168">
        <v>50</v>
      </c>
      <c r="B633" s="168" t="s">
        <v>2782</v>
      </c>
      <c r="C633" s="168" t="s">
        <v>2807</v>
      </c>
      <c r="D633" s="455" t="s">
        <v>1553</v>
      </c>
      <c r="E633" s="455" t="s">
        <v>263</v>
      </c>
      <c r="F633" s="168" t="s">
        <v>1567</v>
      </c>
      <c r="G633" s="150">
        <v>206265.08</v>
      </c>
      <c r="H633" s="456">
        <v>210000</v>
      </c>
      <c r="I633" s="168">
        <v>0</v>
      </c>
      <c r="J633" s="168">
        <v>0</v>
      </c>
      <c r="K633" s="168"/>
      <c r="L633" s="168">
        <v>292</v>
      </c>
      <c r="M633" s="139">
        <f t="shared" si="4"/>
        <v>206265.08</v>
      </c>
    </row>
    <row r="634" spans="1:13">
      <c r="A634" s="168">
        <v>50</v>
      </c>
      <c r="B634" s="168" t="s">
        <v>2782</v>
      </c>
      <c r="C634" s="168" t="s">
        <v>2866</v>
      </c>
      <c r="D634" s="455" t="s">
        <v>1553</v>
      </c>
      <c r="E634" s="455" t="s">
        <v>263</v>
      </c>
      <c r="F634" s="168" t="s">
        <v>1567</v>
      </c>
      <c r="G634" s="150">
        <v>0</v>
      </c>
      <c r="H634" s="456">
        <v>0</v>
      </c>
      <c r="I634" s="168">
        <v>0</v>
      </c>
      <c r="J634" s="168">
        <v>0</v>
      </c>
      <c r="K634" s="168"/>
      <c r="L634" s="168">
        <v>0</v>
      </c>
      <c r="M634" s="139">
        <f t="shared" si="4"/>
        <v>0</v>
      </c>
    </row>
    <row r="635" spans="1:13">
      <c r="A635" s="168">
        <v>52</v>
      </c>
      <c r="B635" s="168" t="s">
        <v>2782</v>
      </c>
      <c r="C635" s="168" t="s">
        <v>2866</v>
      </c>
      <c r="D635" s="455" t="s">
        <v>1553</v>
      </c>
      <c r="E635" s="455" t="s">
        <v>2964</v>
      </c>
      <c r="F635" s="168"/>
      <c r="G635" s="150"/>
      <c r="H635" s="456"/>
      <c r="I635" s="160">
        <v>22.06</v>
      </c>
      <c r="J635" s="168">
        <v>23</v>
      </c>
      <c r="K635" s="168"/>
      <c r="L635" s="168">
        <v>1061</v>
      </c>
      <c r="M635" s="139">
        <f t="shared" si="4"/>
        <v>-22.06</v>
      </c>
    </row>
    <row r="636" spans="1:13">
      <c r="A636" s="168">
        <v>63</v>
      </c>
      <c r="B636" s="168" t="s">
        <v>2782</v>
      </c>
      <c r="C636" s="168" t="s">
        <v>2866</v>
      </c>
      <c r="D636" s="455" t="s">
        <v>1553</v>
      </c>
      <c r="E636" s="455" t="s">
        <v>60</v>
      </c>
      <c r="F636" s="168" t="s">
        <v>1229</v>
      </c>
      <c r="G636" s="150">
        <v>0</v>
      </c>
      <c r="H636" s="456">
        <v>0</v>
      </c>
      <c r="I636" s="168">
        <v>0</v>
      </c>
      <c r="J636" s="168">
        <v>0</v>
      </c>
      <c r="K636" s="168"/>
      <c r="L636" s="168">
        <v>0</v>
      </c>
      <c r="M636" s="139">
        <f t="shared" si="4"/>
        <v>0</v>
      </c>
    </row>
    <row r="637" spans="1:13">
      <c r="A637" s="168">
        <v>66</v>
      </c>
      <c r="B637" s="168" t="s">
        <v>2782</v>
      </c>
      <c r="C637" s="168" t="s">
        <v>2866</v>
      </c>
      <c r="D637" s="455" t="s">
        <v>1553</v>
      </c>
      <c r="E637" s="455" t="s">
        <v>1179</v>
      </c>
      <c r="F637" s="168" t="s">
        <v>1571</v>
      </c>
      <c r="G637" s="150">
        <v>0</v>
      </c>
      <c r="H637" s="456">
        <v>0</v>
      </c>
      <c r="I637" s="168">
        <v>0</v>
      </c>
      <c r="J637" s="168">
        <v>0</v>
      </c>
      <c r="K637" s="168"/>
      <c r="L637" s="168">
        <v>6478</v>
      </c>
      <c r="M637" s="139">
        <f t="shared" si="4"/>
        <v>0</v>
      </c>
    </row>
    <row r="638" spans="1:13">
      <c r="A638" s="168">
        <v>87</v>
      </c>
      <c r="B638" s="168" t="s">
        <v>2782</v>
      </c>
      <c r="C638" s="168" t="s">
        <v>2952</v>
      </c>
      <c r="D638" s="455" t="s">
        <v>1553</v>
      </c>
      <c r="E638" s="455" t="s">
        <v>458</v>
      </c>
      <c r="F638" s="168" t="s">
        <v>458</v>
      </c>
      <c r="G638" s="150">
        <v>0</v>
      </c>
      <c r="H638" s="456">
        <v>0</v>
      </c>
      <c r="I638" s="168">
        <v>0</v>
      </c>
      <c r="J638" s="168">
        <v>0</v>
      </c>
      <c r="K638" s="168"/>
      <c r="L638" s="168">
        <v>0</v>
      </c>
      <c r="M638" s="139">
        <f t="shared" si="4"/>
        <v>0</v>
      </c>
    </row>
    <row r="639" spans="1:13">
      <c r="A639" s="168">
        <v>88</v>
      </c>
      <c r="B639" s="168" t="s">
        <v>2782</v>
      </c>
      <c r="C639" s="168" t="s">
        <v>2952</v>
      </c>
      <c r="D639" s="455" t="s">
        <v>1553</v>
      </c>
      <c r="E639" s="455" t="s">
        <v>461</v>
      </c>
      <c r="F639" s="168" t="s">
        <v>461</v>
      </c>
      <c r="G639" s="150">
        <v>28827.5</v>
      </c>
      <c r="H639" s="456">
        <v>38000</v>
      </c>
      <c r="I639" s="160">
        <v>22650</v>
      </c>
      <c r="J639" s="168">
        <v>22650</v>
      </c>
      <c r="K639" s="168"/>
      <c r="L639" s="168">
        <v>0</v>
      </c>
      <c r="M639" s="139">
        <f t="shared" si="4"/>
        <v>6177.5</v>
      </c>
    </row>
    <row r="640" spans="1:13">
      <c r="A640" s="168">
        <v>87</v>
      </c>
      <c r="B640" s="168" t="s">
        <v>2782</v>
      </c>
      <c r="C640" s="168" t="s">
        <v>2808</v>
      </c>
      <c r="D640" s="455" t="s">
        <v>1553</v>
      </c>
      <c r="E640" s="455" t="s">
        <v>458</v>
      </c>
      <c r="F640" s="168" t="s">
        <v>458</v>
      </c>
      <c r="G640" s="150">
        <v>245000</v>
      </c>
      <c r="H640" s="456">
        <v>245000</v>
      </c>
      <c r="I640" s="169">
        <v>0</v>
      </c>
      <c r="J640" s="168">
        <v>0</v>
      </c>
      <c r="K640" s="168"/>
      <c r="L640" s="168">
        <v>16000</v>
      </c>
      <c r="M640" s="139">
        <f t="shared" si="4"/>
        <v>245000</v>
      </c>
    </row>
    <row r="641" spans="1:13">
      <c r="A641" s="168">
        <v>100</v>
      </c>
      <c r="B641" s="168" t="s">
        <v>2782</v>
      </c>
      <c r="C641" s="168" t="s">
        <v>2808</v>
      </c>
      <c r="D641" s="455" t="s">
        <v>1553</v>
      </c>
      <c r="E641" s="455" t="s">
        <v>2967</v>
      </c>
      <c r="F641" s="168"/>
      <c r="G641" s="150"/>
      <c r="H641" s="456"/>
      <c r="I641" s="441">
        <v>268821</v>
      </c>
      <c r="J641" s="168">
        <v>268821</v>
      </c>
      <c r="K641" s="168"/>
      <c r="L641" s="168">
        <v>0</v>
      </c>
      <c r="M641" s="139">
        <f t="shared" si="4"/>
        <v>-268821</v>
      </c>
    </row>
    <row r="642" spans="1:13">
      <c r="A642" s="168">
        <v>100</v>
      </c>
      <c r="B642" s="168" t="s">
        <v>2782</v>
      </c>
      <c r="C642" s="168" t="s">
        <v>2884</v>
      </c>
      <c r="D642" s="455" t="s">
        <v>1553</v>
      </c>
      <c r="E642" s="455" t="s">
        <v>2968</v>
      </c>
      <c r="F642" s="168"/>
      <c r="G642" s="150"/>
      <c r="H642" s="456"/>
      <c r="I642" s="441">
        <v>92860.5</v>
      </c>
      <c r="J642" s="168">
        <v>92860</v>
      </c>
      <c r="K642" s="168"/>
      <c r="L642" s="168">
        <v>0</v>
      </c>
      <c r="M642" s="139">
        <f t="shared" si="4"/>
        <v>-92860.5</v>
      </c>
    </row>
    <row r="643" spans="1:13">
      <c r="A643" s="168">
        <v>63</v>
      </c>
      <c r="B643" s="168" t="s">
        <v>2782</v>
      </c>
      <c r="C643" s="168" t="s">
        <v>2892</v>
      </c>
      <c r="D643" s="455" t="s">
        <v>1553</v>
      </c>
      <c r="E643" s="455" t="s">
        <v>1335</v>
      </c>
      <c r="F643" s="168" t="s">
        <v>1229</v>
      </c>
      <c r="G643" s="150">
        <v>1255.3</v>
      </c>
      <c r="H643" s="456">
        <v>1300</v>
      </c>
      <c r="I643" s="169">
        <v>0</v>
      </c>
      <c r="J643" s="168">
        <v>0</v>
      </c>
      <c r="K643" s="168"/>
      <c r="L643" s="168">
        <v>0</v>
      </c>
      <c r="M643" s="139">
        <f t="shared" si="4"/>
        <v>1255.3</v>
      </c>
    </row>
    <row r="644" spans="1:13">
      <c r="A644" s="168">
        <v>50</v>
      </c>
      <c r="B644" s="168" t="s">
        <v>2782</v>
      </c>
      <c r="C644" s="168" t="s">
        <v>2867</v>
      </c>
      <c r="D644" s="455" t="s">
        <v>1553</v>
      </c>
      <c r="E644" s="455" t="s">
        <v>59</v>
      </c>
      <c r="F644" s="168" t="s">
        <v>1567</v>
      </c>
      <c r="G644" s="150">
        <v>0</v>
      </c>
      <c r="H644" s="456">
        <v>0</v>
      </c>
      <c r="I644" s="169">
        <v>0</v>
      </c>
      <c r="J644" s="168">
        <v>0</v>
      </c>
      <c r="K644" s="168"/>
      <c r="L644" s="168">
        <v>0</v>
      </c>
      <c r="M644" s="139">
        <f t="shared" si="4"/>
        <v>0</v>
      </c>
    </row>
    <row r="645" spans="1:13">
      <c r="A645" s="168">
        <v>87</v>
      </c>
      <c r="B645" s="168" t="s">
        <v>2782</v>
      </c>
      <c r="C645" s="168" t="s">
        <v>2953</v>
      </c>
      <c r="D645" s="455" t="s">
        <v>1553</v>
      </c>
      <c r="E645" s="455" t="s">
        <v>2966</v>
      </c>
      <c r="F645" s="168"/>
      <c r="G645" s="150"/>
      <c r="H645" s="456"/>
      <c r="I645" s="441">
        <v>1503.07</v>
      </c>
      <c r="J645" s="168">
        <v>1503</v>
      </c>
      <c r="K645" s="168"/>
      <c r="L645" s="168">
        <v>549</v>
      </c>
      <c r="M645" s="139">
        <f t="shared" si="4"/>
        <v>-1503.07</v>
      </c>
    </row>
    <row r="646" spans="1:13">
      <c r="A646" s="168">
        <v>10</v>
      </c>
      <c r="B646" s="168" t="s">
        <v>2782</v>
      </c>
      <c r="C646" s="168" t="s">
        <v>2809</v>
      </c>
      <c r="D646" s="455" t="s">
        <v>1553</v>
      </c>
      <c r="E646" s="455" t="s">
        <v>59</v>
      </c>
      <c r="F646" s="168" t="s">
        <v>1558</v>
      </c>
      <c r="G646" s="150">
        <v>0</v>
      </c>
      <c r="H646" s="456">
        <v>0</v>
      </c>
      <c r="I646" s="441">
        <v>225453.42</v>
      </c>
      <c r="J646" s="168">
        <v>225453</v>
      </c>
      <c r="K646" s="168"/>
      <c r="L646" s="168">
        <v>0</v>
      </c>
      <c r="M646" s="139">
        <f t="shared" si="4"/>
        <v>-225453.42</v>
      </c>
    </row>
    <row r="647" spans="1:13">
      <c r="A647" s="168">
        <v>100</v>
      </c>
      <c r="B647" s="168" t="s">
        <v>2782</v>
      </c>
      <c r="C647" s="168" t="s">
        <v>2957</v>
      </c>
      <c r="D647" s="455" t="s">
        <v>1553</v>
      </c>
      <c r="E647" s="455" t="s">
        <v>1455</v>
      </c>
      <c r="F647" s="168" t="s">
        <v>1579</v>
      </c>
      <c r="G647" s="150">
        <v>1452.5</v>
      </c>
      <c r="H647" s="456">
        <v>3800</v>
      </c>
      <c r="I647" s="441">
        <v>26676</v>
      </c>
      <c r="J647" s="168">
        <v>26676</v>
      </c>
      <c r="K647" s="168"/>
      <c r="L647" s="168">
        <v>0</v>
      </c>
      <c r="M647" s="139">
        <f t="shared" si="4"/>
        <v>-25223.5</v>
      </c>
    </row>
    <row r="648" spans="1:13">
      <c r="A648" s="168">
        <v>10</v>
      </c>
      <c r="B648" s="168" t="s">
        <v>2782</v>
      </c>
      <c r="C648" s="168" t="s">
        <v>2810</v>
      </c>
      <c r="D648" s="455" t="s">
        <v>1553</v>
      </c>
      <c r="E648" s="455"/>
      <c r="F648" s="168" t="s">
        <v>1558</v>
      </c>
      <c r="G648" s="150"/>
      <c r="H648" s="456"/>
      <c r="I648" s="441">
        <v>85930.37</v>
      </c>
      <c r="J648" s="168">
        <v>85930</v>
      </c>
      <c r="K648" s="168"/>
      <c r="L648" s="168">
        <v>0</v>
      </c>
      <c r="M648" s="139">
        <f t="shared" si="4"/>
        <v>-85930.37</v>
      </c>
    </row>
    <row r="649" spans="1:13">
      <c r="A649" s="168">
        <v>10</v>
      </c>
      <c r="B649" s="168" t="s">
        <v>2782</v>
      </c>
      <c r="C649" s="168" t="s">
        <v>2811</v>
      </c>
      <c r="D649" s="455" t="s">
        <v>1553</v>
      </c>
      <c r="E649" s="455" t="s">
        <v>62</v>
      </c>
      <c r="F649" s="168" t="s">
        <v>1558</v>
      </c>
      <c r="G649" s="150">
        <v>63064.67</v>
      </c>
      <c r="H649" s="456">
        <v>69000</v>
      </c>
      <c r="I649" s="441">
        <v>0</v>
      </c>
      <c r="J649" s="168">
        <v>0</v>
      </c>
      <c r="K649" s="168"/>
      <c r="L649" s="168">
        <v>0</v>
      </c>
      <c r="M649" s="139">
        <f t="shared" si="4"/>
        <v>63064.67</v>
      </c>
    </row>
    <row r="650" spans="1:13">
      <c r="A650" s="168">
        <v>10</v>
      </c>
      <c r="B650" s="168" t="s">
        <v>2782</v>
      </c>
      <c r="C650" s="168" t="s">
        <v>2812</v>
      </c>
      <c r="D650" s="455" t="s">
        <v>1553</v>
      </c>
      <c r="E650" s="455" t="s">
        <v>64</v>
      </c>
      <c r="F650" s="168" t="s">
        <v>1558</v>
      </c>
      <c r="G650" s="150">
        <v>0</v>
      </c>
      <c r="H650" s="456">
        <v>0</v>
      </c>
      <c r="I650" s="441">
        <v>0</v>
      </c>
      <c r="J650" s="168">
        <v>0</v>
      </c>
      <c r="K650" s="168"/>
      <c r="L650" s="168">
        <v>0</v>
      </c>
      <c r="M650" s="139">
        <f t="shared" si="4"/>
        <v>0</v>
      </c>
    </row>
    <row r="651" spans="1:13">
      <c r="A651" s="168">
        <v>10</v>
      </c>
      <c r="B651" s="168" t="s">
        <v>2782</v>
      </c>
      <c r="C651" s="168" t="s">
        <v>2813</v>
      </c>
      <c r="D651" s="455" t="s">
        <v>1553</v>
      </c>
      <c r="E651" s="455" t="s">
        <v>2317</v>
      </c>
      <c r="F651" s="168" t="s">
        <v>1558</v>
      </c>
      <c r="G651" s="150">
        <v>199376.15</v>
      </c>
      <c r="H651" s="456">
        <v>220000</v>
      </c>
      <c r="I651" s="441">
        <v>315539.13</v>
      </c>
      <c r="J651" s="168">
        <v>315540</v>
      </c>
      <c r="K651" s="168"/>
      <c r="L651" s="168">
        <v>4850</v>
      </c>
      <c r="M651" s="139">
        <f t="shared" si="4"/>
        <v>-116162.98000000001</v>
      </c>
    </row>
    <row r="652" spans="1:13">
      <c r="A652" s="168">
        <v>100</v>
      </c>
      <c r="B652" s="168" t="s">
        <v>2782</v>
      </c>
      <c r="C652" s="168" t="s">
        <v>2813</v>
      </c>
      <c r="D652" s="455" t="s">
        <v>1553</v>
      </c>
      <c r="E652" s="455" t="s">
        <v>62</v>
      </c>
      <c r="F652" s="168" t="s">
        <v>1579</v>
      </c>
      <c r="G652" s="150">
        <v>0</v>
      </c>
      <c r="H652" s="456">
        <v>0</v>
      </c>
      <c r="I652" s="441">
        <v>7242</v>
      </c>
      <c r="J652" s="168">
        <v>7242</v>
      </c>
      <c r="K652" s="168"/>
      <c r="L652" s="168">
        <v>0</v>
      </c>
      <c r="M652" s="139">
        <f t="shared" si="4"/>
        <v>-7242</v>
      </c>
    </row>
    <row r="653" spans="1:13">
      <c r="A653" s="168">
        <v>10</v>
      </c>
      <c r="B653" s="168" t="s">
        <v>2782</v>
      </c>
      <c r="C653" s="168" t="s">
        <v>2814</v>
      </c>
      <c r="D653" s="455" t="s">
        <v>1553</v>
      </c>
      <c r="E653" s="455" t="s">
        <v>578</v>
      </c>
      <c r="F653" s="168" t="s">
        <v>1558</v>
      </c>
      <c r="G653" s="150">
        <v>55664.89</v>
      </c>
      <c r="H653" s="456">
        <v>60000</v>
      </c>
      <c r="I653" s="160">
        <v>19174.439999999999</v>
      </c>
      <c r="J653" s="168">
        <v>19174</v>
      </c>
      <c r="K653" s="168"/>
      <c r="L653" s="168">
        <v>0</v>
      </c>
      <c r="M653" s="139">
        <f t="shared" ref="M653:M670" si="5">G653-I653</f>
        <v>36490.449999999997</v>
      </c>
    </row>
    <row r="654" spans="1:13">
      <c r="A654" s="168">
        <v>10</v>
      </c>
      <c r="B654" s="168" t="s">
        <v>2782</v>
      </c>
      <c r="C654" s="168" t="s">
        <v>2815</v>
      </c>
      <c r="D654" s="455" t="s">
        <v>1553</v>
      </c>
      <c r="E654" s="455" t="s">
        <v>68</v>
      </c>
      <c r="F654" s="168" t="s">
        <v>1558</v>
      </c>
      <c r="G654" s="150">
        <v>871461.23</v>
      </c>
      <c r="H654" s="456">
        <v>885000</v>
      </c>
      <c r="I654" s="160">
        <v>0</v>
      </c>
      <c r="J654" s="168">
        <v>0</v>
      </c>
      <c r="K654" s="168"/>
      <c r="L654" s="168">
        <v>0</v>
      </c>
      <c r="M654" s="139">
        <f t="shared" si="5"/>
        <v>871461.23</v>
      </c>
    </row>
    <row r="655" spans="1:13">
      <c r="A655" s="168">
        <v>100</v>
      </c>
      <c r="B655" s="168" t="s">
        <v>2782</v>
      </c>
      <c r="C655" s="168" t="s">
        <v>2815</v>
      </c>
      <c r="D655" s="455" t="s">
        <v>1553</v>
      </c>
      <c r="E655" s="455" t="s">
        <v>837</v>
      </c>
      <c r="F655" s="168" t="s">
        <v>1579</v>
      </c>
      <c r="G655" s="150">
        <v>174000</v>
      </c>
      <c r="H655" s="456">
        <v>174000</v>
      </c>
      <c r="I655" s="168">
        <v>0</v>
      </c>
      <c r="J655" s="168">
        <v>0</v>
      </c>
      <c r="K655" s="168"/>
      <c r="L655" s="168">
        <v>0</v>
      </c>
      <c r="M655" s="139">
        <f t="shared" si="5"/>
        <v>174000</v>
      </c>
    </row>
    <row r="656" spans="1:13">
      <c r="A656" s="168">
        <v>10</v>
      </c>
      <c r="B656" s="168" t="s">
        <v>2782</v>
      </c>
      <c r="C656" s="168" t="s">
        <v>2816</v>
      </c>
      <c r="D656" s="455" t="s">
        <v>1553</v>
      </c>
      <c r="E656" s="455" t="s">
        <v>2689</v>
      </c>
      <c r="F656" s="168" t="s">
        <v>1558</v>
      </c>
      <c r="G656" s="150"/>
      <c r="H656" s="456"/>
      <c r="I656" s="441">
        <v>308212.7</v>
      </c>
      <c r="J656" s="168">
        <v>308212</v>
      </c>
      <c r="K656" s="168"/>
      <c r="L656" s="168">
        <v>2430</v>
      </c>
      <c r="M656" s="139">
        <f t="shared" si="5"/>
        <v>-308212.7</v>
      </c>
    </row>
    <row r="657" spans="1:13">
      <c r="A657" s="168">
        <v>30</v>
      </c>
      <c r="B657" s="168" t="s">
        <v>2782</v>
      </c>
      <c r="C657" s="168" t="s">
        <v>2816</v>
      </c>
      <c r="D657" s="455" t="s">
        <v>1553</v>
      </c>
      <c r="E657" s="455" t="s">
        <v>171</v>
      </c>
      <c r="F657" s="168" t="s">
        <v>1564</v>
      </c>
      <c r="G657" s="150">
        <v>0</v>
      </c>
      <c r="H657" s="456">
        <v>0</v>
      </c>
      <c r="I657" s="160">
        <v>0</v>
      </c>
      <c r="J657" s="168">
        <v>0</v>
      </c>
      <c r="K657" s="168"/>
      <c r="L657" s="168">
        <v>1585</v>
      </c>
      <c r="M657" s="139">
        <f t="shared" si="5"/>
        <v>0</v>
      </c>
    </row>
    <row r="658" spans="1:13">
      <c r="A658" s="168">
        <v>63</v>
      </c>
      <c r="B658" s="168" t="s">
        <v>2782</v>
      </c>
      <c r="C658" s="168" t="s">
        <v>2816</v>
      </c>
      <c r="D658" s="455" t="s">
        <v>1553</v>
      </c>
      <c r="E658" s="455" t="s">
        <v>1337</v>
      </c>
      <c r="F658" s="168" t="s">
        <v>1229</v>
      </c>
      <c r="G658" s="150">
        <v>3226</v>
      </c>
      <c r="H658" s="456">
        <v>3300</v>
      </c>
      <c r="I658" s="168">
        <v>0</v>
      </c>
      <c r="J658" s="168">
        <v>0</v>
      </c>
      <c r="K658" s="168"/>
      <c r="L658" s="168">
        <v>68780</v>
      </c>
      <c r="M658" s="139">
        <f t="shared" si="5"/>
        <v>3226</v>
      </c>
    </row>
    <row r="659" spans="1:13">
      <c r="A659" s="168">
        <v>10</v>
      </c>
      <c r="B659" s="168" t="s">
        <v>2782</v>
      </c>
      <c r="C659" s="168" t="s">
        <v>2817</v>
      </c>
      <c r="D659" s="455" t="s">
        <v>1553</v>
      </c>
      <c r="E659" s="455" t="s">
        <v>2690</v>
      </c>
      <c r="F659" s="168" t="s">
        <v>1558</v>
      </c>
      <c r="G659" s="150"/>
      <c r="H659" s="456"/>
      <c r="I659" s="441">
        <v>426838.91</v>
      </c>
      <c r="J659" s="168">
        <v>426838</v>
      </c>
      <c r="K659" s="168"/>
      <c r="L659" s="168">
        <v>0</v>
      </c>
      <c r="M659" s="139">
        <f t="shared" si="5"/>
        <v>-426838.91</v>
      </c>
    </row>
    <row r="660" spans="1:13">
      <c r="A660" s="168">
        <v>63</v>
      </c>
      <c r="B660" s="168" t="s">
        <v>2782</v>
      </c>
      <c r="C660" s="168" t="s">
        <v>2817</v>
      </c>
      <c r="D660" s="455" t="s">
        <v>1553</v>
      </c>
      <c r="E660" s="455" t="s">
        <v>1339</v>
      </c>
      <c r="F660" s="168" t="s">
        <v>1229</v>
      </c>
      <c r="G660" s="150">
        <v>0</v>
      </c>
      <c r="H660" s="456">
        <v>0</v>
      </c>
      <c r="I660" s="168">
        <v>0</v>
      </c>
      <c r="J660" s="168">
        <v>0</v>
      </c>
      <c r="K660" s="168"/>
      <c r="L660" s="168">
        <v>1221</v>
      </c>
      <c r="M660" s="139">
        <f t="shared" si="5"/>
        <v>0</v>
      </c>
    </row>
    <row r="661" spans="1:13">
      <c r="A661" s="168">
        <v>10</v>
      </c>
      <c r="B661" s="168" t="s">
        <v>2782</v>
      </c>
      <c r="C661" s="168" t="s">
        <v>2818</v>
      </c>
      <c r="D661" s="455" t="s">
        <v>1553</v>
      </c>
      <c r="E661" s="455" t="s">
        <v>2318</v>
      </c>
      <c r="F661" s="168" t="s">
        <v>1558</v>
      </c>
      <c r="G661" s="150"/>
      <c r="H661" s="456"/>
      <c r="I661" s="441">
        <v>2662830.52</v>
      </c>
      <c r="J661" s="168">
        <v>2662830</v>
      </c>
      <c r="K661" s="168"/>
      <c r="L661" s="168">
        <v>14279</v>
      </c>
      <c r="M661" s="139">
        <f t="shared" si="5"/>
        <v>-2662830.52</v>
      </c>
    </row>
    <row r="662" spans="1:13">
      <c r="A662" s="168">
        <v>63</v>
      </c>
      <c r="B662" s="168" t="s">
        <v>2782</v>
      </c>
      <c r="C662" s="168" t="s">
        <v>2818</v>
      </c>
      <c r="D662" s="455" t="s">
        <v>1553</v>
      </c>
      <c r="E662" s="455" t="s">
        <v>62</v>
      </c>
      <c r="F662" s="168" t="s">
        <v>1229</v>
      </c>
      <c r="G662" s="150">
        <v>0</v>
      </c>
      <c r="H662" s="456">
        <v>0</v>
      </c>
      <c r="I662" s="168">
        <v>0</v>
      </c>
      <c r="J662" s="168">
        <v>0</v>
      </c>
      <c r="K662" s="168"/>
      <c r="L662" s="168">
        <v>82072</v>
      </c>
      <c r="M662" s="139">
        <f t="shared" si="5"/>
        <v>0</v>
      </c>
    </row>
    <row r="663" spans="1:13">
      <c r="A663" s="462">
        <v>50</v>
      </c>
      <c r="B663" s="462" t="s">
        <v>2782</v>
      </c>
      <c r="C663" s="462" t="s">
        <v>2868</v>
      </c>
      <c r="D663" s="459" t="s">
        <v>1553</v>
      </c>
      <c r="E663" s="459" t="s">
        <v>261</v>
      </c>
      <c r="F663" s="462"/>
      <c r="G663" s="460"/>
      <c r="H663" s="461"/>
      <c r="I663" s="441">
        <v>1344487.74</v>
      </c>
      <c r="J663" s="462">
        <v>1344488</v>
      </c>
      <c r="K663" s="168"/>
      <c r="L663" s="168">
        <v>1065</v>
      </c>
      <c r="M663" s="139">
        <f t="shared" si="5"/>
        <v>-1344487.74</v>
      </c>
    </row>
    <row r="664" spans="1:13">
      <c r="A664" s="168">
        <v>50</v>
      </c>
      <c r="B664" s="168" t="s">
        <v>2782</v>
      </c>
      <c r="C664" s="168" t="s">
        <v>2869</v>
      </c>
      <c r="D664" s="455" t="s">
        <v>1553</v>
      </c>
      <c r="E664" s="455" t="s">
        <v>2963</v>
      </c>
      <c r="F664" s="168"/>
      <c r="G664" s="150"/>
      <c r="H664" s="456"/>
      <c r="I664" s="441">
        <v>86572.97</v>
      </c>
      <c r="J664" s="168">
        <v>86573</v>
      </c>
      <c r="K664" s="168"/>
      <c r="L664" s="168">
        <v>129415</v>
      </c>
      <c r="M664" s="139">
        <f t="shared" si="5"/>
        <v>-86572.97</v>
      </c>
    </row>
    <row r="665" spans="1:13">
      <c r="A665" s="168">
        <v>30</v>
      </c>
      <c r="B665" s="168" t="s">
        <v>2782</v>
      </c>
      <c r="C665" s="168" t="s">
        <v>2844</v>
      </c>
      <c r="D665" s="455" t="s">
        <v>1553</v>
      </c>
      <c r="E665" s="455" t="s">
        <v>160</v>
      </c>
      <c r="F665" s="168" t="s">
        <v>1564</v>
      </c>
      <c r="G665" s="150"/>
      <c r="H665" s="456"/>
      <c r="I665" s="160">
        <v>260144.62</v>
      </c>
      <c r="J665" s="168">
        <v>260145</v>
      </c>
      <c r="K665" s="168"/>
      <c r="L665" s="168">
        <v>18844</v>
      </c>
      <c r="M665" s="139">
        <f t="shared" si="5"/>
        <v>-260144.62</v>
      </c>
    </row>
    <row r="666" spans="1:13">
      <c r="A666" s="462">
        <v>81</v>
      </c>
      <c r="B666" s="462">
        <v>440</v>
      </c>
      <c r="C666" s="476" t="s">
        <v>3352</v>
      </c>
      <c r="D666" s="459"/>
      <c r="E666" s="459"/>
      <c r="F666" s="462"/>
      <c r="G666" s="460"/>
      <c r="H666" s="461"/>
      <c r="I666" s="452">
        <v>179632</v>
      </c>
      <c r="J666" s="462"/>
      <c r="K666" s="168"/>
      <c r="L666" s="168">
        <v>12067</v>
      </c>
      <c r="M666" s="139">
        <f t="shared" si="5"/>
        <v>-179632</v>
      </c>
    </row>
    <row r="667" spans="1:13">
      <c r="A667" s="168"/>
      <c r="B667" s="168"/>
      <c r="C667" s="168"/>
      <c r="D667" s="168"/>
      <c r="E667" s="168"/>
      <c r="F667" s="168"/>
      <c r="G667" s="168"/>
      <c r="H667" s="168"/>
      <c r="I667" s="168"/>
      <c r="J667" s="168"/>
      <c r="K667" s="168"/>
      <c r="L667" s="168">
        <v>268821</v>
      </c>
      <c r="M667" s="139">
        <f t="shared" si="5"/>
        <v>0</v>
      </c>
    </row>
    <row r="668" spans="1:13">
      <c r="K668" s="168"/>
      <c r="L668" s="168">
        <v>92860</v>
      </c>
      <c r="M668" s="139">
        <f t="shared" si="5"/>
        <v>0</v>
      </c>
    </row>
    <row r="669" spans="1:13">
      <c r="A669" s="168"/>
      <c r="B669" s="168"/>
      <c r="C669" s="168"/>
      <c r="D669" s="168"/>
      <c r="E669" s="168"/>
      <c r="F669" s="168"/>
      <c r="G669" s="168"/>
      <c r="H669" s="168"/>
      <c r="I669" s="160"/>
      <c r="J669" s="168"/>
      <c r="K669" s="168"/>
      <c r="L669" s="168">
        <v>26676</v>
      </c>
      <c r="M669" s="139">
        <f t="shared" si="5"/>
        <v>0</v>
      </c>
    </row>
    <row r="670" spans="1:13">
      <c r="A670" s="168"/>
      <c r="B670" s="168"/>
      <c r="C670" s="168"/>
      <c r="D670" s="168"/>
      <c r="E670" s="168"/>
      <c r="F670" s="168"/>
      <c r="G670" s="168"/>
      <c r="H670" s="168"/>
      <c r="I670" s="168"/>
      <c r="J670" s="168"/>
      <c r="K670" s="168"/>
      <c r="L670" s="168">
        <v>7242</v>
      </c>
      <c r="M670" s="139">
        <f t="shared" si="5"/>
        <v>0</v>
      </c>
    </row>
    <row r="671" spans="1:13">
      <c r="A671" s="168"/>
      <c r="B671" s="168"/>
      <c r="C671" s="168"/>
      <c r="D671" s="455"/>
      <c r="E671" s="455"/>
      <c r="F671" s="168"/>
      <c r="G671" s="150"/>
      <c r="H671" s="456"/>
      <c r="I671" s="160">
        <v>31182.54</v>
      </c>
      <c r="J671" s="168"/>
      <c r="K671" s="168"/>
      <c r="L671" s="168"/>
    </row>
    <row r="672" spans="1:13">
      <c r="A672" s="168"/>
      <c r="B672" s="168"/>
      <c r="C672" s="168"/>
      <c r="D672" s="455"/>
      <c r="E672" s="455"/>
      <c r="F672" s="168"/>
      <c r="G672" s="150"/>
      <c r="H672" s="456"/>
      <c r="I672" s="169">
        <f>SUM(I396:I671)</f>
        <v>23228694.380000006</v>
      </c>
      <c r="J672" s="168">
        <f>SUM(J396:J671)</f>
        <v>23796169.73</v>
      </c>
      <c r="K672" s="168"/>
      <c r="L672" s="168"/>
    </row>
    <row r="673" spans="1:13">
      <c r="A673" s="168"/>
      <c r="B673" s="168"/>
      <c r="C673" s="168"/>
      <c r="D673" s="455"/>
      <c r="E673" s="455"/>
      <c r="F673" s="168"/>
      <c r="G673" s="150"/>
      <c r="H673" s="456"/>
      <c r="I673" s="169"/>
      <c r="J673" s="168"/>
      <c r="K673" s="168"/>
      <c r="L673" s="168"/>
    </row>
    <row r="674" spans="1:13" s="158" customFormat="1">
      <c r="A674" s="462">
        <v>10</v>
      </c>
      <c r="B674" s="462">
        <v>440</v>
      </c>
      <c r="C674" s="462">
        <v>1403</v>
      </c>
      <c r="D674" s="459"/>
      <c r="E674" s="459"/>
      <c r="F674" s="462"/>
      <c r="G674" s="460"/>
      <c r="H674" s="461"/>
      <c r="I674" s="452">
        <v>0</v>
      </c>
      <c r="J674" s="462"/>
      <c r="K674" s="462"/>
      <c r="L674" s="462"/>
    </row>
    <row r="675" spans="1:13">
      <c r="A675" s="168"/>
      <c r="B675" s="168"/>
      <c r="C675" s="168"/>
      <c r="D675" s="455"/>
      <c r="E675" s="455"/>
      <c r="F675" s="168"/>
      <c r="G675" s="150"/>
      <c r="H675" s="456"/>
      <c r="I675" s="169"/>
      <c r="J675" s="168"/>
      <c r="K675" s="168"/>
      <c r="L675" s="168"/>
    </row>
    <row r="676" spans="1:13">
      <c r="A676" s="168"/>
      <c r="B676" s="168"/>
      <c r="C676" s="168"/>
      <c r="D676" s="455"/>
      <c r="E676" s="455"/>
      <c r="F676" s="168"/>
      <c r="G676" s="150"/>
      <c r="H676" s="456"/>
      <c r="I676" s="168"/>
      <c r="J676" s="168"/>
      <c r="K676" s="168"/>
      <c r="L676" s="168"/>
    </row>
    <row r="677" spans="1:13">
      <c r="A677" s="168">
        <v>52</v>
      </c>
      <c r="B677" s="168" t="s">
        <v>2782</v>
      </c>
      <c r="C677" s="168" t="s">
        <v>2884</v>
      </c>
      <c r="D677" s="455" t="s">
        <v>1553</v>
      </c>
      <c r="E677" s="455" t="s">
        <v>2965</v>
      </c>
      <c r="F677" s="168"/>
      <c r="G677" s="150"/>
      <c r="H677" s="456"/>
      <c r="I677" s="160">
        <v>735000</v>
      </c>
      <c r="J677" s="168">
        <v>735000</v>
      </c>
      <c r="K677" s="168"/>
      <c r="L677" s="168">
        <v>735000</v>
      </c>
    </row>
    <row r="678" spans="1:13">
      <c r="A678" s="168">
        <v>50</v>
      </c>
      <c r="B678" s="168" t="s">
        <v>2782</v>
      </c>
      <c r="C678" s="168" t="s">
        <v>2808</v>
      </c>
      <c r="D678" s="455" t="s">
        <v>45</v>
      </c>
      <c r="E678" s="455" t="s">
        <v>2961</v>
      </c>
      <c r="F678" s="168"/>
      <c r="G678" s="150"/>
      <c r="H678" s="456"/>
      <c r="I678" s="160">
        <v>1249846.3500000001</v>
      </c>
      <c r="J678" s="168">
        <v>1249846</v>
      </c>
      <c r="K678" s="168"/>
      <c r="L678" s="168">
        <v>1249846</v>
      </c>
    </row>
    <row r="679" spans="1:13">
      <c r="A679" s="168"/>
      <c r="B679" s="168"/>
      <c r="C679" s="168"/>
      <c r="D679" s="455"/>
      <c r="E679" s="455"/>
      <c r="F679" s="168"/>
      <c r="G679" s="150"/>
      <c r="H679" s="456"/>
      <c r="I679" s="169">
        <f>SUM(I677:I678)</f>
        <v>1984846.35</v>
      </c>
      <c r="J679" s="168">
        <f>SUM(J677:J678)</f>
        <v>1984846</v>
      </c>
      <c r="K679" s="168"/>
      <c r="L679" s="168"/>
    </row>
    <row r="680" spans="1:13">
      <c r="A680" s="168"/>
      <c r="B680" s="168"/>
      <c r="C680" s="168"/>
      <c r="D680" s="455"/>
      <c r="E680" s="455"/>
      <c r="F680" s="168"/>
      <c r="G680" s="150"/>
      <c r="H680" s="456"/>
      <c r="I680" s="168"/>
      <c r="J680" s="168"/>
      <c r="K680" s="168"/>
      <c r="L680" s="168"/>
    </row>
    <row r="681" spans="1:13">
      <c r="A681" s="168"/>
      <c r="B681" s="168"/>
      <c r="C681" s="168"/>
      <c r="D681" s="455"/>
      <c r="E681" s="455"/>
      <c r="F681" s="168"/>
      <c r="G681" s="150"/>
      <c r="H681" s="456"/>
      <c r="I681" s="168"/>
      <c r="J681" s="168"/>
      <c r="K681" s="168"/>
      <c r="L681" s="168"/>
    </row>
    <row r="682" spans="1:13" s="158" customFormat="1">
      <c r="A682" s="462">
        <v>50</v>
      </c>
      <c r="B682" s="462" t="s">
        <v>2870</v>
      </c>
      <c r="C682" s="462" t="s">
        <v>2871</v>
      </c>
      <c r="D682" s="459" t="s">
        <v>1553</v>
      </c>
      <c r="E682" s="459" t="s">
        <v>592</v>
      </c>
      <c r="F682" s="462" t="s">
        <v>1567</v>
      </c>
      <c r="G682" s="460">
        <v>155041.21</v>
      </c>
      <c r="H682" s="461">
        <v>599000</v>
      </c>
      <c r="I682" s="452">
        <v>1389216.85</v>
      </c>
      <c r="J682" s="462">
        <v>1320523</v>
      </c>
      <c r="K682" s="462"/>
      <c r="L682" s="462">
        <v>1320523</v>
      </c>
    </row>
    <row r="683" spans="1:13" s="158" customFormat="1">
      <c r="A683" s="462">
        <v>50</v>
      </c>
      <c r="B683" s="462" t="s">
        <v>2870</v>
      </c>
      <c r="C683" s="462" t="s">
        <v>2872</v>
      </c>
      <c r="D683" s="459" t="s">
        <v>1553</v>
      </c>
      <c r="E683" s="459" t="s">
        <v>592</v>
      </c>
      <c r="F683" s="462" t="s">
        <v>1567</v>
      </c>
      <c r="G683" s="460">
        <v>283102.09999999998</v>
      </c>
      <c r="H683" s="461">
        <v>283776</v>
      </c>
      <c r="I683" s="452">
        <v>212265.77</v>
      </c>
      <c r="J683" s="462">
        <v>266632</v>
      </c>
      <c r="K683" s="462"/>
      <c r="L683" s="462">
        <v>266632</v>
      </c>
    </row>
    <row r="684" spans="1:13" s="158" customFormat="1">
      <c r="A684" s="462" t="s">
        <v>45</v>
      </c>
      <c r="B684" s="462" t="s">
        <v>45</v>
      </c>
      <c r="C684" s="462" t="s">
        <v>45</v>
      </c>
      <c r="D684" s="459" t="s">
        <v>45</v>
      </c>
      <c r="E684" s="459" t="s">
        <v>45</v>
      </c>
      <c r="F684" s="462" t="s">
        <v>45</v>
      </c>
      <c r="G684" s="460" t="s">
        <v>45</v>
      </c>
      <c r="H684" s="461" t="s">
        <v>45</v>
      </c>
      <c r="I684" s="452" t="s">
        <v>45</v>
      </c>
      <c r="J684" s="462"/>
      <c r="K684" s="462"/>
      <c r="L684" s="462"/>
    </row>
    <row r="685" spans="1:13">
      <c r="A685" s="147">
        <v>50</v>
      </c>
      <c r="B685" s="147" t="s">
        <v>2870</v>
      </c>
      <c r="C685" s="147" t="s">
        <v>2873</v>
      </c>
      <c r="D685" s="148" t="s">
        <v>1553</v>
      </c>
      <c r="E685" s="148" t="s">
        <v>575</v>
      </c>
      <c r="F685" s="147" t="s">
        <v>1567</v>
      </c>
      <c r="G685" s="151">
        <v>0</v>
      </c>
      <c r="H685" s="149">
        <v>1306511</v>
      </c>
      <c r="I685" s="168">
        <v>0</v>
      </c>
      <c r="J685" s="168">
        <v>1402881</v>
      </c>
      <c r="K685" s="147"/>
      <c r="L685" s="168">
        <v>1402881</v>
      </c>
      <c r="M685" s="144"/>
    </row>
    <row r="686" spans="1:13">
      <c r="A686" s="147"/>
      <c r="B686" s="147"/>
      <c r="C686" s="147"/>
      <c r="D686" s="148"/>
      <c r="E686" s="148"/>
      <c r="F686" s="147"/>
      <c r="G686" s="151"/>
      <c r="H686" s="149"/>
      <c r="I686" s="169">
        <f>SUM(I682:I685)</f>
        <v>1601482.62</v>
      </c>
      <c r="J686" s="168">
        <f>SUM(J682:J685)</f>
        <v>2990036</v>
      </c>
      <c r="K686" s="147"/>
      <c r="L686" s="147"/>
      <c r="M686" s="144"/>
    </row>
    <row r="687" spans="1:13" s="158" customFormat="1">
      <c r="A687" s="462">
        <v>50</v>
      </c>
      <c r="B687" s="462">
        <v>455</v>
      </c>
      <c r="C687" s="462">
        <v>4135</v>
      </c>
      <c r="D687" s="459"/>
      <c r="E687" s="459"/>
      <c r="F687" s="462"/>
      <c r="G687" s="460"/>
      <c r="H687" s="461"/>
      <c r="I687" s="452">
        <v>3223927.54</v>
      </c>
      <c r="J687" s="462"/>
      <c r="K687" s="462"/>
      <c r="L687" s="462"/>
    </row>
    <row r="688" spans="1:13" s="160" customFormat="1">
      <c r="A688" s="147"/>
      <c r="B688" s="147"/>
      <c r="C688" s="147"/>
      <c r="D688" s="148"/>
      <c r="E688" s="148"/>
      <c r="F688" s="147"/>
      <c r="G688" s="151"/>
      <c r="H688" s="149"/>
      <c r="I688" s="168"/>
      <c r="J688" s="168"/>
      <c r="K688" s="147"/>
      <c r="L688" s="147"/>
      <c r="M688" s="167"/>
    </row>
    <row r="689" spans="1:12" s="158" customFormat="1">
      <c r="A689" s="462">
        <v>50</v>
      </c>
      <c r="B689" s="462" t="s">
        <v>2870</v>
      </c>
      <c r="C689" s="462" t="s">
        <v>2874</v>
      </c>
      <c r="D689" s="459" t="s">
        <v>1555</v>
      </c>
      <c r="E689" s="459" t="s">
        <v>592</v>
      </c>
      <c r="F689" s="462" t="s">
        <v>1567</v>
      </c>
      <c r="G689" s="460">
        <v>0</v>
      </c>
      <c r="H689" s="461">
        <v>3576581</v>
      </c>
      <c r="I689" s="441">
        <v>1901816.35</v>
      </c>
      <c r="J689" s="462">
        <v>1277748</v>
      </c>
      <c r="K689" s="462"/>
      <c r="L689" s="462">
        <v>1277748</v>
      </c>
    </row>
    <row r="690" spans="1:12">
      <c r="A690" s="168"/>
      <c r="B690" s="168"/>
      <c r="C690" s="168"/>
      <c r="D690" s="455"/>
      <c r="E690" s="455"/>
      <c r="F690" s="168"/>
      <c r="G690" s="150"/>
      <c r="H690" s="456"/>
      <c r="I690" s="168"/>
      <c r="J690" s="168"/>
      <c r="K690" s="168"/>
      <c r="L690" s="168"/>
    </row>
    <row r="691" spans="1:12">
      <c r="A691" s="168"/>
      <c r="B691" s="168"/>
      <c r="C691" s="168"/>
      <c r="D691" s="455"/>
      <c r="E691" s="455"/>
      <c r="F691" s="168"/>
      <c r="G691" s="150"/>
      <c r="H691" s="456"/>
      <c r="I691" s="168"/>
      <c r="J691" s="168"/>
      <c r="K691" s="168">
        <f>SUM(K1:K690)</f>
        <v>-94125066.299999997</v>
      </c>
      <c r="L691" s="168"/>
    </row>
    <row r="692" spans="1:12">
      <c r="A692" s="168"/>
      <c r="B692" s="168"/>
      <c r="C692" s="168"/>
      <c r="D692" s="455"/>
      <c r="E692" s="455"/>
      <c r="F692" s="168"/>
      <c r="G692" s="150"/>
      <c r="H692" s="456"/>
      <c r="I692" s="168"/>
      <c r="J692" s="168"/>
      <c r="K692" s="168"/>
      <c r="L692" s="168"/>
    </row>
    <row r="693" spans="1:12">
      <c r="A693" s="168"/>
      <c r="B693" s="168"/>
      <c r="C693" s="168"/>
      <c r="D693" s="455"/>
      <c r="E693" s="455"/>
      <c r="F693" s="168"/>
      <c r="G693" s="150"/>
      <c r="H693" s="456"/>
      <c r="I693" s="168"/>
      <c r="J693" s="168"/>
      <c r="K693" s="168"/>
      <c r="L693" s="168"/>
    </row>
    <row r="694" spans="1:12">
      <c r="A694" s="168"/>
      <c r="B694" s="168"/>
      <c r="C694" s="168"/>
      <c r="D694" s="455"/>
      <c r="E694" s="455"/>
      <c r="F694" s="168"/>
      <c r="G694" s="150"/>
      <c r="H694" s="456"/>
      <c r="I694" s="168"/>
      <c r="J694" s="168"/>
      <c r="K694" s="168"/>
      <c r="L694" s="168"/>
    </row>
    <row r="695" spans="1:12">
      <c r="A695" s="168"/>
      <c r="B695" s="168"/>
      <c r="C695" s="168"/>
      <c r="D695" s="455"/>
      <c r="E695" s="455"/>
      <c r="F695" s="168"/>
      <c r="G695" s="150"/>
      <c r="H695" s="456"/>
      <c r="I695" s="168"/>
      <c r="J695" s="168"/>
      <c r="K695" s="168"/>
      <c r="L695" s="168"/>
    </row>
    <row r="696" spans="1:12">
      <c r="A696" s="168"/>
      <c r="B696" s="168"/>
      <c r="C696" s="168"/>
      <c r="D696" s="455"/>
      <c r="E696" s="455"/>
      <c r="F696" s="168"/>
      <c r="G696" s="150"/>
      <c r="H696" s="456"/>
      <c r="I696" s="168"/>
      <c r="J696" s="168"/>
      <c r="K696" s="168"/>
      <c r="L696" s="168"/>
    </row>
    <row r="697" spans="1:12">
      <c r="A697" s="168"/>
      <c r="B697" s="168"/>
      <c r="C697" s="168"/>
      <c r="D697" s="455"/>
      <c r="E697" s="455"/>
      <c r="F697" s="168"/>
      <c r="G697" s="150"/>
      <c r="H697" s="456"/>
      <c r="I697" s="168"/>
      <c r="J697" s="168"/>
      <c r="K697" s="168"/>
      <c r="L697" s="168"/>
    </row>
    <row r="698" spans="1:12">
      <c r="A698" s="168"/>
      <c r="B698" s="168"/>
      <c r="C698" s="168"/>
      <c r="D698" s="455"/>
      <c r="E698" s="455"/>
      <c r="F698" s="168"/>
      <c r="G698" s="150"/>
      <c r="H698" s="456"/>
      <c r="I698" s="168"/>
      <c r="J698" s="168"/>
      <c r="K698" s="168"/>
      <c r="L698" s="168"/>
    </row>
    <row r="699" spans="1:12">
      <c r="A699" s="168"/>
      <c r="B699" s="168"/>
      <c r="C699" s="168"/>
      <c r="D699" s="455"/>
      <c r="E699" s="455"/>
      <c r="F699" s="168"/>
      <c r="G699" s="150"/>
      <c r="H699" s="456"/>
      <c r="I699" s="168"/>
      <c r="J699" s="168"/>
      <c r="K699" s="168"/>
      <c r="L699" s="168"/>
    </row>
    <row r="700" spans="1:12">
      <c r="A700" s="168"/>
      <c r="B700" s="168"/>
      <c r="C700" s="168"/>
      <c r="D700" s="455"/>
      <c r="E700" s="455"/>
      <c r="F700" s="168"/>
      <c r="G700" s="150"/>
      <c r="H700" s="456"/>
      <c r="I700" s="168"/>
      <c r="J700" s="168"/>
      <c r="K700" s="168"/>
      <c r="L700" s="168"/>
    </row>
    <row r="701" spans="1:12">
      <c r="A701" s="168">
        <v>82</v>
      </c>
      <c r="B701" s="168" t="s">
        <v>2921</v>
      </c>
      <c r="C701" s="168" t="s">
        <v>2922</v>
      </c>
      <c r="D701" s="455" t="s">
        <v>1553</v>
      </c>
      <c r="E701" s="455" t="s">
        <v>59</v>
      </c>
      <c r="F701" s="168" t="s">
        <v>1574</v>
      </c>
      <c r="G701" s="150">
        <v>0</v>
      </c>
      <c r="H701" s="456">
        <v>2456000</v>
      </c>
      <c r="I701" s="168">
        <v>0</v>
      </c>
      <c r="J701" s="168">
        <v>2315197</v>
      </c>
      <c r="K701" s="168"/>
      <c r="L701" s="168">
        <v>2315197</v>
      </c>
    </row>
    <row r="702" spans="1:12">
      <c r="A702" s="168">
        <v>82</v>
      </c>
      <c r="B702" s="168" t="s">
        <v>2921</v>
      </c>
      <c r="C702" s="168" t="s">
        <v>2923</v>
      </c>
      <c r="D702" s="455"/>
      <c r="E702" s="455"/>
      <c r="F702" s="168"/>
      <c r="G702" s="150"/>
      <c r="H702" s="456"/>
      <c r="I702" s="168"/>
      <c r="J702" s="168">
        <v>8100000</v>
      </c>
      <c r="K702" s="168"/>
      <c r="L702" s="168">
        <v>8100000</v>
      </c>
    </row>
    <row r="703" spans="1:12">
      <c r="A703" s="168">
        <v>82</v>
      </c>
      <c r="B703" s="168" t="s">
        <v>2921</v>
      </c>
      <c r="C703" s="168" t="s">
        <v>2924</v>
      </c>
      <c r="D703" s="455" t="s">
        <v>1553</v>
      </c>
      <c r="E703" s="455" t="s">
        <v>273</v>
      </c>
      <c r="F703" s="168" t="s">
        <v>1574</v>
      </c>
      <c r="G703" s="150">
        <v>0</v>
      </c>
      <c r="H703" s="456">
        <v>0</v>
      </c>
      <c r="I703" s="168">
        <v>0</v>
      </c>
      <c r="J703" s="168">
        <v>3090039</v>
      </c>
      <c r="K703" s="168"/>
      <c r="L703" s="168">
        <v>3090039</v>
      </c>
    </row>
    <row r="704" spans="1:12">
      <c r="A704" s="168">
        <v>82</v>
      </c>
      <c r="B704" s="168" t="s">
        <v>2921</v>
      </c>
      <c r="C704" s="168" t="s">
        <v>2925</v>
      </c>
      <c r="D704" s="455" t="s">
        <v>1553</v>
      </c>
      <c r="E704" s="455" t="s">
        <v>302</v>
      </c>
      <c r="F704" s="168" t="s">
        <v>1574</v>
      </c>
      <c r="G704" s="150">
        <v>0</v>
      </c>
      <c r="H704" s="456">
        <v>0</v>
      </c>
      <c r="I704" s="168">
        <v>0</v>
      </c>
      <c r="J704" s="168">
        <v>0</v>
      </c>
      <c r="K704" s="168"/>
      <c r="L704" s="168"/>
    </row>
    <row r="705" spans="1:12">
      <c r="A705" s="168">
        <v>81</v>
      </c>
      <c r="B705" s="168" t="s">
        <v>2921</v>
      </c>
      <c r="C705" s="168" t="s">
        <v>3337</v>
      </c>
      <c r="D705" s="455" t="s">
        <v>1553</v>
      </c>
      <c r="E705" s="455" t="s">
        <v>304</v>
      </c>
      <c r="F705" s="168" t="s">
        <v>1574</v>
      </c>
      <c r="G705" s="150">
        <v>0</v>
      </c>
      <c r="H705" s="456">
        <v>0</v>
      </c>
      <c r="I705" s="168">
        <v>0</v>
      </c>
      <c r="J705" s="168">
        <v>0</v>
      </c>
      <c r="K705" s="168"/>
      <c r="L705" s="168"/>
    </row>
    <row r="706" spans="1:12">
      <c r="A706" s="168">
        <v>64</v>
      </c>
      <c r="B706" s="168" t="s">
        <v>2896</v>
      </c>
      <c r="C706" s="168" t="s">
        <v>2897</v>
      </c>
      <c r="D706" s="455" t="s">
        <v>1553</v>
      </c>
      <c r="E706" s="455" t="s">
        <v>1364</v>
      </c>
      <c r="F706" s="168" t="s">
        <v>1569</v>
      </c>
      <c r="G706" s="150">
        <v>0</v>
      </c>
      <c r="H706" s="456">
        <v>0</v>
      </c>
      <c r="I706" s="168">
        <v>0</v>
      </c>
      <c r="J706" s="168">
        <v>0</v>
      </c>
      <c r="K706" s="168"/>
      <c r="L706" s="168"/>
    </row>
    <row r="707" spans="1:12">
      <c r="A707" s="168">
        <v>65</v>
      </c>
      <c r="B707" s="168" t="s">
        <v>2896</v>
      </c>
      <c r="C707" s="168" t="s">
        <v>2901</v>
      </c>
      <c r="D707" s="455" t="s">
        <v>1553</v>
      </c>
      <c r="E707" s="455" t="s">
        <v>2295</v>
      </c>
      <c r="F707" s="168" t="s">
        <v>1570</v>
      </c>
      <c r="G707" s="150">
        <v>0</v>
      </c>
      <c r="H707" s="456">
        <v>0</v>
      </c>
      <c r="I707" s="168">
        <v>0</v>
      </c>
      <c r="J707" s="168">
        <v>0</v>
      </c>
      <c r="K707" s="168"/>
      <c r="L707" s="168"/>
    </row>
    <row r="708" spans="1:12">
      <c r="A708" s="168">
        <v>81</v>
      </c>
      <c r="B708" s="168" t="s">
        <v>2896</v>
      </c>
      <c r="C708" s="168" t="s">
        <v>2917</v>
      </c>
      <c r="D708" s="455" t="s">
        <v>1553</v>
      </c>
      <c r="E708" s="455" t="s">
        <v>127</v>
      </c>
      <c r="F708" s="168" t="s">
        <v>1573</v>
      </c>
      <c r="G708" s="150">
        <v>70314.44</v>
      </c>
      <c r="H708" s="456">
        <v>0</v>
      </c>
      <c r="I708" s="168">
        <v>0</v>
      </c>
      <c r="J708" s="168">
        <v>0</v>
      </c>
      <c r="K708" s="168"/>
      <c r="L708" s="168"/>
    </row>
    <row r="709" spans="1:12">
      <c r="A709" s="168">
        <v>82</v>
      </c>
      <c r="B709" s="168" t="s">
        <v>2896</v>
      </c>
      <c r="C709" s="168" t="s">
        <v>2926</v>
      </c>
      <c r="D709" s="455" t="s">
        <v>1553</v>
      </c>
      <c r="E709" s="455" t="s">
        <v>2329</v>
      </c>
      <c r="F709" s="168" t="s">
        <v>1574</v>
      </c>
      <c r="G709" s="150">
        <v>0</v>
      </c>
      <c r="H709" s="456">
        <v>0</v>
      </c>
      <c r="I709" s="168">
        <v>0</v>
      </c>
      <c r="J709" s="168">
        <v>0</v>
      </c>
      <c r="K709" s="168"/>
      <c r="L709" s="168"/>
    </row>
    <row r="710" spans="1:12">
      <c r="A710" s="168">
        <v>82</v>
      </c>
      <c r="B710" s="168" t="s">
        <v>2927</v>
      </c>
      <c r="C710" s="168" t="s">
        <v>2928</v>
      </c>
      <c r="D710" s="455" t="s">
        <v>1553</v>
      </c>
      <c r="E710" s="455" t="s">
        <v>307</v>
      </c>
      <c r="F710" s="168" t="s">
        <v>1574</v>
      </c>
      <c r="G710" s="150">
        <v>0</v>
      </c>
      <c r="H710" s="456">
        <v>0</v>
      </c>
      <c r="I710" s="168">
        <v>0</v>
      </c>
      <c r="J710" s="168">
        <v>0</v>
      </c>
      <c r="K710" s="168"/>
      <c r="L710" s="168"/>
    </row>
    <row r="711" spans="1:12">
      <c r="A711" s="168">
        <v>84</v>
      </c>
      <c r="B711" s="168" t="s">
        <v>2945</v>
      </c>
      <c r="C711" s="168" t="s">
        <v>2822</v>
      </c>
      <c r="D711" s="455"/>
      <c r="E711" s="455"/>
      <c r="F711" s="168"/>
      <c r="G711" s="150"/>
      <c r="H711" s="456"/>
      <c r="I711" s="168"/>
      <c r="J711" s="168">
        <v>2538503</v>
      </c>
      <c r="K711" s="168"/>
      <c r="L711" s="168">
        <v>2538503</v>
      </c>
    </row>
    <row r="712" spans="1:12">
      <c r="A712" s="168">
        <v>84</v>
      </c>
      <c r="B712" s="168" t="s">
        <v>2945</v>
      </c>
      <c r="C712" s="168" t="s">
        <v>2946</v>
      </c>
      <c r="D712" s="455" t="s">
        <v>1553</v>
      </c>
      <c r="E712" s="455" t="s">
        <v>2053</v>
      </c>
      <c r="F712" s="168" t="s">
        <v>1244</v>
      </c>
      <c r="G712" s="150">
        <v>0</v>
      </c>
      <c r="H712" s="456">
        <v>0</v>
      </c>
      <c r="I712" s="168">
        <v>0</v>
      </c>
      <c r="J712" s="168">
        <v>0</v>
      </c>
      <c r="K712" s="168"/>
      <c r="L712" s="168"/>
    </row>
    <row r="713" spans="1:12">
      <c r="A713" s="168">
        <v>84</v>
      </c>
      <c r="B713" s="168" t="s">
        <v>2945</v>
      </c>
      <c r="C713" s="168" t="s">
        <v>2947</v>
      </c>
      <c r="D713" s="455" t="s">
        <v>1553</v>
      </c>
      <c r="E713" s="455" t="s">
        <v>2330</v>
      </c>
      <c r="F713" s="168" t="s">
        <v>1244</v>
      </c>
      <c r="G713" s="150">
        <v>0</v>
      </c>
      <c r="H713" s="456">
        <v>0</v>
      </c>
      <c r="I713" s="168">
        <v>0</v>
      </c>
      <c r="J713" s="168">
        <v>0</v>
      </c>
      <c r="K713" s="168"/>
      <c r="L713" s="168"/>
    </row>
    <row r="714" spans="1:12">
      <c r="A714" s="168">
        <v>84</v>
      </c>
      <c r="B714" s="168" t="s">
        <v>2945</v>
      </c>
      <c r="C714" s="168" t="s">
        <v>2948</v>
      </c>
      <c r="D714" s="455" t="s">
        <v>1553</v>
      </c>
      <c r="E714" s="455" t="s">
        <v>322</v>
      </c>
      <c r="F714" s="168" t="s">
        <v>1244</v>
      </c>
      <c r="G714" s="150">
        <v>0</v>
      </c>
      <c r="H714" s="456">
        <v>0</v>
      </c>
      <c r="I714" s="168">
        <v>0</v>
      </c>
      <c r="J714" s="168">
        <v>0</v>
      </c>
      <c r="K714" s="168"/>
      <c r="L714" s="168"/>
    </row>
    <row r="715" spans="1:12">
      <c r="A715" s="168">
        <v>84</v>
      </c>
      <c r="B715" s="168" t="s">
        <v>2945</v>
      </c>
      <c r="C715" s="168" t="s">
        <v>2949</v>
      </c>
      <c r="D715" s="455" t="s">
        <v>1553</v>
      </c>
      <c r="E715" s="455" t="s">
        <v>359</v>
      </c>
      <c r="F715" s="168" t="s">
        <v>1244</v>
      </c>
      <c r="G715" s="150">
        <v>0</v>
      </c>
      <c r="H715" s="456">
        <v>0</v>
      </c>
      <c r="I715" s="168">
        <v>0</v>
      </c>
      <c r="J715" s="168">
        <v>0</v>
      </c>
      <c r="K715" s="168"/>
      <c r="L715" s="168"/>
    </row>
    <row r="716" spans="1:12">
      <c r="A716" s="168">
        <v>10</v>
      </c>
      <c r="B716" s="168" t="s">
        <v>2819</v>
      </c>
      <c r="C716" s="168" t="s">
        <v>2820</v>
      </c>
      <c r="D716" s="455" t="s">
        <v>1553</v>
      </c>
      <c r="E716" s="455" t="s">
        <v>70</v>
      </c>
      <c r="F716" s="168" t="s">
        <v>1558</v>
      </c>
      <c r="G716" s="150">
        <v>0</v>
      </c>
      <c r="H716" s="456">
        <v>0</v>
      </c>
      <c r="I716" s="168">
        <v>0</v>
      </c>
      <c r="J716" s="168">
        <v>0</v>
      </c>
      <c r="K716" s="168"/>
      <c r="L716" s="168"/>
    </row>
    <row r="717" spans="1:12">
      <c r="A717" s="168">
        <v>64</v>
      </c>
      <c r="B717" s="168" t="s">
        <v>2819</v>
      </c>
      <c r="C717" s="168" t="s">
        <v>2898</v>
      </c>
      <c r="D717" s="455" t="s">
        <v>1553</v>
      </c>
      <c r="E717" s="455" t="s">
        <v>273</v>
      </c>
      <c r="F717" s="168" t="s">
        <v>1569</v>
      </c>
      <c r="G717" s="150">
        <v>0</v>
      </c>
      <c r="H717" s="456">
        <v>0</v>
      </c>
      <c r="I717" s="168">
        <v>0</v>
      </c>
      <c r="J717" s="168">
        <v>0</v>
      </c>
      <c r="K717" s="168"/>
      <c r="L717" s="168"/>
    </row>
    <row r="718" spans="1:12">
      <c r="A718" s="168">
        <v>65</v>
      </c>
      <c r="B718" s="168" t="s">
        <v>2819</v>
      </c>
      <c r="C718" s="168" t="s">
        <v>2902</v>
      </c>
      <c r="D718" s="455" t="s">
        <v>1553</v>
      </c>
      <c r="E718" s="455" t="s">
        <v>1386</v>
      </c>
      <c r="F718" s="168" t="s">
        <v>1570</v>
      </c>
      <c r="G718" s="150">
        <v>0</v>
      </c>
      <c r="H718" s="456">
        <v>1716645</v>
      </c>
      <c r="I718" s="168">
        <v>0</v>
      </c>
      <c r="J718" s="168">
        <v>0</v>
      </c>
      <c r="K718" s="168"/>
      <c r="L718" s="168"/>
    </row>
    <row r="719" spans="1:12">
      <c r="A719" s="168">
        <v>80</v>
      </c>
      <c r="B719" s="168" t="s">
        <v>2819</v>
      </c>
      <c r="C719" s="168" t="s">
        <v>2902</v>
      </c>
      <c r="D719" s="455" t="s">
        <v>1553</v>
      </c>
      <c r="E719" s="455" t="s">
        <v>2562</v>
      </c>
      <c r="F719" s="168" t="s">
        <v>1572</v>
      </c>
      <c r="G719" s="150">
        <v>0</v>
      </c>
      <c r="H719" s="456">
        <v>0</v>
      </c>
      <c r="I719" s="168">
        <v>0</v>
      </c>
      <c r="J719" s="168">
        <v>0</v>
      </c>
      <c r="K719" s="168"/>
      <c r="L719" s="168"/>
    </row>
    <row r="720" spans="1:12">
      <c r="A720" s="168">
        <v>80</v>
      </c>
      <c r="B720" s="168" t="s">
        <v>2819</v>
      </c>
      <c r="C720" s="168" t="s">
        <v>2909</v>
      </c>
      <c r="D720" s="455" t="s">
        <v>1553</v>
      </c>
      <c r="E720" s="455" t="s">
        <v>2564</v>
      </c>
      <c r="F720" s="168" t="s">
        <v>1572</v>
      </c>
      <c r="G720" s="150">
        <v>0</v>
      </c>
      <c r="H720" s="456">
        <v>0</v>
      </c>
      <c r="I720" s="168">
        <v>0</v>
      </c>
      <c r="J720" s="168">
        <v>0</v>
      </c>
      <c r="K720" s="168"/>
      <c r="L720" s="168"/>
    </row>
    <row r="721" spans="1:13">
      <c r="A721" s="168">
        <v>82</v>
      </c>
      <c r="B721" s="168" t="s">
        <v>2819</v>
      </c>
      <c r="C721" s="168" t="s">
        <v>2929</v>
      </c>
      <c r="D721" s="455" t="s">
        <v>1553</v>
      </c>
      <c r="E721" s="455" t="s">
        <v>309</v>
      </c>
      <c r="F721" s="168" t="s">
        <v>1574</v>
      </c>
      <c r="G721" s="150">
        <v>0</v>
      </c>
      <c r="H721" s="456">
        <v>0</v>
      </c>
      <c r="I721" s="168">
        <v>0</v>
      </c>
      <c r="J721" s="168">
        <v>0</v>
      </c>
      <c r="K721" s="168"/>
      <c r="L721" s="168"/>
    </row>
    <row r="722" spans="1:13">
      <c r="A722" s="168">
        <v>82</v>
      </c>
      <c r="B722" s="168" t="s">
        <v>2819</v>
      </c>
      <c r="C722" s="168" t="s">
        <v>2930</v>
      </c>
      <c r="D722" s="455" t="s">
        <v>1553</v>
      </c>
      <c r="E722" s="455" t="s">
        <v>311</v>
      </c>
      <c r="F722" s="168" t="s">
        <v>1574</v>
      </c>
      <c r="G722" s="150">
        <v>0</v>
      </c>
      <c r="H722" s="456">
        <v>0</v>
      </c>
      <c r="I722" s="168">
        <v>0</v>
      </c>
      <c r="J722" s="168">
        <v>0</v>
      </c>
      <c r="K722" s="168"/>
      <c r="L722" s="168"/>
    </row>
    <row r="723" spans="1:13">
      <c r="A723" s="168">
        <v>82</v>
      </c>
      <c r="B723" s="168" t="s">
        <v>2931</v>
      </c>
      <c r="C723" s="168" t="s">
        <v>2932</v>
      </c>
      <c r="D723" s="455" t="s">
        <v>1553</v>
      </c>
      <c r="E723" s="455" t="s">
        <v>313</v>
      </c>
      <c r="F723" s="168" t="s">
        <v>1574</v>
      </c>
      <c r="G723" s="150">
        <v>0</v>
      </c>
      <c r="H723" s="456">
        <v>0</v>
      </c>
      <c r="I723" s="168">
        <v>0</v>
      </c>
      <c r="J723" s="168">
        <v>0</v>
      </c>
      <c r="K723" s="168"/>
      <c r="L723" s="168"/>
    </row>
    <row r="724" spans="1:13">
      <c r="A724" s="168">
        <v>50</v>
      </c>
      <c r="B724" s="168" t="s">
        <v>2875</v>
      </c>
      <c r="C724" s="168" t="s">
        <v>2876</v>
      </c>
      <c r="D724" s="455" t="s">
        <v>1553</v>
      </c>
      <c r="E724" s="455">
        <v>2</v>
      </c>
      <c r="F724" s="168" t="s">
        <v>1567</v>
      </c>
      <c r="G724" s="150">
        <v>0</v>
      </c>
      <c r="H724" s="456">
        <v>0</v>
      </c>
      <c r="I724" s="168">
        <v>0</v>
      </c>
      <c r="J724" s="168">
        <v>0</v>
      </c>
      <c r="K724" s="168"/>
      <c r="L724" s="168"/>
    </row>
    <row r="725" spans="1:13">
      <c r="A725" s="168">
        <v>66</v>
      </c>
      <c r="B725" s="168" t="s">
        <v>2875</v>
      </c>
      <c r="C725" s="168" t="s">
        <v>2907</v>
      </c>
      <c r="D725" s="455" t="s">
        <v>1553</v>
      </c>
      <c r="E725" s="455" t="s">
        <v>461</v>
      </c>
      <c r="F725" s="168" t="s">
        <v>1571</v>
      </c>
      <c r="G725" s="150">
        <v>0</v>
      </c>
      <c r="H725" s="456">
        <v>0</v>
      </c>
      <c r="I725" s="168">
        <v>0</v>
      </c>
      <c r="J725" s="168">
        <v>0</v>
      </c>
      <c r="K725" s="168"/>
      <c r="L725" s="168"/>
    </row>
    <row r="726" spans="1:13">
      <c r="A726" s="168">
        <v>100</v>
      </c>
      <c r="B726" s="168" t="s">
        <v>2875</v>
      </c>
      <c r="C726" s="168" t="s">
        <v>2958</v>
      </c>
      <c r="D726" s="455" t="s">
        <v>1553</v>
      </c>
      <c r="E726" s="455" t="s">
        <v>839</v>
      </c>
      <c r="F726" s="168" t="s">
        <v>1579</v>
      </c>
      <c r="G726" s="150">
        <v>0</v>
      </c>
      <c r="H726" s="456">
        <v>0</v>
      </c>
      <c r="I726" s="168">
        <v>0</v>
      </c>
      <c r="J726" s="168">
        <v>0</v>
      </c>
      <c r="K726" s="168"/>
      <c r="L726" s="168"/>
    </row>
    <row r="727" spans="1:13">
      <c r="A727" s="168">
        <v>10</v>
      </c>
      <c r="B727" s="168" t="s">
        <v>2821</v>
      </c>
      <c r="C727" s="168" t="s">
        <v>2822</v>
      </c>
      <c r="D727" s="455" t="s">
        <v>1553</v>
      </c>
      <c r="E727" s="455" t="s">
        <v>2326</v>
      </c>
      <c r="F727" s="168" t="s">
        <v>1558</v>
      </c>
      <c r="G727" s="150">
        <v>0</v>
      </c>
      <c r="H727" s="456">
        <v>0</v>
      </c>
      <c r="I727" s="168">
        <v>0</v>
      </c>
      <c r="J727" s="168">
        <v>0</v>
      </c>
      <c r="K727" s="168"/>
      <c r="L727" s="168"/>
    </row>
    <row r="728" spans="1:13" s="144" customFormat="1">
      <c r="A728" s="168">
        <v>20</v>
      </c>
      <c r="B728" s="168" t="s">
        <v>2821</v>
      </c>
      <c r="C728" s="168" t="s">
        <v>2838</v>
      </c>
      <c r="D728" s="455" t="s">
        <v>1553</v>
      </c>
      <c r="E728" s="455" t="s">
        <v>2326</v>
      </c>
      <c r="F728" s="168" t="s">
        <v>1559</v>
      </c>
      <c r="G728" s="150">
        <v>0</v>
      </c>
      <c r="H728" s="456">
        <v>0</v>
      </c>
      <c r="I728" s="168">
        <v>0</v>
      </c>
      <c r="J728" s="168">
        <v>0</v>
      </c>
      <c r="K728" s="168"/>
      <c r="L728" s="168"/>
      <c r="M728" s="139"/>
    </row>
    <row r="729" spans="1:13">
      <c r="A729" s="168">
        <v>20</v>
      </c>
      <c r="B729" s="168" t="s">
        <v>2821</v>
      </c>
      <c r="C729" s="168" t="s">
        <v>2839</v>
      </c>
      <c r="D729" s="455" t="s">
        <v>1553</v>
      </c>
      <c r="E729" s="455" t="s">
        <v>110</v>
      </c>
      <c r="F729" s="168" t="s">
        <v>1559</v>
      </c>
      <c r="G729" s="150">
        <v>0</v>
      </c>
      <c r="H729" s="456">
        <v>0</v>
      </c>
      <c r="I729" s="168">
        <v>0</v>
      </c>
      <c r="J729" s="168">
        <v>0</v>
      </c>
      <c r="K729" s="168"/>
      <c r="L729" s="168"/>
    </row>
    <row r="730" spans="1:13">
      <c r="A730" s="168">
        <v>27</v>
      </c>
      <c r="B730" s="168" t="s">
        <v>2821</v>
      </c>
      <c r="C730" s="168" t="s">
        <v>2842</v>
      </c>
      <c r="D730" s="455" t="s">
        <v>1553</v>
      </c>
      <c r="E730" s="455" t="s">
        <v>162</v>
      </c>
      <c r="F730" s="168" t="s">
        <v>1563</v>
      </c>
      <c r="G730" s="150">
        <v>0</v>
      </c>
      <c r="H730" s="456">
        <v>0</v>
      </c>
      <c r="I730" s="168">
        <v>0</v>
      </c>
      <c r="J730" s="168">
        <v>0</v>
      </c>
      <c r="K730" s="168"/>
      <c r="L730" s="168"/>
    </row>
    <row r="731" spans="1:13">
      <c r="A731" s="168">
        <v>31</v>
      </c>
      <c r="B731" s="168" t="s">
        <v>2821</v>
      </c>
      <c r="C731" s="168" t="s">
        <v>2848</v>
      </c>
      <c r="D731" s="455" t="s">
        <v>1553</v>
      </c>
      <c r="E731" s="455" t="s">
        <v>198</v>
      </c>
      <c r="F731" s="168" t="s">
        <v>1565</v>
      </c>
      <c r="G731" s="150">
        <v>0</v>
      </c>
      <c r="H731" s="456">
        <v>0</v>
      </c>
      <c r="I731" s="168">
        <v>0</v>
      </c>
      <c r="J731" s="168">
        <v>0</v>
      </c>
      <c r="K731" s="168"/>
      <c r="L731" s="168"/>
    </row>
    <row r="732" spans="1:13">
      <c r="A732" s="168">
        <v>50</v>
      </c>
      <c r="B732" s="168" t="s">
        <v>2821</v>
      </c>
      <c r="C732" s="168" t="s">
        <v>2877</v>
      </c>
      <c r="D732" s="455" t="s">
        <v>1553</v>
      </c>
      <c r="E732" s="455" t="s">
        <v>2326</v>
      </c>
      <c r="F732" s="168" t="s">
        <v>1567</v>
      </c>
      <c r="G732" s="150">
        <v>0</v>
      </c>
      <c r="H732" s="456">
        <v>0</v>
      </c>
      <c r="I732" s="168">
        <v>0</v>
      </c>
      <c r="J732" s="168">
        <v>0</v>
      </c>
      <c r="K732" s="168"/>
      <c r="L732" s="168"/>
    </row>
    <row r="733" spans="1:13">
      <c r="A733" s="168">
        <v>52</v>
      </c>
      <c r="B733" s="168" t="s">
        <v>2821</v>
      </c>
      <c r="C733" s="168" t="s">
        <v>2885</v>
      </c>
      <c r="D733" s="455" t="s">
        <v>1553</v>
      </c>
      <c r="E733" s="455" t="s">
        <v>1153</v>
      </c>
      <c r="F733" s="168" t="s">
        <v>1568</v>
      </c>
      <c r="G733" s="150">
        <v>0</v>
      </c>
      <c r="H733" s="456">
        <v>0</v>
      </c>
      <c r="I733" s="168">
        <v>0</v>
      </c>
      <c r="J733" s="168">
        <v>0</v>
      </c>
      <c r="K733" s="168"/>
      <c r="L733" s="168"/>
    </row>
    <row r="734" spans="1:13">
      <c r="A734" s="168">
        <v>64</v>
      </c>
      <c r="B734" s="168" t="s">
        <v>2821</v>
      </c>
      <c r="C734" s="168" t="s">
        <v>2899</v>
      </c>
      <c r="D734" s="455" t="s">
        <v>1553</v>
      </c>
      <c r="E734" s="455">
        <v>2</v>
      </c>
      <c r="F734" s="168" t="s">
        <v>1569</v>
      </c>
      <c r="G734" s="150">
        <v>0</v>
      </c>
      <c r="H734" s="456">
        <v>0</v>
      </c>
      <c r="I734" s="168">
        <v>0</v>
      </c>
      <c r="J734" s="168">
        <v>0</v>
      </c>
      <c r="K734" s="168"/>
      <c r="L734" s="168"/>
    </row>
    <row r="735" spans="1:13">
      <c r="A735" s="168">
        <v>65</v>
      </c>
      <c r="B735" s="168" t="s">
        <v>2821</v>
      </c>
      <c r="C735" s="168" t="s">
        <v>2903</v>
      </c>
      <c r="D735" s="455" t="s">
        <v>1553</v>
      </c>
      <c r="E735" s="455" t="s">
        <v>2326</v>
      </c>
      <c r="F735" s="168" t="s">
        <v>1570</v>
      </c>
      <c r="G735" s="150">
        <v>0</v>
      </c>
      <c r="H735" s="456">
        <v>0</v>
      </c>
      <c r="I735" s="168">
        <v>0</v>
      </c>
      <c r="J735" s="168">
        <v>0</v>
      </c>
      <c r="K735" s="168"/>
      <c r="L735" s="168"/>
    </row>
    <row r="736" spans="1:13">
      <c r="A736" s="168">
        <v>66</v>
      </c>
      <c r="B736" s="168" t="s">
        <v>2821</v>
      </c>
      <c r="C736" s="168" t="s">
        <v>2908</v>
      </c>
      <c r="D736" s="455" t="s">
        <v>1553</v>
      </c>
      <c r="E736" s="455" t="s">
        <v>1389</v>
      </c>
      <c r="F736" s="168" t="s">
        <v>1571</v>
      </c>
      <c r="G736" s="150">
        <v>0</v>
      </c>
      <c r="H736" s="456">
        <v>0</v>
      </c>
      <c r="I736" s="168">
        <v>0</v>
      </c>
      <c r="J736" s="168">
        <v>0</v>
      </c>
      <c r="K736" s="168"/>
      <c r="L736" s="168"/>
      <c r="M736" s="139" t="s">
        <v>45</v>
      </c>
    </row>
    <row r="737" spans="1:12">
      <c r="A737" s="168">
        <v>81</v>
      </c>
      <c r="B737" s="168" t="s">
        <v>2821</v>
      </c>
      <c r="C737" s="168" t="s">
        <v>2918</v>
      </c>
      <c r="D737" s="455" t="s">
        <v>1553</v>
      </c>
      <c r="E737" s="455" t="s">
        <v>2570</v>
      </c>
      <c r="F737" s="168" t="s">
        <v>1573</v>
      </c>
      <c r="G737" s="150">
        <v>0</v>
      </c>
      <c r="H737" s="456">
        <v>0</v>
      </c>
      <c r="I737" s="168">
        <v>0</v>
      </c>
      <c r="J737" s="168">
        <v>0</v>
      </c>
      <c r="K737" s="168"/>
      <c r="L737" s="168"/>
    </row>
    <row r="738" spans="1:12">
      <c r="A738" s="168">
        <v>82</v>
      </c>
      <c r="B738" s="168" t="s">
        <v>2821</v>
      </c>
      <c r="C738" s="168" t="s">
        <v>2851</v>
      </c>
      <c r="D738" s="455" t="s">
        <v>1553</v>
      </c>
      <c r="E738" s="455" t="s">
        <v>315</v>
      </c>
      <c r="F738" s="168" t="s">
        <v>1574</v>
      </c>
      <c r="G738" s="150">
        <v>0</v>
      </c>
      <c r="H738" s="456">
        <v>0</v>
      </c>
      <c r="I738" s="168">
        <v>0</v>
      </c>
      <c r="J738" s="168">
        <v>0</v>
      </c>
      <c r="K738" s="168"/>
      <c r="L738" s="168"/>
    </row>
    <row r="739" spans="1:12">
      <c r="A739" s="168">
        <v>100</v>
      </c>
      <c r="B739" s="168" t="s">
        <v>2821</v>
      </c>
      <c r="C739" s="168" t="s">
        <v>2959</v>
      </c>
      <c r="D739" s="455" t="s">
        <v>1553</v>
      </c>
      <c r="E739" s="455" t="s">
        <v>2332</v>
      </c>
      <c r="F739" s="168" t="s">
        <v>1579</v>
      </c>
      <c r="G739" s="150">
        <v>0</v>
      </c>
      <c r="H739" s="456">
        <v>0</v>
      </c>
      <c r="I739" s="168">
        <v>0</v>
      </c>
      <c r="J739" s="168">
        <v>0</v>
      </c>
      <c r="K739" s="168"/>
      <c r="L739" s="168"/>
    </row>
    <row r="740" spans="1:12">
      <c r="A740" s="168">
        <v>100</v>
      </c>
      <c r="B740" s="168" t="s">
        <v>2960</v>
      </c>
      <c r="C740" s="168" t="s">
        <v>2839</v>
      </c>
      <c r="D740" s="455" t="s">
        <v>1553</v>
      </c>
      <c r="E740" s="455" t="s">
        <v>359</v>
      </c>
      <c r="F740" s="168" t="s">
        <v>1579</v>
      </c>
      <c r="G740" s="150">
        <v>0</v>
      </c>
      <c r="H740" s="456">
        <v>0</v>
      </c>
      <c r="I740" s="168">
        <v>0</v>
      </c>
      <c r="J740" s="168">
        <v>0</v>
      </c>
      <c r="K740" s="168"/>
      <c r="L740" s="168"/>
    </row>
    <row r="741" spans="1:12">
      <c r="A741" s="168">
        <v>31</v>
      </c>
      <c r="B741" s="168" t="s">
        <v>2849</v>
      </c>
      <c r="C741" s="168" t="s">
        <v>2850</v>
      </c>
      <c r="D741" s="455" t="s">
        <v>1553</v>
      </c>
      <c r="E741" s="455" t="s">
        <v>2324</v>
      </c>
      <c r="F741" s="168" t="s">
        <v>1565</v>
      </c>
      <c r="G741" s="150">
        <v>0</v>
      </c>
      <c r="H741" s="456">
        <v>0</v>
      </c>
      <c r="I741" s="168">
        <v>0</v>
      </c>
      <c r="J741" s="168">
        <v>0</v>
      </c>
      <c r="K741" s="168"/>
      <c r="L741" s="168"/>
    </row>
    <row r="742" spans="1:12">
      <c r="A742" s="168">
        <v>82</v>
      </c>
      <c r="B742" s="168" t="s">
        <v>2933</v>
      </c>
      <c r="C742" s="168" t="s">
        <v>2934</v>
      </c>
      <c r="D742" s="455" t="s">
        <v>431</v>
      </c>
      <c r="E742" s="455" t="s">
        <v>59</v>
      </c>
      <c r="F742" s="168" t="s">
        <v>1574</v>
      </c>
      <c r="G742" s="150">
        <v>-0.4</v>
      </c>
      <c r="H742" s="456">
        <v>-1856000</v>
      </c>
      <c r="I742" s="168">
        <v>0</v>
      </c>
      <c r="J742" s="168">
        <v>-588666</v>
      </c>
      <c r="K742" s="168">
        <v>-588666</v>
      </c>
      <c r="L742" s="168"/>
    </row>
    <row r="743" spans="1:12">
      <c r="A743" s="168">
        <v>82</v>
      </c>
      <c r="B743" s="168" t="s">
        <v>2933</v>
      </c>
      <c r="C743" s="168" t="s">
        <v>2935</v>
      </c>
      <c r="D743" s="455"/>
      <c r="E743" s="455"/>
      <c r="F743" s="168"/>
      <c r="G743" s="150"/>
      <c r="H743" s="456"/>
      <c r="I743" s="168"/>
      <c r="J743" s="168">
        <v>-8100000</v>
      </c>
      <c r="K743" s="168">
        <v>-8100000</v>
      </c>
      <c r="L743" s="168"/>
    </row>
    <row r="744" spans="1:12">
      <c r="A744" s="168">
        <v>82</v>
      </c>
      <c r="B744" s="168" t="s">
        <v>2933</v>
      </c>
      <c r="C744" s="168" t="s">
        <v>2936</v>
      </c>
      <c r="D744" s="455" t="s">
        <v>1553</v>
      </c>
      <c r="E744" s="455" t="s">
        <v>597</v>
      </c>
      <c r="F744" s="168" t="s">
        <v>1574</v>
      </c>
      <c r="G744" s="150">
        <v>0</v>
      </c>
      <c r="H744" s="456">
        <v>0</v>
      </c>
      <c r="I744" s="168">
        <v>0</v>
      </c>
      <c r="J744" s="168">
        <v>0</v>
      </c>
      <c r="K744" s="168"/>
      <c r="L744" s="168"/>
    </row>
    <row r="745" spans="1:12">
      <c r="A745" s="168">
        <v>10</v>
      </c>
      <c r="B745" s="168" t="s">
        <v>2823</v>
      </c>
      <c r="C745" s="168" t="s">
        <v>2824</v>
      </c>
      <c r="D745" s="455" t="s">
        <v>1553</v>
      </c>
      <c r="E745" s="455" t="s">
        <v>70</v>
      </c>
      <c r="F745" s="168" t="s">
        <v>1558</v>
      </c>
      <c r="G745" s="150">
        <v>0</v>
      </c>
      <c r="H745" s="456">
        <v>0</v>
      </c>
      <c r="I745" s="168">
        <v>0</v>
      </c>
      <c r="J745" s="168">
        <v>0</v>
      </c>
      <c r="K745" s="168"/>
      <c r="L745" s="168"/>
    </row>
    <row r="746" spans="1:12">
      <c r="A746" s="168">
        <v>65</v>
      </c>
      <c r="B746" s="168" t="s">
        <v>2904</v>
      </c>
      <c r="C746" s="168" t="s">
        <v>2905</v>
      </c>
      <c r="D746" s="455" t="s">
        <v>1553</v>
      </c>
      <c r="E746" s="455" t="s">
        <v>1386</v>
      </c>
      <c r="F746" s="168" t="s">
        <v>1570</v>
      </c>
      <c r="G746" s="150">
        <v>0</v>
      </c>
      <c r="H746" s="456">
        <v>-1716645</v>
      </c>
      <c r="I746" s="168"/>
      <c r="J746" s="168"/>
      <c r="K746" s="168"/>
      <c r="L746" s="168"/>
    </row>
    <row r="747" spans="1:12">
      <c r="A747" s="168">
        <v>84</v>
      </c>
      <c r="B747" s="168" t="s">
        <v>2904</v>
      </c>
      <c r="C747" s="168" t="s">
        <v>2950</v>
      </c>
      <c r="D747" s="455" t="s">
        <v>1553</v>
      </c>
      <c r="E747" s="455" t="s">
        <v>322</v>
      </c>
      <c r="F747" s="168" t="s">
        <v>1244</v>
      </c>
      <c r="G747" s="150">
        <v>0</v>
      </c>
      <c r="H747" s="456">
        <v>0</v>
      </c>
      <c r="I747" s="168">
        <v>0</v>
      </c>
      <c r="J747" s="168">
        <v>0</v>
      </c>
      <c r="K747" s="168"/>
      <c r="L747" s="168"/>
    </row>
    <row r="748" spans="1:12">
      <c r="A748" s="168"/>
      <c r="B748" s="168"/>
      <c r="C748" s="168"/>
      <c r="D748" s="168"/>
      <c r="E748" s="455"/>
      <c r="F748" s="168"/>
      <c r="G748" s="456"/>
      <c r="H748" s="456"/>
      <c r="I748" s="168"/>
      <c r="J748" s="168"/>
      <c r="K748" s="168"/>
      <c r="L748" s="168"/>
    </row>
    <row r="749" spans="1:12">
      <c r="A749" s="168"/>
      <c r="B749" s="168"/>
      <c r="C749" s="168"/>
      <c r="D749" s="168"/>
      <c r="E749" s="455"/>
      <c r="F749" s="168"/>
      <c r="G749" s="456"/>
      <c r="H749" s="456"/>
      <c r="I749" s="168"/>
      <c r="J749" s="168">
        <f>SUM(J2:J748)</f>
        <v>-2104292.1399999969</v>
      </c>
      <c r="K749" s="168">
        <f>SUM(K1:K748)</f>
        <v>-196938798.59999999</v>
      </c>
      <c r="L749" s="168">
        <f>SUM(L2:L748)</f>
        <v>105560444.73</v>
      </c>
    </row>
    <row r="750" spans="1:12">
      <c r="A750" s="168"/>
      <c r="B750" s="168"/>
      <c r="C750" s="168"/>
      <c r="D750" s="168"/>
      <c r="E750" s="455"/>
      <c r="F750" s="168"/>
      <c r="G750" s="456"/>
      <c r="H750" s="456"/>
      <c r="I750" s="168"/>
      <c r="J750" s="168"/>
      <c r="K750" s="168"/>
      <c r="L750" s="168" t="s">
        <v>45</v>
      </c>
    </row>
    <row r="751" spans="1:12">
      <c r="A751" s="168"/>
      <c r="B751" s="168"/>
      <c r="C751" s="168"/>
      <c r="D751" s="168"/>
      <c r="E751" s="455"/>
      <c r="F751" s="168"/>
      <c r="G751" s="456"/>
      <c r="H751" s="456"/>
      <c r="I751" s="168"/>
      <c r="J751" s="168"/>
      <c r="K751" s="168" t="s">
        <v>45</v>
      </c>
      <c r="L751" s="168" t="s">
        <v>45</v>
      </c>
    </row>
    <row r="752" spans="1:12">
      <c r="A752" s="168"/>
      <c r="B752" s="168"/>
      <c r="C752" s="168"/>
      <c r="D752" s="168"/>
      <c r="E752" s="455"/>
      <c r="F752" s="168"/>
      <c r="G752" s="456"/>
      <c r="H752" s="456"/>
      <c r="I752" s="168"/>
      <c r="J752" s="168"/>
      <c r="K752" s="168"/>
      <c r="L752" s="168" t="s">
        <v>45</v>
      </c>
    </row>
    <row r="753" spans="1:12">
      <c r="A753" s="168"/>
      <c r="B753" s="168"/>
      <c r="C753" s="168"/>
      <c r="D753" s="168"/>
      <c r="E753" s="455"/>
      <c r="F753" s="168"/>
      <c r="G753" s="456"/>
      <c r="H753" s="456"/>
      <c r="I753" s="168"/>
      <c r="J753" s="168"/>
      <c r="K753" s="168"/>
      <c r="L753" s="168"/>
    </row>
    <row r="784" spans="11:11">
      <c r="K784" s="139" t="s">
        <v>45</v>
      </c>
    </row>
  </sheetData>
  <sortState ref="A396:J671">
    <sortCondition ref="C396:C671"/>
  </sortState>
  <pageMargins left="0.7" right="0.7" top="0.75" bottom="0.75" header="0.3" footer="0.3"/>
  <pageSetup paperSize="9" scale="51" orientation="portrait" r:id="rId1"/>
</worksheet>
</file>

<file path=xl/worksheets/sheet53.xml><?xml version="1.0" encoding="utf-8"?>
<worksheet xmlns="http://schemas.openxmlformats.org/spreadsheetml/2006/main" xmlns:r="http://schemas.openxmlformats.org/officeDocument/2006/relationships">
  <dimension ref="A1:E179"/>
  <sheetViews>
    <sheetView topLeftCell="A52" workbookViewId="0">
      <selection activeCell="E103" sqref="E103"/>
    </sheetView>
  </sheetViews>
  <sheetFormatPr defaultColWidth="19" defaultRowHeight="15"/>
  <cols>
    <col min="1" max="2" width="15.7109375" style="168" customWidth="1"/>
    <col min="3" max="3" width="16.5703125" style="455" customWidth="1"/>
    <col min="4" max="4" width="19" style="168" customWidth="1"/>
    <col min="5" max="5" width="15.85546875" style="456" customWidth="1"/>
    <col min="6" max="16384" width="19" style="168"/>
  </cols>
  <sheetData>
    <row r="1" spans="1:5">
      <c r="A1" s="168" t="s">
        <v>33</v>
      </c>
      <c r="B1" s="455" t="s">
        <v>1556</v>
      </c>
      <c r="C1" s="455" t="s">
        <v>1710</v>
      </c>
      <c r="D1" s="168" t="s">
        <v>1557</v>
      </c>
      <c r="E1" s="456" t="s">
        <v>2664</v>
      </c>
    </row>
    <row r="2" spans="1:5">
      <c r="B2" s="455"/>
    </row>
    <row r="3" spans="1:5">
      <c r="B3" s="455"/>
    </row>
    <row r="4" spans="1:5">
      <c r="A4" s="168" t="s">
        <v>609</v>
      </c>
      <c r="B4" s="455" t="s">
        <v>1553</v>
      </c>
      <c r="C4" s="455" t="s">
        <v>610</v>
      </c>
      <c r="D4" s="168" t="s">
        <v>1558</v>
      </c>
      <c r="E4" s="629">
        <v>102711.28</v>
      </c>
    </row>
    <row r="5" spans="1:5">
      <c r="A5" s="168" t="s">
        <v>1663</v>
      </c>
      <c r="B5" s="455" t="s">
        <v>1553</v>
      </c>
      <c r="C5" s="455" t="s">
        <v>610</v>
      </c>
      <c r="D5" s="168" t="s">
        <v>1562</v>
      </c>
      <c r="E5" s="629">
        <v>20641.55</v>
      </c>
    </row>
    <row r="6" spans="1:5">
      <c r="A6" s="168" t="s">
        <v>149</v>
      </c>
      <c r="B6" s="455" t="s">
        <v>1553</v>
      </c>
      <c r="C6" s="455" t="s">
        <v>610</v>
      </c>
      <c r="D6" s="168" t="s">
        <v>1563</v>
      </c>
      <c r="E6" s="629">
        <v>42728.07</v>
      </c>
    </row>
    <row r="7" spans="1:5">
      <c r="A7" s="168" t="s">
        <v>2692</v>
      </c>
      <c r="B7" s="455" t="s">
        <v>1553</v>
      </c>
      <c r="C7" s="455" t="s">
        <v>610</v>
      </c>
      <c r="D7" s="168" t="s">
        <v>1564</v>
      </c>
      <c r="E7" s="629">
        <v>53384.29</v>
      </c>
    </row>
    <row r="8" spans="1:5">
      <c r="A8" s="168" t="s">
        <v>1407</v>
      </c>
      <c r="B8" s="455" t="s">
        <v>1553</v>
      </c>
      <c r="C8" s="455" t="s">
        <v>610</v>
      </c>
      <c r="D8" s="168" t="s">
        <v>461</v>
      </c>
      <c r="E8" s="629">
        <v>2364.2800000000002</v>
      </c>
    </row>
    <row r="9" spans="1:5">
      <c r="A9" s="168" t="s">
        <v>244</v>
      </c>
      <c r="B9" s="455" t="s">
        <v>1553</v>
      </c>
      <c r="C9" s="455" t="s">
        <v>2450</v>
      </c>
      <c r="D9" s="168" t="s">
        <v>1567</v>
      </c>
      <c r="E9" s="629">
        <v>445744.32</v>
      </c>
    </row>
    <row r="10" spans="1:5">
      <c r="A10" s="168" t="s">
        <v>61</v>
      </c>
      <c r="B10" s="455" t="s">
        <v>1553</v>
      </c>
      <c r="C10" s="455" t="s">
        <v>62</v>
      </c>
      <c r="D10" s="168" t="s">
        <v>1558</v>
      </c>
      <c r="E10" s="629">
        <v>63064.67</v>
      </c>
    </row>
    <row r="11" spans="1:5">
      <c r="A11" s="169" t="s">
        <v>613</v>
      </c>
      <c r="B11" s="628" t="s">
        <v>1553</v>
      </c>
      <c r="C11" s="628" t="s">
        <v>614</v>
      </c>
      <c r="D11" s="169" t="s">
        <v>1558</v>
      </c>
      <c r="E11" s="629">
        <v>602742.75</v>
      </c>
    </row>
    <row r="12" spans="1:5">
      <c r="A12" s="168" t="s">
        <v>611</v>
      </c>
      <c r="B12" s="455" t="s">
        <v>1553</v>
      </c>
      <c r="C12" s="455" t="s">
        <v>612</v>
      </c>
      <c r="D12" s="168" t="s">
        <v>1558</v>
      </c>
      <c r="E12" s="460">
        <v>98868.89</v>
      </c>
    </row>
    <row r="13" spans="1:5">
      <c r="A13" s="168" t="s">
        <v>97</v>
      </c>
      <c r="B13" s="455" t="s">
        <v>1553</v>
      </c>
      <c r="C13" s="455" t="s">
        <v>612</v>
      </c>
      <c r="D13" s="168" t="s">
        <v>1559</v>
      </c>
      <c r="E13" s="460">
        <v>33094.33</v>
      </c>
    </row>
    <row r="14" spans="1:5">
      <c r="A14" s="168" t="s">
        <v>1664</v>
      </c>
      <c r="B14" s="455" t="s">
        <v>1553</v>
      </c>
      <c r="C14" s="455" t="s">
        <v>612</v>
      </c>
      <c r="D14" s="168" t="s">
        <v>1562</v>
      </c>
      <c r="E14" s="460">
        <v>13114.75</v>
      </c>
    </row>
    <row r="15" spans="1:5">
      <c r="A15" s="168" t="s">
        <v>150</v>
      </c>
      <c r="B15" s="455" t="s">
        <v>1553</v>
      </c>
      <c r="C15" s="455" t="s">
        <v>612</v>
      </c>
      <c r="D15" s="168" t="s">
        <v>1563</v>
      </c>
      <c r="E15" s="460">
        <v>19059.740000000002</v>
      </c>
    </row>
    <row r="16" spans="1:5">
      <c r="A16" s="168" t="s">
        <v>212</v>
      </c>
      <c r="B16" s="455" t="s">
        <v>1553</v>
      </c>
      <c r="C16" s="455" t="s">
        <v>612</v>
      </c>
      <c r="D16" s="168" t="s">
        <v>1566</v>
      </c>
      <c r="E16" s="460">
        <v>18</v>
      </c>
    </row>
    <row r="17" spans="1:5">
      <c r="A17" s="168" t="s">
        <v>245</v>
      </c>
      <c r="B17" s="455" t="s">
        <v>1553</v>
      </c>
      <c r="C17" s="455" t="s">
        <v>612</v>
      </c>
      <c r="D17" s="168" t="s">
        <v>1567</v>
      </c>
      <c r="E17" s="460">
        <v>92573.11</v>
      </c>
    </row>
    <row r="18" spans="1:5">
      <c r="A18" s="168" t="s">
        <v>1143</v>
      </c>
      <c r="B18" s="455" t="s">
        <v>1553</v>
      </c>
      <c r="C18" s="455" t="s">
        <v>612</v>
      </c>
      <c r="D18" s="168" t="s">
        <v>1568</v>
      </c>
      <c r="E18" s="460">
        <v>250</v>
      </c>
    </row>
    <row r="19" spans="1:5">
      <c r="A19" s="168" t="s">
        <v>2551</v>
      </c>
      <c r="B19" s="455" t="s">
        <v>1553</v>
      </c>
      <c r="C19" s="455" t="s">
        <v>612</v>
      </c>
      <c r="D19" s="168" t="s">
        <v>1572</v>
      </c>
      <c r="E19" s="460">
        <v>11228.28</v>
      </c>
    </row>
    <row r="20" spans="1:5">
      <c r="A20" s="168" t="s">
        <v>1459</v>
      </c>
      <c r="B20" s="455" t="s">
        <v>1553</v>
      </c>
      <c r="C20" s="455" t="s">
        <v>612</v>
      </c>
      <c r="D20" s="168" t="s">
        <v>1579</v>
      </c>
      <c r="E20" s="460">
        <v>132.15</v>
      </c>
    </row>
    <row r="21" spans="1:5">
      <c r="A21" s="168" t="s">
        <v>98</v>
      </c>
      <c r="B21" s="455" t="s">
        <v>1553</v>
      </c>
      <c r="C21" s="455" t="s">
        <v>99</v>
      </c>
      <c r="D21" s="168" t="s">
        <v>1559</v>
      </c>
      <c r="E21" s="630">
        <v>743219.42</v>
      </c>
    </row>
    <row r="22" spans="1:5">
      <c r="A22" s="168" t="s">
        <v>1665</v>
      </c>
      <c r="B22" s="455" t="s">
        <v>1553</v>
      </c>
      <c r="C22" s="455" t="s">
        <v>99</v>
      </c>
      <c r="D22" s="168" t="s">
        <v>1562</v>
      </c>
      <c r="E22" s="630">
        <v>564550.34</v>
      </c>
    </row>
    <row r="23" spans="1:5">
      <c r="A23" s="168" t="s">
        <v>151</v>
      </c>
      <c r="B23" s="455" t="s">
        <v>1553</v>
      </c>
      <c r="C23" s="455" t="s">
        <v>99</v>
      </c>
      <c r="D23" s="168" t="s">
        <v>1563</v>
      </c>
      <c r="E23" s="630">
        <v>3318.99</v>
      </c>
    </row>
    <row r="24" spans="1:5">
      <c r="A24" s="168" t="s">
        <v>246</v>
      </c>
      <c r="B24" s="455" t="s">
        <v>1553</v>
      </c>
      <c r="C24" s="455" t="s">
        <v>99</v>
      </c>
      <c r="D24" s="168" t="s">
        <v>1567</v>
      </c>
      <c r="E24" s="630">
        <v>122737</v>
      </c>
    </row>
    <row r="25" spans="1:5">
      <c r="A25" s="168" t="s">
        <v>1144</v>
      </c>
      <c r="B25" s="455" t="s">
        <v>1553</v>
      </c>
      <c r="C25" s="455" t="s">
        <v>99</v>
      </c>
      <c r="D25" s="168" t="s">
        <v>1568</v>
      </c>
      <c r="E25" s="630">
        <v>862585.77</v>
      </c>
    </row>
    <row r="26" spans="1:5">
      <c r="A26" s="168" t="s">
        <v>615</v>
      </c>
      <c r="B26" s="455" t="s">
        <v>1553</v>
      </c>
      <c r="C26" s="455" t="s">
        <v>616</v>
      </c>
      <c r="D26" s="168" t="s">
        <v>1558</v>
      </c>
      <c r="E26" s="153">
        <v>13700.25</v>
      </c>
    </row>
    <row r="27" spans="1:5">
      <c r="A27" s="168" t="s">
        <v>100</v>
      </c>
      <c r="B27" s="455" t="s">
        <v>1553</v>
      </c>
      <c r="C27" s="455" t="s">
        <v>616</v>
      </c>
      <c r="D27" s="168" t="s">
        <v>1559</v>
      </c>
      <c r="E27" s="153">
        <v>20</v>
      </c>
    </row>
    <row r="28" spans="1:5">
      <c r="A28" s="168" t="s">
        <v>1654</v>
      </c>
      <c r="B28" s="455" t="s">
        <v>1553</v>
      </c>
      <c r="C28" s="455" t="s">
        <v>616</v>
      </c>
      <c r="D28" s="168" t="s">
        <v>1561</v>
      </c>
      <c r="E28" s="153">
        <v>1578.45</v>
      </c>
    </row>
    <row r="29" spans="1:5">
      <c r="A29" s="168" t="s">
        <v>152</v>
      </c>
      <c r="B29" s="455" t="s">
        <v>1553</v>
      </c>
      <c r="C29" s="455" t="s">
        <v>616</v>
      </c>
      <c r="D29" s="168" t="s">
        <v>1563</v>
      </c>
      <c r="E29" s="153">
        <v>73121.539999999994</v>
      </c>
    </row>
    <row r="30" spans="1:5">
      <c r="A30" s="168" t="s">
        <v>185</v>
      </c>
      <c r="B30" s="455" t="s">
        <v>1553</v>
      </c>
      <c r="C30" s="455" t="s">
        <v>616</v>
      </c>
      <c r="D30" s="168" t="s">
        <v>1565</v>
      </c>
      <c r="E30" s="153">
        <v>59.95</v>
      </c>
    </row>
    <row r="31" spans="1:5">
      <c r="A31" s="168" t="s">
        <v>213</v>
      </c>
      <c r="B31" s="455" t="s">
        <v>1553</v>
      </c>
      <c r="C31" s="455" t="s">
        <v>616</v>
      </c>
      <c r="D31" s="168" t="s">
        <v>1566</v>
      </c>
      <c r="E31" s="153">
        <v>2550</v>
      </c>
    </row>
    <row r="32" spans="1:5">
      <c r="A32" s="168" t="s">
        <v>1358</v>
      </c>
      <c r="B32" s="455" t="s">
        <v>1553</v>
      </c>
      <c r="C32" s="455" t="s">
        <v>616</v>
      </c>
      <c r="D32" s="168" t="s">
        <v>1569</v>
      </c>
      <c r="E32" s="153">
        <v>4386.16</v>
      </c>
    </row>
    <row r="33" spans="1:5">
      <c r="A33" s="168" t="s">
        <v>1379</v>
      </c>
      <c r="B33" s="455" t="s">
        <v>1553</v>
      </c>
      <c r="C33" s="455" t="s">
        <v>616</v>
      </c>
      <c r="D33" s="168" t="s">
        <v>1570</v>
      </c>
      <c r="E33" s="153">
        <v>1531.53</v>
      </c>
    </row>
    <row r="34" spans="1:5">
      <c r="A34" s="168" t="s">
        <v>1170</v>
      </c>
      <c r="B34" s="455" t="s">
        <v>1553</v>
      </c>
      <c r="C34" s="455" t="s">
        <v>616</v>
      </c>
      <c r="D34" s="168" t="s">
        <v>1571</v>
      </c>
      <c r="E34" s="153">
        <v>35693.089999999997</v>
      </c>
    </row>
    <row r="35" spans="1:5">
      <c r="A35" s="168" t="s">
        <v>2552</v>
      </c>
      <c r="B35" s="455" t="s">
        <v>1553</v>
      </c>
      <c r="C35" s="455" t="s">
        <v>616</v>
      </c>
      <c r="D35" s="168" t="s">
        <v>1572</v>
      </c>
      <c r="E35" s="153">
        <v>2342.3200000000002</v>
      </c>
    </row>
    <row r="36" spans="1:5">
      <c r="A36" s="168" t="s">
        <v>2595</v>
      </c>
      <c r="B36" s="455" t="s">
        <v>1553</v>
      </c>
      <c r="C36" s="455" t="s">
        <v>616</v>
      </c>
      <c r="D36" s="168" t="s">
        <v>1573</v>
      </c>
      <c r="E36" s="153">
        <v>44619.58</v>
      </c>
    </row>
    <row r="37" spans="1:5">
      <c r="A37" s="168" t="s">
        <v>297</v>
      </c>
      <c r="B37" s="455" t="s">
        <v>1553</v>
      </c>
      <c r="C37" s="455" t="s">
        <v>616</v>
      </c>
      <c r="D37" s="168" t="s">
        <v>1574</v>
      </c>
      <c r="E37" s="153">
        <v>34222.74</v>
      </c>
    </row>
    <row r="38" spans="1:5">
      <c r="A38" s="168" t="s">
        <v>346</v>
      </c>
      <c r="B38" s="455" t="s">
        <v>1553</v>
      </c>
      <c r="C38" s="455" t="s">
        <v>616</v>
      </c>
      <c r="D38" s="168" t="s">
        <v>1244</v>
      </c>
      <c r="E38" s="153">
        <v>2875.2</v>
      </c>
    </row>
    <row r="39" spans="1:5">
      <c r="A39" s="168" t="s">
        <v>370</v>
      </c>
      <c r="B39" s="455" t="s">
        <v>1553</v>
      </c>
      <c r="C39" s="455" t="s">
        <v>616</v>
      </c>
      <c r="D39" s="168" t="s">
        <v>1576</v>
      </c>
      <c r="E39" s="153">
        <v>5985</v>
      </c>
    </row>
    <row r="40" spans="1:5">
      <c r="A40" s="168" t="s">
        <v>1412</v>
      </c>
      <c r="B40" s="455" t="s">
        <v>1553</v>
      </c>
      <c r="C40" s="455" t="s">
        <v>616</v>
      </c>
      <c r="D40" s="168" t="s">
        <v>1240</v>
      </c>
      <c r="E40" s="153">
        <v>611.74</v>
      </c>
    </row>
    <row r="41" spans="1:5">
      <c r="A41" s="168" t="s">
        <v>1420</v>
      </c>
      <c r="B41" s="455" t="s">
        <v>1553</v>
      </c>
      <c r="C41" s="455" t="s">
        <v>616</v>
      </c>
      <c r="D41" s="168" t="s">
        <v>1577</v>
      </c>
      <c r="E41" s="153">
        <v>82.5</v>
      </c>
    </row>
    <row r="42" spans="1:5">
      <c r="A42" s="168" t="s">
        <v>1460</v>
      </c>
      <c r="B42" s="455" t="s">
        <v>1553</v>
      </c>
      <c r="C42" s="455" t="s">
        <v>616</v>
      </c>
      <c r="D42" s="168" t="s">
        <v>1579</v>
      </c>
      <c r="E42" s="153">
        <v>4142.5200000000004</v>
      </c>
    </row>
    <row r="43" spans="1:5">
      <c r="A43" s="168" t="s">
        <v>54</v>
      </c>
      <c r="B43" s="455" t="s">
        <v>1553</v>
      </c>
      <c r="C43" s="455" t="s">
        <v>55</v>
      </c>
      <c r="D43" s="168" t="s">
        <v>1558</v>
      </c>
      <c r="E43" s="153">
        <v>79762.12</v>
      </c>
    </row>
    <row r="44" spans="1:5">
      <c r="A44" s="168" t="s">
        <v>617</v>
      </c>
      <c r="B44" s="455" t="s">
        <v>1553</v>
      </c>
      <c r="C44" s="455" t="s">
        <v>618</v>
      </c>
      <c r="D44" s="168" t="s">
        <v>1558</v>
      </c>
      <c r="E44" s="631">
        <v>98189.23</v>
      </c>
    </row>
    <row r="45" spans="1:5">
      <c r="A45" s="168" t="s">
        <v>619</v>
      </c>
      <c r="B45" s="455" t="s">
        <v>1553</v>
      </c>
      <c r="C45" s="455" t="s">
        <v>620</v>
      </c>
      <c r="D45" s="168" t="s">
        <v>1558</v>
      </c>
      <c r="E45" s="631">
        <v>363842.08</v>
      </c>
    </row>
    <row r="46" spans="1:5">
      <c r="A46" s="168" t="s">
        <v>101</v>
      </c>
      <c r="B46" s="455" t="s">
        <v>1553</v>
      </c>
      <c r="C46" s="455" t="s">
        <v>620</v>
      </c>
      <c r="D46" s="168" t="s">
        <v>1559</v>
      </c>
      <c r="E46" s="631">
        <v>34022.15</v>
      </c>
    </row>
    <row r="47" spans="1:5">
      <c r="A47" s="168" t="s">
        <v>243</v>
      </c>
      <c r="B47" s="455" t="s">
        <v>1553</v>
      </c>
      <c r="C47" s="455" t="s">
        <v>597</v>
      </c>
      <c r="D47" s="168" t="s">
        <v>1567</v>
      </c>
      <c r="E47" s="631">
        <v>870002.64</v>
      </c>
    </row>
    <row r="48" spans="1:5">
      <c r="A48" s="168" t="s">
        <v>262</v>
      </c>
      <c r="B48" s="455" t="s">
        <v>1553</v>
      </c>
      <c r="C48" s="455" t="s">
        <v>263</v>
      </c>
      <c r="D48" s="168" t="s">
        <v>1567</v>
      </c>
      <c r="E48" s="629">
        <v>206265.08</v>
      </c>
    </row>
    <row r="49" spans="1:5">
      <c r="A49" s="168" t="s">
        <v>621</v>
      </c>
      <c r="B49" s="455" t="s">
        <v>1553</v>
      </c>
      <c r="C49" s="455" t="s">
        <v>622</v>
      </c>
      <c r="D49" s="168" t="s">
        <v>1558</v>
      </c>
      <c r="E49" s="629">
        <v>68853.73</v>
      </c>
    </row>
    <row r="50" spans="1:5">
      <c r="A50" s="168" t="s">
        <v>1359</v>
      </c>
      <c r="B50" s="455" t="s">
        <v>1553</v>
      </c>
      <c r="C50" s="455" t="s">
        <v>622</v>
      </c>
      <c r="D50" s="168" t="s">
        <v>1569</v>
      </c>
      <c r="E50" s="629">
        <v>24648.79</v>
      </c>
    </row>
    <row r="51" spans="1:5">
      <c r="A51" s="168" t="s">
        <v>1171</v>
      </c>
      <c r="B51" s="455" t="s">
        <v>1553</v>
      </c>
      <c r="C51" s="455" t="s">
        <v>622</v>
      </c>
      <c r="D51" s="168" t="s">
        <v>1571</v>
      </c>
      <c r="E51" s="629">
        <v>81634.75</v>
      </c>
    </row>
    <row r="52" spans="1:5">
      <c r="A52" s="168" t="s">
        <v>2596</v>
      </c>
      <c r="B52" s="455" t="s">
        <v>1553</v>
      </c>
      <c r="C52" s="455" t="s">
        <v>622</v>
      </c>
      <c r="D52" s="168" t="s">
        <v>1573</v>
      </c>
      <c r="E52" s="629">
        <v>72970.61</v>
      </c>
    </row>
    <row r="53" spans="1:5">
      <c r="A53" s="168" t="s">
        <v>347</v>
      </c>
      <c r="B53" s="455" t="s">
        <v>1553</v>
      </c>
      <c r="C53" s="455" t="s">
        <v>622</v>
      </c>
      <c r="D53" s="168" t="s">
        <v>1244</v>
      </c>
      <c r="E53" s="629">
        <v>79289.98</v>
      </c>
    </row>
    <row r="54" spans="1:5">
      <c r="A54" s="168" t="s">
        <v>1461</v>
      </c>
      <c r="B54" s="455" t="s">
        <v>1553</v>
      </c>
      <c r="C54" s="455" t="s">
        <v>622</v>
      </c>
      <c r="D54" s="168" t="s">
        <v>1579</v>
      </c>
      <c r="E54" s="629">
        <v>45775.66</v>
      </c>
    </row>
    <row r="55" spans="1:5">
      <c r="A55" s="168" t="s">
        <v>629</v>
      </c>
      <c r="B55" s="455" t="s">
        <v>1553</v>
      </c>
      <c r="C55" s="455" t="s">
        <v>2326</v>
      </c>
      <c r="D55" s="168" t="s">
        <v>1558</v>
      </c>
      <c r="E55" s="150">
        <v>14594.92</v>
      </c>
    </row>
    <row r="56" spans="1:5">
      <c r="A56" s="168" t="s">
        <v>604</v>
      </c>
      <c r="B56" s="455" t="s">
        <v>1553</v>
      </c>
      <c r="C56" s="455" t="s">
        <v>605</v>
      </c>
      <c r="D56" s="168" t="s">
        <v>1558</v>
      </c>
      <c r="E56" s="629">
        <v>253478.28</v>
      </c>
    </row>
    <row r="57" spans="1:5">
      <c r="A57" s="168" t="s">
        <v>606</v>
      </c>
      <c r="B57" s="455" t="s">
        <v>1553</v>
      </c>
      <c r="C57" s="455" t="s">
        <v>605</v>
      </c>
      <c r="D57" s="168" t="s">
        <v>1558</v>
      </c>
      <c r="E57" s="150">
        <v>91120</v>
      </c>
    </row>
    <row r="58" spans="1:5">
      <c r="A58" s="168" t="s">
        <v>1148</v>
      </c>
      <c r="B58" s="455" t="s">
        <v>1553</v>
      </c>
      <c r="C58" s="455" t="s">
        <v>1149</v>
      </c>
      <c r="D58" s="168" t="s">
        <v>1568</v>
      </c>
      <c r="E58" s="153">
        <v>105213.69</v>
      </c>
    </row>
    <row r="59" spans="1:5">
      <c r="A59" s="168" t="s">
        <v>1336</v>
      </c>
      <c r="B59" s="455" t="s">
        <v>1553</v>
      </c>
      <c r="C59" s="455" t="s">
        <v>1337</v>
      </c>
      <c r="D59" s="168" t="s">
        <v>1229</v>
      </c>
      <c r="E59" s="629">
        <v>3226</v>
      </c>
    </row>
    <row r="60" spans="1:5">
      <c r="A60" s="168" t="s">
        <v>1410</v>
      </c>
      <c r="B60" s="455" t="s">
        <v>1553</v>
      </c>
      <c r="C60" s="455" t="s">
        <v>461</v>
      </c>
      <c r="D60" s="168" t="s">
        <v>461</v>
      </c>
      <c r="E60" s="629">
        <v>28827.5</v>
      </c>
    </row>
    <row r="61" spans="1:5">
      <c r="A61" s="168" t="s">
        <v>260</v>
      </c>
      <c r="B61" s="455" t="s">
        <v>1553</v>
      </c>
      <c r="C61" s="455" t="s">
        <v>261</v>
      </c>
      <c r="D61" s="168" t="s">
        <v>1567</v>
      </c>
      <c r="E61" s="629">
        <v>1547675.29</v>
      </c>
    </row>
    <row r="62" spans="1:5">
      <c r="A62" s="168" t="s">
        <v>102</v>
      </c>
      <c r="B62" s="455" t="s">
        <v>1553</v>
      </c>
      <c r="C62" s="455" t="s">
        <v>2322</v>
      </c>
      <c r="D62" s="168" t="s">
        <v>1559</v>
      </c>
      <c r="E62" s="153">
        <v>34993.96</v>
      </c>
    </row>
    <row r="63" spans="1:5">
      <c r="A63" s="168" t="s">
        <v>153</v>
      </c>
      <c r="B63" s="455" t="s">
        <v>1553</v>
      </c>
      <c r="C63" s="455" t="s">
        <v>2322</v>
      </c>
      <c r="D63" s="168" t="s">
        <v>1563</v>
      </c>
      <c r="E63" s="153">
        <v>14384.62</v>
      </c>
    </row>
    <row r="64" spans="1:5">
      <c r="A64" s="168" t="s">
        <v>186</v>
      </c>
      <c r="B64" s="455" t="s">
        <v>1553</v>
      </c>
      <c r="C64" s="455" t="s">
        <v>2322</v>
      </c>
      <c r="D64" s="168" t="s">
        <v>1565</v>
      </c>
      <c r="E64" s="153">
        <v>5135.29</v>
      </c>
    </row>
    <row r="65" spans="1:5">
      <c r="A65" s="168" t="s">
        <v>247</v>
      </c>
      <c r="B65" s="455" t="s">
        <v>1553</v>
      </c>
      <c r="C65" s="455" t="s">
        <v>2322</v>
      </c>
      <c r="D65" s="168" t="s">
        <v>1567</v>
      </c>
      <c r="E65" s="153">
        <v>353663.78</v>
      </c>
    </row>
    <row r="66" spans="1:5">
      <c r="A66" s="168" t="s">
        <v>283</v>
      </c>
      <c r="B66" s="455" t="s">
        <v>1553</v>
      </c>
      <c r="C66" s="455" t="s">
        <v>2322</v>
      </c>
      <c r="D66" s="168" t="s">
        <v>1990</v>
      </c>
      <c r="E66" s="153">
        <v>2573.96</v>
      </c>
    </row>
    <row r="67" spans="1:5">
      <c r="A67" s="168" t="s">
        <v>1326</v>
      </c>
      <c r="B67" s="455" t="s">
        <v>1553</v>
      </c>
      <c r="C67" s="455" t="s">
        <v>2322</v>
      </c>
      <c r="D67" s="168" t="s">
        <v>1229</v>
      </c>
      <c r="E67" s="153">
        <v>39615.4</v>
      </c>
    </row>
    <row r="68" spans="1:5">
      <c r="A68" s="168" t="s">
        <v>1360</v>
      </c>
      <c r="B68" s="455" t="s">
        <v>1553</v>
      </c>
      <c r="C68" s="455" t="s">
        <v>2322</v>
      </c>
      <c r="D68" s="168" t="s">
        <v>1569</v>
      </c>
      <c r="E68" s="153">
        <v>19924.759999999998</v>
      </c>
    </row>
    <row r="69" spans="1:5">
      <c r="A69" s="168" t="s">
        <v>1380</v>
      </c>
      <c r="B69" s="455" t="s">
        <v>1553</v>
      </c>
      <c r="C69" s="455" t="s">
        <v>2322</v>
      </c>
      <c r="D69" s="168" t="s">
        <v>1570</v>
      </c>
      <c r="E69" s="153">
        <v>3993.12</v>
      </c>
    </row>
    <row r="70" spans="1:5">
      <c r="A70" s="168" t="s">
        <v>1172</v>
      </c>
      <c r="B70" s="455" t="s">
        <v>1553</v>
      </c>
      <c r="C70" s="455" t="s">
        <v>2322</v>
      </c>
      <c r="D70" s="168" t="s">
        <v>1571</v>
      </c>
      <c r="E70" s="153">
        <v>8511.2800000000007</v>
      </c>
    </row>
    <row r="71" spans="1:5">
      <c r="A71" s="168" t="s">
        <v>2553</v>
      </c>
      <c r="B71" s="455" t="s">
        <v>1553</v>
      </c>
      <c r="C71" s="455" t="s">
        <v>2322</v>
      </c>
      <c r="D71" s="168" t="s">
        <v>1572</v>
      </c>
      <c r="E71" s="153">
        <v>23781.27</v>
      </c>
    </row>
    <row r="72" spans="1:5">
      <c r="A72" s="168" t="s">
        <v>690</v>
      </c>
      <c r="B72" s="455" t="s">
        <v>1553</v>
      </c>
      <c r="C72" s="455" t="s">
        <v>2322</v>
      </c>
      <c r="D72" s="168" t="s">
        <v>1573</v>
      </c>
      <c r="E72" s="153">
        <v>45113.279999999999</v>
      </c>
    </row>
    <row r="73" spans="1:5">
      <c r="A73" s="168" t="s">
        <v>298</v>
      </c>
      <c r="B73" s="455" t="s">
        <v>1553</v>
      </c>
      <c r="C73" s="455" t="s">
        <v>2322</v>
      </c>
      <c r="D73" s="168" t="s">
        <v>1574</v>
      </c>
      <c r="E73" s="153">
        <v>49998.3</v>
      </c>
    </row>
    <row r="74" spans="1:5">
      <c r="A74" s="168" t="s">
        <v>348</v>
      </c>
      <c r="B74" s="455" t="s">
        <v>1553</v>
      </c>
      <c r="C74" s="455" t="s">
        <v>2322</v>
      </c>
      <c r="D74" s="168" t="s">
        <v>1244</v>
      </c>
      <c r="E74" s="153">
        <v>24578.080000000002</v>
      </c>
    </row>
    <row r="75" spans="1:5">
      <c r="A75" s="168" t="s">
        <v>365</v>
      </c>
      <c r="B75" s="455" t="s">
        <v>1553</v>
      </c>
      <c r="C75" s="455" t="s">
        <v>2322</v>
      </c>
      <c r="D75" s="168" t="s">
        <v>1575</v>
      </c>
      <c r="E75" s="153">
        <v>4176.6499999999996</v>
      </c>
    </row>
    <row r="76" spans="1:5">
      <c r="A76" s="168" t="s">
        <v>371</v>
      </c>
      <c r="B76" s="455" t="s">
        <v>1553</v>
      </c>
      <c r="C76" s="455" t="s">
        <v>2322</v>
      </c>
      <c r="D76" s="168" t="s">
        <v>1576</v>
      </c>
      <c r="E76" s="153">
        <v>3597.3</v>
      </c>
    </row>
    <row r="77" spans="1:5">
      <c r="A77" s="168" t="s">
        <v>1462</v>
      </c>
      <c r="B77" s="455" t="s">
        <v>1553</v>
      </c>
      <c r="C77" s="455" t="s">
        <v>2322</v>
      </c>
      <c r="D77" s="168" t="s">
        <v>1579</v>
      </c>
      <c r="E77" s="153">
        <v>13232.54</v>
      </c>
    </row>
    <row r="78" spans="1:5">
      <c r="A78" s="168" t="s">
        <v>601</v>
      </c>
      <c r="B78" s="455" t="s">
        <v>1553</v>
      </c>
      <c r="C78" s="455" t="s">
        <v>602</v>
      </c>
      <c r="D78" s="168" t="s">
        <v>1558</v>
      </c>
      <c r="E78" s="153">
        <v>48268.95</v>
      </c>
    </row>
    <row r="79" spans="1:5">
      <c r="A79" s="168" t="s">
        <v>385</v>
      </c>
      <c r="B79" s="455" t="s">
        <v>1553</v>
      </c>
      <c r="C79" s="455" t="s">
        <v>458</v>
      </c>
      <c r="D79" s="168" t="s">
        <v>458</v>
      </c>
      <c r="E79" s="150">
        <v>245000</v>
      </c>
    </row>
    <row r="80" spans="1:5">
      <c r="A80" s="168" t="s">
        <v>1666</v>
      </c>
      <c r="B80" s="455" t="s">
        <v>1553</v>
      </c>
      <c r="C80" s="455" t="s">
        <v>1660</v>
      </c>
      <c r="D80" s="168" t="s">
        <v>1562</v>
      </c>
      <c r="E80" s="153">
        <v>321736.34999999998</v>
      </c>
    </row>
    <row r="81" spans="1:5">
      <c r="A81" s="168" t="s">
        <v>623</v>
      </c>
      <c r="B81" s="455" t="s">
        <v>1553</v>
      </c>
      <c r="C81" s="455" t="s">
        <v>624</v>
      </c>
      <c r="D81" s="168" t="s">
        <v>1558</v>
      </c>
      <c r="E81" s="631">
        <v>15034</v>
      </c>
    </row>
    <row r="82" spans="1:5">
      <c r="A82" s="168" t="s">
        <v>1173</v>
      </c>
      <c r="B82" s="455" t="s">
        <v>1553</v>
      </c>
      <c r="C82" s="455" t="s">
        <v>624</v>
      </c>
      <c r="D82" s="168" t="s">
        <v>1571</v>
      </c>
      <c r="E82" s="631">
        <v>3763</v>
      </c>
    </row>
    <row r="83" spans="1:5">
      <c r="A83" s="168" t="s">
        <v>691</v>
      </c>
      <c r="B83" s="455" t="s">
        <v>1553</v>
      </c>
      <c r="C83" s="455" t="s">
        <v>624</v>
      </c>
      <c r="D83" s="168" t="s">
        <v>1573</v>
      </c>
      <c r="E83" s="631">
        <v>3853.8</v>
      </c>
    </row>
    <row r="84" spans="1:5">
      <c r="A84" s="168" t="s">
        <v>349</v>
      </c>
      <c r="B84" s="455" t="s">
        <v>1553</v>
      </c>
      <c r="C84" s="455" t="s">
        <v>624</v>
      </c>
      <c r="D84" s="168" t="s">
        <v>1244</v>
      </c>
      <c r="E84" s="631">
        <v>2726.69</v>
      </c>
    </row>
    <row r="85" spans="1:5">
      <c r="A85" s="168" t="s">
        <v>1463</v>
      </c>
      <c r="B85" s="455" t="s">
        <v>1553</v>
      </c>
      <c r="C85" s="455" t="s">
        <v>624</v>
      </c>
      <c r="D85" s="168" t="s">
        <v>1579</v>
      </c>
      <c r="E85" s="631">
        <v>1207.5</v>
      </c>
    </row>
    <row r="86" spans="1:5">
      <c r="A86" s="168" t="s">
        <v>189</v>
      </c>
      <c r="B86" s="455" t="s">
        <v>1553</v>
      </c>
      <c r="C86" s="455" t="s">
        <v>190</v>
      </c>
      <c r="D86" s="168" t="s">
        <v>1565</v>
      </c>
      <c r="E86" s="631">
        <v>1140.06</v>
      </c>
    </row>
    <row r="87" spans="1:5">
      <c r="A87" s="168" t="s">
        <v>1145</v>
      </c>
      <c r="B87" s="455" t="s">
        <v>1553</v>
      </c>
      <c r="C87" s="455" t="s">
        <v>190</v>
      </c>
      <c r="D87" s="168" t="s">
        <v>1568</v>
      </c>
      <c r="E87" s="631">
        <v>181641.19</v>
      </c>
    </row>
    <row r="88" spans="1:5">
      <c r="A88" s="168" t="s">
        <v>66</v>
      </c>
      <c r="B88" s="455" t="s">
        <v>1553</v>
      </c>
      <c r="C88" s="455" t="s">
        <v>578</v>
      </c>
      <c r="D88" s="168" t="s">
        <v>1558</v>
      </c>
      <c r="E88" s="150">
        <v>55664.89</v>
      </c>
    </row>
    <row r="89" spans="1:5">
      <c r="A89" s="168" t="s">
        <v>625</v>
      </c>
      <c r="B89" s="455" t="s">
        <v>1553</v>
      </c>
      <c r="C89" s="455" t="s">
        <v>626</v>
      </c>
      <c r="D89" s="168" t="s">
        <v>1558</v>
      </c>
      <c r="E89" s="629">
        <v>4543.62</v>
      </c>
    </row>
    <row r="90" spans="1:5">
      <c r="A90" s="168" t="s">
        <v>627</v>
      </c>
      <c r="B90" s="455" t="s">
        <v>1553</v>
      </c>
      <c r="C90" s="455" t="s">
        <v>628</v>
      </c>
      <c r="D90" s="168" t="s">
        <v>1558</v>
      </c>
      <c r="E90" s="629">
        <v>77300.97</v>
      </c>
    </row>
    <row r="91" spans="1:5">
      <c r="A91" s="168" t="s">
        <v>121</v>
      </c>
      <c r="B91" s="455" t="s">
        <v>1553</v>
      </c>
      <c r="C91" s="455" t="s">
        <v>628</v>
      </c>
      <c r="D91" s="168" t="s">
        <v>1560</v>
      </c>
      <c r="E91" s="629">
        <v>1479</v>
      </c>
    </row>
    <row r="92" spans="1:5">
      <c r="A92" s="168" t="s">
        <v>1315</v>
      </c>
      <c r="B92" s="455" t="s">
        <v>1553</v>
      </c>
      <c r="C92" s="455" t="s">
        <v>1316</v>
      </c>
      <c r="D92" s="168" t="s">
        <v>1229</v>
      </c>
      <c r="E92" s="150">
        <v>43.98</v>
      </c>
    </row>
    <row r="93" spans="1:5">
      <c r="A93" s="168" t="s">
        <v>1313</v>
      </c>
      <c r="B93" s="455" t="s">
        <v>1553</v>
      </c>
      <c r="C93" s="455" t="s">
        <v>1314</v>
      </c>
      <c r="D93" s="168" t="s">
        <v>1229</v>
      </c>
      <c r="E93" s="629">
        <v>6430</v>
      </c>
    </row>
    <row r="94" spans="1:5">
      <c r="A94" s="168" t="s">
        <v>1319</v>
      </c>
      <c r="B94" s="455" t="s">
        <v>1553</v>
      </c>
      <c r="C94" s="455" t="s">
        <v>1320</v>
      </c>
      <c r="D94" s="168" t="s">
        <v>1229</v>
      </c>
      <c r="E94" s="629">
        <v>8026.36</v>
      </c>
    </row>
    <row r="95" spans="1:5">
      <c r="A95" s="168" t="s">
        <v>630</v>
      </c>
      <c r="B95" s="455" t="s">
        <v>1553</v>
      </c>
      <c r="C95" s="455" t="s">
        <v>631</v>
      </c>
      <c r="D95" s="168" t="s">
        <v>1558</v>
      </c>
      <c r="E95" s="153">
        <v>1484.17</v>
      </c>
    </row>
    <row r="96" spans="1:5">
      <c r="A96" s="168" t="s">
        <v>103</v>
      </c>
      <c r="B96" s="455" t="s">
        <v>1553</v>
      </c>
      <c r="C96" s="455" t="s">
        <v>631</v>
      </c>
      <c r="D96" s="168" t="s">
        <v>1559</v>
      </c>
      <c r="E96" s="153">
        <v>121.04</v>
      </c>
    </row>
    <row r="97" spans="1:5">
      <c r="A97" s="168" t="s">
        <v>1669</v>
      </c>
      <c r="B97" s="455" t="s">
        <v>1553</v>
      </c>
      <c r="C97" s="455" t="s">
        <v>631</v>
      </c>
      <c r="D97" s="168" t="s">
        <v>1562</v>
      </c>
      <c r="E97" s="153">
        <v>246.51</v>
      </c>
    </row>
    <row r="98" spans="1:5">
      <c r="A98" s="168" t="s">
        <v>154</v>
      </c>
      <c r="B98" s="455" t="s">
        <v>1553</v>
      </c>
      <c r="C98" s="455" t="s">
        <v>631</v>
      </c>
      <c r="D98" s="168" t="s">
        <v>1563</v>
      </c>
      <c r="E98" s="153">
        <v>520.13</v>
      </c>
    </row>
    <row r="99" spans="1:5">
      <c r="A99" s="168" t="s">
        <v>165</v>
      </c>
      <c r="B99" s="455" t="s">
        <v>1553</v>
      </c>
      <c r="C99" s="455" t="s">
        <v>631</v>
      </c>
      <c r="D99" s="168" t="s">
        <v>1564</v>
      </c>
      <c r="E99" s="153">
        <v>576.78</v>
      </c>
    </row>
    <row r="100" spans="1:5">
      <c r="A100" s="168" t="s">
        <v>250</v>
      </c>
      <c r="B100" s="455" t="s">
        <v>1553</v>
      </c>
      <c r="C100" s="455" t="s">
        <v>631</v>
      </c>
      <c r="D100" s="168" t="s">
        <v>1567</v>
      </c>
      <c r="E100" s="153">
        <v>91601.62</v>
      </c>
    </row>
    <row r="101" spans="1:5">
      <c r="A101" s="168" t="s">
        <v>2555</v>
      </c>
      <c r="B101" s="455" t="s">
        <v>1553</v>
      </c>
      <c r="C101" s="455" t="s">
        <v>631</v>
      </c>
      <c r="D101" s="168" t="s">
        <v>1572</v>
      </c>
      <c r="E101" s="153">
        <v>1060.3800000000001</v>
      </c>
    </row>
    <row r="102" spans="1:5">
      <c r="A102" s="168" t="s">
        <v>1464</v>
      </c>
      <c r="B102" s="455" t="s">
        <v>1553</v>
      </c>
      <c r="C102" s="455" t="s">
        <v>631</v>
      </c>
      <c r="D102" s="168" t="s">
        <v>1579</v>
      </c>
      <c r="E102" s="153">
        <v>6806.68</v>
      </c>
    </row>
    <row r="103" spans="1:5">
      <c r="A103" s="168" t="s">
        <v>67</v>
      </c>
      <c r="B103" s="455" t="s">
        <v>1553</v>
      </c>
      <c r="C103" s="455" t="s">
        <v>68</v>
      </c>
      <c r="D103" s="168" t="s">
        <v>1558</v>
      </c>
      <c r="E103" s="150">
        <v>871461.23</v>
      </c>
    </row>
    <row r="104" spans="1:5">
      <c r="A104" s="168" t="s">
        <v>632</v>
      </c>
      <c r="B104" s="455" t="s">
        <v>1553</v>
      </c>
      <c r="C104" s="455" t="s">
        <v>633</v>
      </c>
      <c r="D104" s="168" t="s">
        <v>1558</v>
      </c>
      <c r="E104" s="460">
        <v>85157.9</v>
      </c>
    </row>
    <row r="105" spans="1:5">
      <c r="A105" s="168" t="s">
        <v>104</v>
      </c>
      <c r="B105" s="455" t="s">
        <v>1553</v>
      </c>
      <c r="C105" s="455" t="s">
        <v>633</v>
      </c>
      <c r="D105" s="168" t="s">
        <v>1559</v>
      </c>
      <c r="E105" s="460">
        <v>13967.03</v>
      </c>
    </row>
    <row r="106" spans="1:5">
      <c r="A106" s="168" t="s">
        <v>1670</v>
      </c>
      <c r="B106" s="455" t="s">
        <v>1553</v>
      </c>
      <c r="C106" s="455" t="s">
        <v>633</v>
      </c>
      <c r="D106" s="168" t="s">
        <v>1562</v>
      </c>
      <c r="E106" s="460">
        <v>23759.62</v>
      </c>
    </row>
    <row r="107" spans="1:5">
      <c r="A107" s="168" t="s">
        <v>155</v>
      </c>
      <c r="B107" s="455" t="s">
        <v>1553</v>
      </c>
      <c r="C107" s="455" t="s">
        <v>633</v>
      </c>
      <c r="D107" s="168" t="s">
        <v>1563</v>
      </c>
      <c r="E107" s="460">
        <v>98124.479999999996</v>
      </c>
    </row>
    <row r="108" spans="1:5">
      <c r="A108" s="168" t="s">
        <v>166</v>
      </c>
      <c r="B108" s="455" t="s">
        <v>1553</v>
      </c>
      <c r="C108" s="455" t="s">
        <v>633</v>
      </c>
      <c r="D108" s="168" t="s">
        <v>1564</v>
      </c>
      <c r="E108" s="460">
        <v>13808.23</v>
      </c>
    </row>
    <row r="109" spans="1:5">
      <c r="A109" s="168" t="s">
        <v>193</v>
      </c>
      <c r="B109" s="455" t="s">
        <v>1553</v>
      </c>
      <c r="C109" s="455" t="s">
        <v>633</v>
      </c>
      <c r="D109" s="168" t="s">
        <v>1565</v>
      </c>
      <c r="E109" s="460">
        <v>5952.23</v>
      </c>
    </row>
    <row r="110" spans="1:5">
      <c r="A110" s="168" t="s">
        <v>215</v>
      </c>
      <c r="B110" s="455" t="s">
        <v>1553</v>
      </c>
      <c r="C110" s="455" t="s">
        <v>633</v>
      </c>
      <c r="D110" s="168" t="s">
        <v>1566</v>
      </c>
      <c r="E110" s="460">
        <v>767.13</v>
      </c>
    </row>
    <row r="111" spans="1:5">
      <c r="A111" s="168" t="s">
        <v>251</v>
      </c>
      <c r="B111" s="455" t="s">
        <v>1553</v>
      </c>
      <c r="C111" s="455" t="s">
        <v>633</v>
      </c>
      <c r="D111" s="168" t="s">
        <v>1567</v>
      </c>
      <c r="E111" s="460">
        <v>628505.38</v>
      </c>
    </row>
    <row r="112" spans="1:5">
      <c r="A112" s="168" t="s">
        <v>1328</v>
      </c>
      <c r="B112" s="455" t="s">
        <v>1553</v>
      </c>
      <c r="C112" s="455" t="s">
        <v>633</v>
      </c>
      <c r="D112" s="168" t="s">
        <v>1229</v>
      </c>
      <c r="E112" s="460">
        <v>4168.29</v>
      </c>
    </row>
    <row r="113" spans="1:5">
      <c r="A113" s="168" t="s">
        <v>1174</v>
      </c>
      <c r="B113" s="455" t="s">
        <v>1553</v>
      </c>
      <c r="C113" s="455" t="s">
        <v>633</v>
      </c>
      <c r="D113" s="168" t="s">
        <v>1571</v>
      </c>
      <c r="E113" s="460">
        <v>0</v>
      </c>
    </row>
    <row r="114" spans="1:5">
      <c r="A114" s="168" t="s">
        <v>2556</v>
      </c>
      <c r="B114" s="455" t="s">
        <v>1553</v>
      </c>
      <c r="C114" s="455" t="s">
        <v>633</v>
      </c>
      <c r="D114" s="168" t="s">
        <v>1572</v>
      </c>
      <c r="E114" s="460">
        <v>10726.04</v>
      </c>
    </row>
    <row r="115" spans="1:5">
      <c r="A115" s="168" t="s">
        <v>692</v>
      </c>
      <c r="B115" s="455" t="s">
        <v>1553</v>
      </c>
      <c r="C115" s="455" t="s">
        <v>633</v>
      </c>
      <c r="D115" s="168" t="s">
        <v>1573</v>
      </c>
      <c r="E115" s="460">
        <v>246.46</v>
      </c>
    </row>
    <row r="116" spans="1:5">
      <c r="A116" s="168" t="s">
        <v>350</v>
      </c>
      <c r="B116" s="455" t="s">
        <v>1553</v>
      </c>
      <c r="C116" s="455" t="s">
        <v>633</v>
      </c>
      <c r="D116" s="168" t="s">
        <v>1244</v>
      </c>
      <c r="E116" s="460">
        <v>972.7</v>
      </c>
    </row>
    <row r="117" spans="1:5">
      <c r="A117" s="168" t="s">
        <v>1408</v>
      </c>
      <c r="B117" s="455" t="s">
        <v>1553</v>
      </c>
      <c r="C117" s="455" t="s">
        <v>633</v>
      </c>
      <c r="D117" s="168" t="s">
        <v>461</v>
      </c>
      <c r="E117" s="460">
        <v>2714.82</v>
      </c>
    </row>
    <row r="118" spans="1:5">
      <c r="A118" s="168" t="s">
        <v>1414</v>
      </c>
      <c r="B118" s="455" t="s">
        <v>1553</v>
      </c>
      <c r="C118" s="455" t="s">
        <v>633</v>
      </c>
      <c r="D118" s="168" t="s">
        <v>1240</v>
      </c>
      <c r="E118" s="460">
        <v>52.49</v>
      </c>
    </row>
    <row r="119" spans="1:5">
      <c r="A119" s="168" t="s">
        <v>1422</v>
      </c>
      <c r="B119" s="455" t="s">
        <v>1553</v>
      </c>
      <c r="C119" s="455" t="s">
        <v>633</v>
      </c>
      <c r="D119" s="168" t="s">
        <v>1577</v>
      </c>
      <c r="E119" s="460">
        <v>2902.44</v>
      </c>
    </row>
    <row r="120" spans="1:5">
      <c r="A120" s="168" t="s">
        <v>1430</v>
      </c>
      <c r="B120" s="455" t="s">
        <v>1553</v>
      </c>
      <c r="C120" s="455" t="s">
        <v>633</v>
      </c>
      <c r="D120" s="168" t="s">
        <v>1578</v>
      </c>
      <c r="E120" s="460">
        <v>0</v>
      </c>
    </row>
    <row r="121" spans="1:5">
      <c r="A121" s="168" t="s">
        <v>1465</v>
      </c>
      <c r="B121" s="455" t="s">
        <v>1553</v>
      </c>
      <c r="C121" s="455" t="s">
        <v>633</v>
      </c>
      <c r="D121" s="168" t="s">
        <v>1579</v>
      </c>
      <c r="E121" s="460">
        <v>89070.49</v>
      </c>
    </row>
    <row r="122" spans="1:5">
      <c r="A122" s="168" t="s">
        <v>252</v>
      </c>
      <c r="B122" s="455" t="s">
        <v>1553</v>
      </c>
      <c r="C122" s="455" t="s">
        <v>253</v>
      </c>
      <c r="D122" s="168" t="s">
        <v>1567</v>
      </c>
      <c r="E122" s="630">
        <v>807.46</v>
      </c>
    </row>
    <row r="123" spans="1:5">
      <c r="A123" s="168" t="s">
        <v>1329</v>
      </c>
      <c r="B123" s="455" t="s">
        <v>1553</v>
      </c>
      <c r="C123" s="455" t="s">
        <v>253</v>
      </c>
      <c r="D123" s="168" t="s">
        <v>1229</v>
      </c>
      <c r="E123" s="630">
        <v>295.8</v>
      </c>
    </row>
    <row r="124" spans="1:5">
      <c r="A124" s="168" t="s">
        <v>1361</v>
      </c>
      <c r="B124" s="455" t="s">
        <v>1553</v>
      </c>
      <c r="C124" s="455" t="s">
        <v>253</v>
      </c>
      <c r="D124" s="168" t="s">
        <v>1569</v>
      </c>
      <c r="E124" s="630">
        <v>2105.12</v>
      </c>
    </row>
    <row r="125" spans="1:5">
      <c r="A125" s="168" t="s">
        <v>1175</v>
      </c>
      <c r="B125" s="455" t="s">
        <v>1553</v>
      </c>
      <c r="C125" s="455" t="s">
        <v>253</v>
      </c>
      <c r="D125" s="168" t="s">
        <v>1571</v>
      </c>
      <c r="E125" s="630">
        <v>63885.599999999999</v>
      </c>
    </row>
    <row r="126" spans="1:5">
      <c r="A126" s="168" t="s">
        <v>2557</v>
      </c>
      <c r="B126" s="455" t="s">
        <v>1553</v>
      </c>
      <c r="C126" s="455" t="s">
        <v>253</v>
      </c>
      <c r="D126" s="168" t="s">
        <v>1572</v>
      </c>
      <c r="E126" s="630">
        <v>188965.67</v>
      </c>
    </row>
    <row r="127" spans="1:5">
      <c r="A127" s="168" t="s">
        <v>693</v>
      </c>
      <c r="B127" s="455" t="s">
        <v>1553</v>
      </c>
      <c r="C127" s="455" t="s">
        <v>253</v>
      </c>
      <c r="D127" s="168" t="s">
        <v>1573</v>
      </c>
      <c r="E127" s="630">
        <v>17718.78</v>
      </c>
    </row>
    <row r="128" spans="1:5">
      <c r="A128" s="168" t="s">
        <v>351</v>
      </c>
      <c r="B128" s="455" t="s">
        <v>1553</v>
      </c>
      <c r="C128" s="455" t="s">
        <v>253</v>
      </c>
      <c r="D128" s="168" t="s">
        <v>1244</v>
      </c>
      <c r="E128" s="630">
        <v>61581</v>
      </c>
    </row>
    <row r="129" spans="1:5">
      <c r="A129" s="168" t="s">
        <v>1466</v>
      </c>
      <c r="B129" s="455" t="s">
        <v>1553</v>
      </c>
      <c r="C129" s="455" t="s">
        <v>253</v>
      </c>
      <c r="D129" s="168" t="s">
        <v>1579</v>
      </c>
      <c r="E129" s="630">
        <v>4094.56</v>
      </c>
    </row>
    <row r="130" spans="1:5">
      <c r="A130" s="168" t="s">
        <v>216</v>
      </c>
      <c r="B130" s="455" t="s">
        <v>1553</v>
      </c>
      <c r="C130" s="455" t="s">
        <v>70</v>
      </c>
      <c r="D130" s="168" t="s">
        <v>1566</v>
      </c>
      <c r="E130" s="630">
        <v>97954.3</v>
      </c>
    </row>
    <row r="131" spans="1:5">
      <c r="A131" s="168" t="s">
        <v>256</v>
      </c>
      <c r="B131" s="455" t="s">
        <v>1553</v>
      </c>
      <c r="C131" s="455" t="s">
        <v>2325</v>
      </c>
      <c r="D131" s="168" t="s">
        <v>1567</v>
      </c>
      <c r="E131" s="460">
        <v>48315.7</v>
      </c>
    </row>
    <row r="132" spans="1:5">
      <c r="A132" s="168" t="s">
        <v>1382</v>
      </c>
      <c r="B132" s="455" t="s">
        <v>1553</v>
      </c>
      <c r="C132" s="455" t="s">
        <v>2325</v>
      </c>
      <c r="D132" s="168" t="s">
        <v>1570</v>
      </c>
      <c r="E132" s="460">
        <v>3227.86</v>
      </c>
    </row>
    <row r="133" spans="1:5">
      <c r="A133" s="168" t="s">
        <v>1334</v>
      </c>
      <c r="B133" s="455" t="s">
        <v>1553</v>
      </c>
      <c r="C133" s="455" t="s">
        <v>1335</v>
      </c>
      <c r="D133" s="168" t="s">
        <v>1229</v>
      </c>
      <c r="E133" s="150">
        <v>1255.3</v>
      </c>
    </row>
    <row r="134" spans="1:5">
      <c r="A134" s="168" t="s">
        <v>1470</v>
      </c>
      <c r="B134" s="455" t="s">
        <v>1553</v>
      </c>
      <c r="C134" s="455" t="s">
        <v>1455</v>
      </c>
      <c r="D134" s="168" t="s">
        <v>1579</v>
      </c>
      <c r="E134" s="150">
        <v>1452.5</v>
      </c>
    </row>
    <row r="135" spans="1:5">
      <c r="A135" s="168" t="s">
        <v>65</v>
      </c>
      <c r="B135" s="455" t="s">
        <v>1553</v>
      </c>
      <c r="C135" s="455" t="s">
        <v>2317</v>
      </c>
      <c r="D135" s="168" t="s">
        <v>1558</v>
      </c>
      <c r="E135" s="460">
        <v>199376.15</v>
      </c>
    </row>
    <row r="136" spans="1:5">
      <c r="A136" s="168" t="s">
        <v>836</v>
      </c>
      <c r="B136" s="455" t="s">
        <v>1553</v>
      </c>
      <c r="C136" s="455" t="s">
        <v>837</v>
      </c>
      <c r="D136" s="168" t="s">
        <v>1579</v>
      </c>
      <c r="E136" s="150">
        <v>174000</v>
      </c>
    </row>
    <row r="137" spans="1:5">
      <c r="A137" s="168" t="s">
        <v>634</v>
      </c>
      <c r="B137" s="455" t="s">
        <v>1553</v>
      </c>
      <c r="C137" s="455" t="s">
        <v>50</v>
      </c>
      <c r="D137" s="168" t="s">
        <v>1558</v>
      </c>
      <c r="E137" s="629">
        <v>1280113.3400000001</v>
      </c>
    </row>
    <row r="138" spans="1:5">
      <c r="A138" s="168" t="s">
        <v>105</v>
      </c>
      <c r="B138" s="455" t="s">
        <v>1553</v>
      </c>
      <c r="C138" s="455" t="s">
        <v>50</v>
      </c>
      <c r="D138" s="168" t="s">
        <v>1559</v>
      </c>
      <c r="E138" s="629">
        <v>376978.46</v>
      </c>
    </row>
    <row r="139" spans="1:5">
      <c r="A139" s="168" t="s">
        <v>124</v>
      </c>
      <c r="B139" s="455" t="s">
        <v>1553</v>
      </c>
      <c r="C139" s="455" t="s">
        <v>50</v>
      </c>
      <c r="D139" s="168" t="s">
        <v>1560</v>
      </c>
      <c r="E139" s="629">
        <v>2324.46</v>
      </c>
    </row>
    <row r="140" spans="1:5">
      <c r="A140" s="168" t="s">
        <v>1671</v>
      </c>
      <c r="B140" s="455" t="s">
        <v>1553</v>
      </c>
      <c r="C140" s="455" t="s">
        <v>50</v>
      </c>
      <c r="D140" s="168" t="s">
        <v>1562</v>
      </c>
      <c r="E140" s="629">
        <v>55362.3</v>
      </c>
    </row>
    <row r="141" spans="1:5">
      <c r="A141" s="168" t="s">
        <v>156</v>
      </c>
      <c r="B141" s="455" t="s">
        <v>1553</v>
      </c>
      <c r="C141" s="455" t="s">
        <v>50</v>
      </c>
      <c r="D141" s="168" t="s">
        <v>1563</v>
      </c>
      <c r="E141" s="629">
        <v>204363.55</v>
      </c>
    </row>
    <row r="142" spans="1:5">
      <c r="A142" s="168" t="s">
        <v>167</v>
      </c>
      <c r="B142" s="455" t="s">
        <v>1553</v>
      </c>
      <c r="C142" s="455" t="s">
        <v>50</v>
      </c>
      <c r="D142" s="168" t="s">
        <v>1564</v>
      </c>
      <c r="E142" s="629">
        <v>50798.7</v>
      </c>
    </row>
    <row r="143" spans="1:5">
      <c r="A143" s="168" t="s">
        <v>194</v>
      </c>
      <c r="B143" s="455" t="s">
        <v>1553</v>
      </c>
      <c r="C143" s="455" t="s">
        <v>50</v>
      </c>
      <c r="D143" s="168" t="s">
        <v>1565</v>
      </c>
      <c r="E143" s="629">
        <v>1951</v>
      </c>
    </row>
    <row r="144" spans="1:5">
      <c r="A144" s="168" t="s">
        <v>217</v>
      </c>
      <c r="B144" s="455" t="s">
        <v>1553</v>
      </c>
      <c r="C144" s="455" t="s">
        <v>50</v>
      </c>
      <c r="D144" s="168" t="s">
        <v>1566</v>
      </c>
      <c r="E144" s="629">
        <v>8532.26</v>
      </c>
    </row>
    <row r="145" spans="1:5">
      <c r="A145" s="168" t="s">
        <v>257</v>
      </c>
      <c r="B145" s="455" t="s">
        <v>1553</v>
      </c>
      <c r="C145" s="455" t="s">
        <v>50</v>
      </c>
      <c r="D145" s="168" t="s">
        <v>1567</v>
      </c>
      <c r="E145" s="629">
        <v>211415.76</v>
      </c>
    </row>
    <row r="146" spans="1:5">
      <c r="A146" s="168" t="s">
        <v>1150</v>
      </c>
      <c r="B146" s="455" t="s">
        <v>1553</v>
      </c>
      <c r="C146" s="455" t="s">
        <v>50</v>
      </c>
      <c r="D146" s="168" t="s">
        <v>1568</v>
      </c>
      <c r="E146" s="629">
        <v>15385.03</v>
      </c>
    </row>
    <row r="147" spans="1:5">
      <c r="A147" s="168" t="s">
        <v>1330</v>
      </c>
      <c r="B147" s="455" t="s">
        <v>1553</v>
      </c>
      <c r="C147" s="455" t="s">
        <v>50</v>
      </c>
      <c r="D147" s="168" t="s">
        <v>1229</v>
      </c>
      <c r="E147" s="629">
        <v>30840.7</v>
      </c>
    </row>
    <row r="148" spans="1:5">
      <c r="A148" s="168" t="s">
        <v>1362</v>
      </c>
      <c r="B148" s="455" t="s">
        <v>1553</v>
      </c>
      <c r="C148" s="455" t="s">
        <v>50</v>
      </c>
      <c r="D148" s="168" t="s">
        <v>1569</v>
      </c>
      <c r="E148" s="629">
        <v>38860.379999999997</v>
      </c>
    </row>
    <row r="149" spans="1:5">
      <c r="A149" s="168" t="s">
        <v>2558</v>
      </c>
      <c r="B149" s="455" t="s">
        <v>1553</v>
      </c>
      <c r="C149" s="455" t="s">
        <v>50</v>
      </c>
      <c r="D149" s="168" t="s">
        <v>1572</v>
      </c>
      <c r="E149" s="629">
        <v>77160.34</v>
      </c>
    </row>
    <row r="150" spans="1:5">
      <c r="A150" s="168" t="s">
        <v>352</v>
      </c>
      <c r="B150" s="455" t="s">
        <v>1553</v>
      </c>
      <c r="C150" s="455" t="s">
        <v>50</v>
      </c>
      <c r="D150" s="168" t="s">
        <v>1244</v>
      </c>
      <c r="E150" s="629">
        <v>10577.36</v>
      </c>
    </row>
    <row r="151" spans="1:5">
      <c r="A151" s="168" t="s">
        <v>382</v>
      </c>
      <c r="B151" s="455" t="s">
        <v>1553</v>
      </c>
      <c r="C151" s="455" t="s">
        <v>50</v>
      </c>
      <c r="D151" s="168" t="s">
        <v>458</v>
      </c>
      <c r="E151" s="629">
        <v>23694.11</v>
      </c>
    </row>
    <row r="152" spans="1:5">
      <c r="A152" s="168" t="s">
        <v>1409</v>
      </c>
      <c r="B152" s="455" t="s">
        <v>1553</v>
      </c>
      <c r="C152" s="455" t="s">
        <v>50</v>
      </c>
      <c r="D152" s="168" t="s">
        <v>461</v>
      </c>
      <c r="E152" s="629">
        <v>9657.2000000000007</v>
      </c>
    </row>
    <row r="153" spans="1:5">
      <c r="A153" s="168" t="s">
        <v>1416</v>
      </c>
      <c r="B153" s="455" t="s">
        <v>1553</v>
      </c>
      <c r="C153" s="455" t="s">
        <v>50</v>
      </c>
      <c r="D153" s="168" t="s">
        <v>1240</v>
      </c>
      <c r="E153" s="629">
        <v>3067.51</v>
      </c>
    </row>
    <row r="154" spans="1:5">
      <c r="A154" s="168" t="s">
        <v>1467</v>
      </c>
      <c r="B154" s="455" t="s">
        <v>1553</v>
      </c>
      <c r="C154" s="455" t="s">
        <v>50</v>
      </c>
      <c r="D154" s="168" t="s">
        <v>1579</v>
      </c>
      <c r="E154" s="629">
        <v>104144.81</v>
      </c>
    </row>
    <row r="155" spans="1:5">
      <c r="A155" s="168" t="s">
        <v>51</v>
      </c>
      <c r="B155" s="455" t="s">
        <v>1553</v>
      </c>
      <c r="C155" s="455" t="s">
        <v>52</v>
      </c>
      <c r="D155" s="168" t="s">
        <v>1558</v>
      </c>
      <c r="E155" s="153">
        <v>274691.62</v>
      </c>
    </row>
    <row r="156" spans="1:5">
      <c r="A156" s="168" t="s">
        <v>53</v>
      </c>
      <c r="B156" s="455" t="s">
        <v>1553</v>
      </c>
      <c r="C156" s="455" t="s">
        <v>52</v>
      </c>
      <c r="D156" s="168" t="s">
        <v>1558</v>
      </c>
      <c r="E156" s="153">
        <v>788612.97</v>
      </c>
    </row>
    <row r="157" spans="1:5">
      <c r="A157" s="168" t="s">
        <v>106</v>
      </c>
      <c r="B157" s="455" t="s">
        <v>1553</v>
      </c>
      <c r="C157" s="455" t="s">
        <v>52</v>
      </c>
      <c r="D157" s="168" t="s">
        <v>1559</v>
      </c>
      <c r="E157" s="153">
        <v>5998.05</v>
      </c>
    </row>
    <row r="158" spans="1:5">
      <c r="A158" s="168" t="s">
        <v>107</v>
      </c>
      <c r="B158" s="455" t="s">
        <v>1553</v>
      </c>
      <c r="C158" s="455" t="s">
        <v>52</v>
      </c>
      <c r="D158" s="168" t="s">
        <v>1559</v>
      </c>
      <c r="E158" s="153">
        <v>44078.93</v>
      </c>
    </row>
    <row r="159" spans="1:5">
      <c r="A159" s="168" t="s">
        <v>1673</v>
      </c>
      <c r="B159" s="455" t="s">
        <v>1553</v>
      </c>
      <c r="C159" s="455" t="s">
        <v>52</v>
      </c>
      <c r="D159" s="168" t="s">
        <v>1562</v>
      </c>
      <c r="E159" s="153">
        <v>6945.36</v>
      </c>
    </row>
    <row r="160" spans="1:5">
      <c r="A160" s="168" t="s">
        <v>157</v>
      </c>
      <c r="B160" s="455" t="s">
        <v>1553</v>
      </c>
      <c r="C160" s="455" t="s">
        <v>52</v>
      </c>
      <c r="D160" s="168" t="s">
        <v>1563</v>
      </c>
      <c r="E160" s="153">
        <v>9497.41</v>
      </c>
    </row>
    <row r="161" spans="1:5">
      <c r="A161" s="168" t="s">
        <v>158</v>
      </c>
      <c r="B161" s="455" t="s">
        <v>1553</v>
      </c>
      <c r="C161" s="455" t="s">
        <v>52</v>
      </c>
      <c r="D161" s="168" t="s">
        <v>1563</v>
      </c>
      <c r="E161" s="153">
        <v>1988.98</v>
      </c>
    </row>
    <row r="162" spans="1:5">
      <c r="A162" s="168" t="s">
        <v>218</v>
      </c>
      <c r="B162" s="455" t="s">
        <v>1553</v>
      </c>
      <c r="C162" s="455" t="s">
        <v>52</v>
      </c>
      <c r="D162" s="168" t="s">
        <v>1566</v>
      </c>
      <c r="E162" s="153">
        <v>8382.4</v>
      </c>
    </row>
    <row r="163" spans="1:5">
      <c r="A163" s="168" t="s">
        <v>258</v>
      </c>
      <c r="B163" s="455" t="s">
        <v>1553</v>
      </c>
      <c r="C163" s="455" t="s">
        <v>52</v>
      </c>
      <c r="D163" s="168" t="s">
        <v>1567</v>
      </c>
      <c r="E163" s="153">
        <v>2921.51</v>
      </c>
    </row>
    <row r="164" spans="1:5">
      <c r="A164" s="168" t="s">
        <v>259</v>
      </c>
      <c r="B164" s="455" t="s">
        <v>1553</v>
      </c>
      <c r="C164" s="455" t="s">
        <v>52</v>
      </c>
      <c r="D164" s="168" t="s">
        <v>1567</v>
      </c>
      <c r="E164" s="153">
        <v>32892.71</v>
      </c>
    </row>
    <row r="165" spans="1:5">
      <c r="A165" s="168" t="s">
        <v>1151</v>
      </c>
      <c r="B165" s="455" t="s">
        <v>1553</v>
      </c>
      <c r="C165" s="455" t="s">
        <v>52</v>
      </c>
      <c r="D165" s="168" t="s">
        <v>1568</v>
      </c>
      <c r="E165" s="153">
        <v>9097.61</v>
      </c>
    </row>
    <row r="166" spans="1:5">
      <c r="A166" s="168" t="s">
        <v>1332</v>
      </c>
      <c r="B166" s="455" t="s">
        <v>1553</v>
      </c>
      <c r="C166" s="455" t="s">
        <v>52</v>
      </c>
      <c r="D166" s="168" t="s">
        <v>1229</v>
      </c>
      <c r="E166" s="153">
        <v>9628.0499999999993</v>
      </c>
    </row>
    <row r="167" spans="1:5">
      <c r="A167" s="168" t="s">
        <v>1177</v>
      </c>
      <c r="B167" s="455" t="s">
        <v>1553</v>
      </c>
      <c r="C167" s="455" t="s">
        <v>52</v>
      </c>
      <c r="D167" s="168" t="s">
        <v>1571</v>
      </c>
      <c r="E167" s="153">
        <v>6511.03</v>
      </c>
    </row>
    <row r="168" spans="1:5">
      <c r="A168" s="168" t="s">
        <v>2560</v>
      </c>
      <c r="B168" s="455" t="s">
        <v>1553</v>
      </c>
      <c r="C168" s="455" t="s">
        <v>52</v>
      </c>
      <c r="D168" s="168" t="s">
        <v>1572</v>
      </c>
      <c r="E168" s="153">
        <v>18193.39</v>
      </c>
    </row>
    <row r="169" spans="1:5">
      <c r="A169" s="168" t="s">
        <v>696</v>
      </c>
      <c r="B169" s="455" t="s">
        <v>1553</v>
      </c>
      <c r="C169" s="455" t="s">
        <v>52</v>
      </c>
      <c r="D169" s="168" t="s">
        <v>1573</v>
      </c>
      <c r="E169" s="153">
        <v>6547.54</v>
      </c>
    </row>
    <row r="170" spans="1:5">
      <c r="A170" s="168" t="s">
        <v>354</v>
      </c>
      <c r="B170" s="455" t="s">
        <v>1553</v>
      </c>
      <c r="C170" s="455" t="s">
        <v>52</v>
      </c>
      <c r="D170" s="168" t="s">
        <v>1244</v>
      </c>
      <c r="E170" s="153">
        <v>45253.09</v>
      </c>
    </row>
    <row r="171" spans="1:5">
      <c r="A171" s="168" t="s">
        <v>1468</v>
      </c>
      <c r="B171" s="455" t="s">
        <v>1553</v>
      </c>
      <c r="C171" s="455" t="s">
        <v>52</v>
      </c>
      <c r="D171" s="168" t="s">
        <v>1579</v>
      </c>
      <c r="E171" s="153">
        <v>16452.77</v>
      </c>
    </row>
    <row r="172" spans="1:5">
      <c r="A172" s="168" t="s">
        <v>1469</v>
      </c>
      <c r="B172" s="455" t="s">
        <v>1553</v>
      </c>
      <c r="C172" s="455" t="s">
        <v>52</v>
      </c>
      <c r="D172" s="168" t="s">
        <v>1579</v>
      </c>
      <c r="E172" s="153">
        <v>74365.289999999994</v>
      </c>
    </row>
    <row r="173" spans="1:5">
      <c r="A173" s="168" t="s">
        <v>159</v>
      </c>
      <c r="B173" s="455" t="s">
        <v>1553</v>
      </c>
      <c r="C173" s="455" t="s">
        <v>160</v>
      </c>
      <c r="D173" s="168" t="s">
        <v>1563</v>
      </c>
      <c r="E173" s="153">
        <v>298936.33</v>
      </c>
    </row>
    <row r="174" spans="1:5">
      <c r="A174" s="168" t="s">
        <v>169</v>
      </c>
      <c r="B174" s="455" t="s">
        <v>1553</v>
      </c>
      <c r="C174" s="455" t="s">
        <v>160</v>
      </c>
      <c r="D174" s="168" t="s">
        <v>1564</v>
      </c>
      <c r="E174" s="153">
        <v>408724.11</v>
      </c>
    </row>
    <row r="175" spans="1:5">
      <c r="A175" s="168" t="s">
        <v>56</v>
      </c>
      <c r="B175" s="455" t="s">
        <v>1553</v>
      </c>
      <c r="C175" s="455" t="s">
        <v>57</v>
      </c>
      <c r="D175" s="168" t="s">
        <v>1558</v>
      </c>
      <c r="E175" s="153">
        <v>107944.37</v>
      </c>
    </row>
    <row r="176" spans="1:5">
      <c r="E176" s="456">
        <f>SUM(E4:E175)</f>
        <v>17322881.859999999</v>
      </c>
    </row>
    <row r="178" spans="5:5">
      <c r="E178" s="456">
        <v>-17008012</v>
      </c>
    </row>
    <row r="179" spans="5:5">
      <c r="E179" s="456">
        <f>SUM(E176:E178)</f>
        <v>314869.8599999994</v>
      </c>
    </row>
  </sheetData>
  <sortState ref="A4:E280">
    <sortCondition ref="C4:C280"/>
  </sortState>
  <pageMargins left="0.7" right="0.7" top="0.75" bottom="0.75" header="0.3" footer="0.3"/>
</worksheet>
</file>

<file path=xl/worksheets/sheet6.xml><?xml version="1.0" encoding="utf-8"?>
<worksheet xmlns="http://schemas.openxmlformats.org/spreadsheetml/2006/main" xmlns:r="http://schemas.openxmlformats.org/officeDocument/2006/relationships">
  <sheetPr>
    <pageSetUpPr fitToPage="1"/>
  </sheetPr>
  <dimension ref="A1:U125"/>
  <sheetViews>
    <sheetView tabSelected="1" view="pageBreakPreview" topLeftCell="C37" zoomScaleSheetLayoutView="100" workbookViewId="0">
      <selection activeCell="B43" sqref="B43"/>
    </sheetView>
  </sheetViews>
  <sheetFormatPr defaultRowHeight="14.25"/>
  <cols>
    <col min="1" max="1" width="2" style="994" customWidth="1"/>
    <col min="2" max="2" width="2.7109375" style="994" customWidth="1"/>
    <col min="3" max="3" width="45.7109375" style="994" customWidth="1"/>
    <col min="4" max="4" width="5.42578125" style="1066" bestFit="1" customWidth="1"/>
    <col min="5" max="5" width="5.42578125" style="1066" customWidth="1"/>
    <col min="6" max="6" width="15.42578125" style="1067" bestFit="1" customWidth="1"/>
    <col min="7" max="7" width="2.7109375" style="994" customWidth="1"/>
    <col min="8" max="8" width="16.5703125" style="1012" bestFit="1" customWidth="1"/>
    <col min="9" max="9" width="2.5703125" style="1068" customWidth="1"/>
    <col min="10" max="10" width="16.5703125" style="1012" hidden="1" customWidth="1"/>
    <col min="11" max="11" width="1.5703125" style="994" hidden="1" customWidth="1"/>
    <col min="12" max="12" width="12.7109375" style="1012" hidden="1" customWidth="1"/>
    <col min="13" max="13" width="18.140625" style="1012" hidden="1" customWidth="1"/>
    <col min="14" max="14" width="18.28515625" style="989" customWidth="1"/>
    <col min="15" max="15" width="25.7109375" style="989" customWidth="1"/>
    <col min="16" max="16" width="16.42578125" style="989" bestFit="1" customWidth="1"/>
    <col min="17" max="17" width="14.5703125" style="989" bestFit="1" customWidth="1"/>
    <col min="18" max="21" width="9.140625" style="989" customWidth="1"/>
    <col min="22" max="16384" width="9.140625" style="994"/>
  </cols>
  <sheetData>
    <row r="1" spans="1:21" ht="15.75" thickTop="1">
      <c r="A1" s="1009"/>
      <c r="B1" s="1010"/>
      <c r="C1" s="1794" t="s">
        <v>1108</v>
      </c>
      <c r="D1" s="1795"/>
      <c r="E1" s="1795"/>
      <c r="F1" s="1795"/>
      <c r="G1" s="1795"/>
      <c r="H1" s="1796"/>
      <c r="I1" s="1458"/>
      <c r="J1" s="1459"/>
      <c r="K1" s="1011"/>
    </row>
    <row r="2" spans="1:21" ht="15">
      <c r="A2" s="1013"/>
      <c r="B2" s="1014"/>
      <c r="C2" s="1797" t="s">
        <v>1109</v>
      </c>
      <c r="D2" s="1798"/>
      <c r="E2" s="1798"/>
      <c r="F2" s="1798"/>
      <c r="G2" s="1798"/>
      <c r="H2" s="1799"/>
      <c r="I2" s="1322"/>
      <c r="J2" s="1460"/>
      <c r="K2" s="1015"/>
    </row>
    <row r="3" spans="1:21" ht="15">
      <c r="A3" s="1013"/>
      <c r="B3" s="1016"/>
      <c r="C3" s="1800" t="s">
        <v>3523</v>
      </c>
      <c r="D3" s="1801"/>
      <c r="E3" s="1801"/>
      <c r="F3" s="1801"/>
      <c r="G3" s="1801"/>
      <c r="H3" s="1802"/>
      <c r="I3" s="1323"/>
      <c r="J3" s="1461"/>
      <c r="K3" s="1015"/>
    </row>
    <row r="4" spans="1:21">
      <c r="A4" s="1013"/>
      <c r="C4" s="1462"/>
      <c r="D4" s="1017"/>
      <c r="E4" s="1017"/>
      <c r="F4" s="1018"/>
      <c r="G4" s="990"/>
      <c r="H4" s="1463"/>
      <c r="I4" s="1020"/>
      <c r="J4" s="1397"/>
      <c r="K4" s="1015"/>
    </row>
    <row r="5" spans="1:21" s="1022" customFormat="1" ht="15">
      <c r="A5" s="1021"/>
      <c r="C5" s="1464"/>
      <c r="D5" s="1023"/>
      <c r="E5" s="1023"/>
      <c r="F5" s="1024" t="s">
        <v>1111</v>
      </c>
      <c r="G5" s="987"/>
      <c r="H5" s="1465" t="s">
        <v>1111</v>
      </c>
      <c r="I5" s="1025"/>
      <c r="J5" s="1398"/>
      <c r="K5" s="1026"/>
      <c r="L5" s="1027"/>
      <c r="M5" s="1027"/>
      <c r="N5" s="1028"/>
      <c r="O5" s="1028"/>
      <c r="P5" s="1028"/>
      <c r="Q5" s="1028"/>
      <c r="R5" s="1028"/>
      <c r="S5" s="1028"/>
      <c r="T5" s="1028"/>
      <c r="U5" s="1028"/>
    </row>
    <row r="6" spans="1:21" s="1022" customFormat="1" ht="15">
      <c r="A6" s="1021"/>
      <c r="C6" s="1464"/>
      <c r="D6" s="1023"/>
      <c r="E6" s="1023"/>
      <c r="F6" s="1029" t="s">
        <v>3484</v>
      </c>
      <c r="G6" s="987"/>
      <c r="H6" s="1466" t="s">
        <v>2651</v>
      </c>
      <c r="I6" s="1030"/>
      <c r="J6" s="1029" t="s">
        <v>1634</v>
      </c>
      <c r="K6" s="1026"/>
      <c r="L6" s="1027"/>
      <c r="M6" s="1027"/>
      <c r="N6" s="1028"/>
      <c r="O6" s="1028"/>
      <c r="P6" s="1028"/>
      <c r="Q6" s="1028"/>
      <c r="R6" s="1028"/>
      <c r="S6" s="1028"/>
      <c r="T6" s="1028"/>
      <c r="U6" s="1028"/>
    </row>
    <row r="7" spans="1:21" s="1022" customFormat="1" ht="15">
      <c r="A7" s="1021"/>
      <c r="C7" s="1464"/>
      <c r="D7" s="1023"/>
      <c r="E7" s="1023"/>
      <c r="F7" s="1024"/>
      <c r="G7" s="987"/>
      <c r="H7" s="1467" t="s">
        <v>2422</v>
      </c>
      <c r="I7" s="1030"/>
      <c r="J7" s="1399" t="s">
        <v>2422</v>
      </c>
      <c r="K7" s="1026"/>
      <c r="L7" s="1027"/>
      <c r="M7" s="1027"/>
      <c r="N7" s="1028"/>
      <c r="O7" s="1028"/>
      <c r="P7" s="1028"/>
      <c r="Q7" s="1028"/>
      <c r="R7" s="1028"/>
      <c r="S7" s="1028"/>
      <c r="T7" s="1028"/>
      <c r="U7" s="1028"/>
    </row>
    <row r="8" spans="1:21" s="1022" customFormat="1" ht="15">
      <c r="A8" s="1021"/>
      <c r="C8" s="1464" t="s">
        <v>1110</v>
      </c>
      <c r="D8" s="1023"/>
      <c r="E8" s="1023"/>
      <c r="F8" s="1024"/>
      <c r="G8" s="987"/>
      <c r="H8" s="1467"/>
      <c r="I8" s="1030"/>
      <c r="J8" s="1399"/>
      <c r="K8" s="1026"/>
      <c r="L8" s="1027"/>
      <c r="M8" s="1027"/>
      <c r="N8" s="1028"/>
      <c r="O8" s="1028"/>
      <c r="P8" s="1028"/>
      <c r="Q8" s="1028"/>
      <c r="R8" s="1028"/>
      <c r="S8" s="1028"/>
      <c r="T8" s="1028"/>
      <c r="U8" s="1028"/>
    </row>
    <row r="9" spans="1:21" s="1022" customFormat="1" ht="15">
      <c r="A9" s="1021"/>
      <c r="C9" s="1464"/>
      <c r="D9" s="1023" t="s">
        <v>1106</v>
      </c>
      <c r="E9" s="1023"/>
      <c r="F9" s="1024"/>
      <c r="G9" s="987"/>
      <c r="H9" s="1468"/>
      <c r="I9" s="1030"/>
      <c r="J9" s="1400"/>
      <c r="K9" s="1026"/>
      <c r="L9" s="1027"/>
      <c r="M9" s="1027"/>
      <c r="N9" s="1028" t="s">
        <v>3991</v>
      </c>
      <c r="O9" s="1028" t="s">
        <v>3992</v>
      </c>
      <c r="P9" s="1028"/>
      <c r="Q9" s="1028"/>
      <c r="R9" s="1028"/>
      <c r="S9" s="1028"/>
      <c r="T9" s="1028"/>
      <c r="U9" s="1028"/>
    </row>
    <row r="10" spans="1:21">
      <c r="A10" s="1013"/>
      <c r="C10" s="1469" t="s">
        <v>1112</v>
      </c>
      <c r="D10" s="1032">
        <v>18</v>
      </c>
      <c r="E10" s="657"/>
      <c r="F10" s="1033">
        <f>'Notes 18 - 35'!D15</f>
        <v>9457596</v>
      </c>
      <c r="G10" s="1015"/>
      <c r="H10" s="1470">
        <f>'Notes 18 - 35'!F15</f>
        <v>8713652.1300000008</v>
      </c>
      <c r="I10" s="1020"/>
      <c r="J10" s="1034">
        <f>'Notes 18 - 35'!J15</f>
        <v>6838330.1700000009</v>
      </c>
      <c r="K10" s="1015"/>
      <c r="M10" s="1012">
        <f t="shared" ref="M10:M25" si="0">F10-H10</f>
        <v>743943.86999999918</v>
      </c>
      <c r="N10" s="989">
        <v>9457596</v>
      </c>
      <c r="O10" s="989">
        <f>F10-N10</f>
        <v>0</v>
      </c>
    </row>
    <row r="11" spans="1:21" hidden="1">
      <c r="A11" s="1013"/>
      <c r="C11" s="1438" t="s">
        <v>1113</v>
      </c>
      <c r="D11" s="1035"/>
      <c r="E11" s="657"/>
      <c r="F11" s="1036"/>
      <c r="G11" s="1015"/>
      <c r="H11" s="1471"/>
      <c r="I11" s="1020"/>
      <c r="J11" s="1037"/>
      <c r="K11" s="1015"/>
      <c r="M11" s="1012">
        <f t="shared" si="0"/>
        <v>0</v>
      </c>
    </row>
    <row r="12" spans="1:21">
      <c r="A12" s="1013"/>
      <c r="C12" s="1472" t="s">
        <v>1114</v>
      </c>
      <c r="D12" s="1035">
        <v>19</v>
      </c>
      <c r="E12" s="657"/>
      <c r="F12" s="1036">
        <f>'Notes 18 - 35'!D41</f>
        <v>40994741.689999998</v>
      </c>
      <c r="G12" s="1015"/>
      <c r="H12" s="1471">
        <f>'Notes 18 - 35'!F41</f>
        <v>29200709.390000001</v>
      </c>
      <c r="I12" s="1020"/>
      <c r="J12" s="1037">
        <f>'Notes 18 - 35'!J41</f>
        <v>20757570.349999998</v>
      </c>
      <c r="K12" s="1015"/>
      <c r="M12" s="1012">
        <f t="shared" si="0"/>
        <v>11794032.299999997</v>
      </c>
      <c r="N12" s="989">
        <v>40362883</v>
      </c>
      <c r="O12" s="989">
        <f t="shared" ref="O12:O43" si="1">F12-N12</f>
        <v>631858.68999999762</v>
      </c>
      <c r="P12" s="571"/>
      <c r="Q12" s="571"/>
    </row>
    <row r="13" spans="1:21">
      <c r="A13" s="1013"/>
      <c r="C13" s="1472" t="s">
        <v>3355</v>
      </c>
      <c r="D13" s="1035">
        <v>19</v>
      </c>
      <c r="E13" s="657"/>
      <c r="F13" s="1036">
        <f>'Notes 18 - 35'!D42</f>
        <v>754842.32000000007</v>
      </c>
      <c r="G13" s="1015"/>
      <c r="H13" s="1471">
        <f>'Notes 18 - 35'!F42</f>
        <v>231262.92</v>
      </c>
      <c r="I13" s="1020"/>
      <c r="J13" s="1037"/>
      <c r="K13" s="1015"/>
      <c r="M13" s="1012">
        <f t="shared" si="0"/>
        <v>523579.4</v>
      </c>
      <c r="N13" s="989">
        <v>695617</v>
      </c>
      <c r="O13" s="989">
        <f t="shared" si="1"/>
        <v>59225.320000000065</v>
      </c>
      <c r="P13" s="572"/>
      <c r="Q13" s="572"/>
    </row>
    <row r="14" spans="1:21" ht="15">
      <c r="A14" s="1013"/>
      <c r="C14" s="1472" t="s">
        <v>1115</v>
      </c>
      <c r="D14" s="1035">
        <v>19</v>
      </c>
      <c r="E14" s="657"/>
      <c r="F14" s="1036">
        <f>'Notes 18 - 35'!D43</f>
        <v>5016917.6399999997</v>
      </c>
      <c r="G14" s="1015"/>
      <c r="H14" s="1471">
        <f>'Notes 18 - 35'!F43</f>
        <v>4232136.21</v>
      </c>
      <c r="I14" s="1020"/>
      <c r="J14" s="1037">
        <f>'Notes 18 - 35'!J43</f>
        <v>3910829.34</v>
      </c>
      <c r="K14" s="1015"/>
      <c r="M14" s="1012">
        <f t="shared" si="0"/>
        <v>784781.4299999997</v>
      </c>
      <c r="N14" s="989">
        <v>5016918</v>
      </c>
      <c r="O14" s="989">
        <f t="shared" si="1"/>
        <v>-0.36000000033527613</v>
      </c>
      <c r="P14" s="850"/>
      <c r="Q14" s="850"/>
    </row>
    <row r="15" spans="1:21" ht="15">
      <c r="A15" s="1013"/>
      <c r="C15" s="1438" t="s">
        <v>1118</v>
      </c>
      <c r="D15" s="1035"/>
      <c r="E15" s="657"/>
      <c r="F15" s="1037">
        <f>-SUM('TRAIL BALANCE'!S411+'TRAIL BALANCE'!S543+'TRAIL BALANCE'!S589)-'TRAIL BALANCE'!S542</f>
        <v>226442.71</v>
      </c>
      <c r="G15" s="1015"/>
      <c r="H15" s="1471">
        <f>-SUM('TRAIL BALANCE'!G411+'TRAIL BALANCE'!G543+'TRAIL BALANCE'!G589)</f>
        <v>203311.54</v>
      </c>
      <c r="I15" s="1020"/>
      <c r="J15" s="1037">
        <f>-SUM('TRAIL BALANCE'!E411+'TRAIL BALANCE'!E543+'TRAIL BALANCE'!E589)</f>
        <v>191640.90000000002</v>
      </c>
      <c r="K15" s="1015"/>
      <c r="M15" s="1012">
        <f t="shared" si="0"/>
        <v>23131.169999999984</v>
      </c>
      <c r="N15" s="989">
        <v>226443</v>
      </c>
      <c r="O15" s="989">
        <f t="shared" si="1"/>
        <v>-0.29000000000814907</v>
      </c>
      <c r="P15" s="850"/>
      <c r="Q15" s="850"/>
    </row>
    <row r="16" spans="1:21" ht="15">
      <c r="A16" s="1013"/>
      <c r="C16" s="1438" t="s">
        <v>2465</v>
      </c>
      <c r="D16" s="1035">
        <v>22</v>
      </c>
      <c r="E16" s="657"/>
      <c r="F16" s="1037">
        <v>0</v>
      </c>
      <c r="G16" s="1015"/>
      <c r="H16" s="1471">
        <v>0</v>
      </c>
      <c r="I16" s="1020"/>
      <c r="J16" s="1037">
        <v>0</v>
      </c>
      <c r="K16" s="1015"/>
      <c r="M16" s="1012">
        <f t="shared" si="0"/>
        <v>0</v>
      </c>
      <c r="O16" s="989">
        <f t="shared" si="1"/>
        <v>0</v>
      </c>
      <c r="P16" s="850"/>
      <c r="Q16" s="850"/>
    </row>
    <row r="17" spans="1:21" ht="15">
      <c r="A17" s="1013"/>
      <c r="C17" s="1438" t="s">
        <v>1120</v>
      </c>
      <c r="D17" s="1035">
        <v>23</v>
      </c>
      <c r="E17" s="657"/>
      <c r="F17" s="1037">
        <v>0</v>
      </c>
      <c r="G17" s="1015"/>
      <c r="H17" s="1471">
        <v>0</v>
      </c>
      <c r="I17" s="1020"/>
      <c r="J17" s="1037">
        <v>0</v>
      </c>
      <c r="K17" s="1015"/>
      <c r="M17" s="1012">
        <f t="shared" si="0"/>
        <v>0</v>
      </c>
      <c r="O17" s="989">
        <f t="shared" si="1"/>
        <v>0</v>
      </c>
      <c r="P17" s="850"/>
      <c r="Q17" s="850"/>
    </row>
    <row r="18" spans="1:21">
      <c r="A18" s="1013"/>
      <c r="C18" s="1438" t="s">
        <v>1121</v>
      </c>
      <c r="D18" s="1035"/>
      <c r="E18" s="657"/>
      <c r="F18" s="1037">
        <f>-SUM('TRAIL BALANCE'!S767)</f>
        <v>444496</v>
      </c>
      <c r="G18" s="1015"/>
      <c r="H18" s="1471">
        <f>-SUM('TRAIL BALANCE'!G767)</f>
        <v>445740</v>
      </c>
      <c r="I18" s="1020"/>
      <c r="J18" s="1037">
        <f>-SUM('TRAIL BALANCE'!E767)</f>
        <v>828950</v>
      </c>
      <c r="K18" s="1015"/>
      <c r="M18" s="1012">
        <f t="shared" si="0"/>
        <v>-1244</v>
      </c>
      <c r="N18" s="989">
        <v>444496</v>
      </c>
      <c r="O18" s="989">
        <f t="shared" si="1"/>
        <v>0</v>
      </c>
      <c r="P18" s="657"/>
      <c r="Q18" s="991"/>
    </row>
    <row r="19" spans="1:21" ht="15">
      <c r="A19" s="1013"/>
      <c r="C19" s="1438" t="s">
        <v>1122</v>
      </c>
      <c r="D19" s="1035"/>
      <c r="E19" s="657"/>
      <c r="F19" s="1037">
        <f>-SUM('TRAIL BALANCE'!S766)</f>
        <v>2343576.65</v>
      </c>
      <c r="G19" s="1015"/>
      <c r="H19" s="1471">
        <f>-SUM('TRAIL BALANCE'!G766)</f>
        <v>2281141.0499999998</v>
      </c>
      <c r="I19" s="1020"/>
      <c r="J19" s="1037">
        <f>-SUM('TRAIL BALANCE'!E766)</f>
        <v>2200014.21</v>
      </c>
      <c r="K19" s="1015"/>
      <c r="M19" s="1012">
        <f t="shared" si="0"/>
        <v>62435.600000000093</v>
      </c>
      <c r="N19" s="989">
        <v>2343577</v>
      </c>
      <c r="O19" s="989">
        <f t="shared" si="1"/>
        <v>-0.35000000009313226</v>
      </c>
      <c r="P19" s="522"/>
      <c r="Q19" s="522"/>
    </row>
    <row r="20" spans="1:21">
      <c r="A20" s="1013"/>
      <c r="C20" s="1438" t="s">
        <v>1123</v>
      </c>
      <c r="D20" s="1035"/>
      <c r="E20" s="657"/>
      <c r="F20" s="1036"/>
      <c r="G20" s="1015"/>
      <c r="H20" s="1471">
        <f>-SUM('TRAIL BALANCE'!G12)</f>
        <v>0</v>
      </c>
      <c r="I20" s="1020"/>
      <c r="J20" s="1037">
        <f>-SUM('TRAIL BALANCE'!E12)</f>
        <v>985502.46</v>
      </c>
      <c r="K20" s="1015"/>
      <c r="M20" s="1012">
        <f t="shared" si="0"/>
        <v>0</v>
      </c>
      <c r="O20" s="989">
        <f t="shared" si="1"/>
        <v>0</v>
      </c>
      <c r="P20" s="575"/>
      <c r="Q20" s="574"/>
    </row>
    <row r="21" spans="1:21" ht="15">
      <c r="A21" s="1013"/>
      <c r="C21" s="1438" t="s">
        <v>3801</v>
      </c>
      <c r="D21" s="1035"/>
      <c r="E21" s="657"/>
      <c r="F21" s="1036">
        <f>-'TRAIL BALANCE'!S546</f>
        <v>50276</v>
      </c>
      <c r="G21" s="1015"/>
      <c r="H21" s="1471">
        <f>-'TRAIL BALANCE'!G14</f>
        <v>757352.56</v>
      </c>
      <c r="I21" s="1020"/>
      <c r="J21" s="1037"/>
      <c r="K21" s="1015"/>
      <c r="L21" s="1012">
        <v>0</v>
      </c>
      <c r="M21" s="1012">
        <f t="shared" si="0"/>
        <v>-707076.56</v>
      </c>
      <c r="N21" s="989">
        <v>5496263</v>
      </c>
      <c r="O21" s="989">
        <f t="shared" si="1"/>
        <v>-5445987</v>
      </c>
      <c r="P21" s="522"/>
      <c r="Q21" s="522"/>
    </row>
    <row r="22" spans="1:21" ht="15">
      <c r="A22" s="1013"/>
      <c r="C22" s="1438" t="s">
        <v>1124</v>
      </c>
      <c r="D22" s="1035">
        <v>20</v>
      </c>
      <c r="E22" s="657"/>
      <c r="F22" s="1037">
        <f>'Notes 18 - 35'!D51+'Notes 18 - 35'!D110</f>
        <v>23424329.829999998</v>
      </c>
      <c r="G22" s="1015"/>
      <c r="H22" s="1471">
        <f>'Notes 18 - 35'!F51</f>
        <v>16965254</v>
      </c>
      <c r="I22" s="1020"/>
      <c r="J22" s="1037">
        <f>'Notes 18 - 35'!J51</f>
        <v>12943512</v>
      </c>
      <c r="K22" s="1015"/>
      <c r="M22" s="1012">
        <f t="shared" si="0"/>
        <v>6459075.8299999982</v>
      </c>
      <c r="N22" s="989">
        <v>23424330</v>
      </c>
      <c r="O22" s="989">
        <f t="shared" si="1"/>
        <v>-0.17000000178813934</v>
      </c>
      <c r="P22" s="522"/>
      <c r="Q22" s="522"/>
    </row>
    <row r="23" spans="1:21" ht="15">
      <c r="A23" s="1013"/>
      <c r="C23" s="1438" t="s">
        <v>1125</v>
      </c>
      <c r="D23" s="1035">
        <v>20</v>
      </c>
      <c r="E23" s="657"/>
      <c r="F23" s="1037">
        <f>'Notes 18 - 35'!D59</f>
        <v>7902795.96</v>
      </c>
      <c r="G23" s="1015"/>
      <c r="H23" s="1471">
        <f>'Notes 18 - 35'!F59</f>
        <v>7486868.2199999997</v>
      </c>
      <c r="I23" s="1020"/>
      <c r="J23" s="1037">
        <f>'Notes 18 - 35'!J59</f>
        <v>2043290.17</v>
      </c>
      <c r="K23" s="1015"/>
      <c r="M23" s="1012">
        <f t="shared" si="0"/>
        <v>415927.74000000022</v>
      </c>
      <c r="N23" s="989">
        <v>5905737</v>
      </c>
      <c r="O23" s="989">
        <f t="shared" si="1"/>
        <v>1997058.96</v>
      </c>
      <c r="P23" s="522"/>
      <c r="Q23" s="522"/>
    </row>
    <row r="24" spans="1:21">
      <c r="A24" s="1013"/>
      <c r="C24" s="1438" t="s">
        <v>1127</v>
      </c>
      <c r="D24" s="1035">
        <v>24</v>
      </c>
      <c r="E24" s="657"/>
      <c r="F24" s="1037">
        <f>'Notes 18 - 35'!D157</f>
        <v>1044952.6799999998</v>
      </c>
      <c r="G24" s="1015"/>
      <c r="H24" s="1471">
        <f>'Notes 18 - 35'!F157</f>
        <v>1048350.07</v>
      </c>
      <c r="I24" s="1020"/>
      <c r="J24" s="1037">
        <f>'Notes 18 - 35'!J157</f>
        <v>21981643.82</v>
      </c>
      <c r="K24" s="1015"/>
      <c r="M24" s="1012">
        <f t="shared" si="0"/>
        <v>-3397.3900000001304</v>
      </c>
      <c r="N24" s="989">
        <v>1044953</v>
      </c>
      <c r="O24" s="989">
        <f t="shared" si="1"/>
        <v>-0.3200000001816079</v>
      </c>
    </row>
    <row r="25" spans="1:21">
      <c r="A25" s="1013"/>
      <c r="C25" s="1438" t="s">
        <v>3369</v>
      </c>
      <c r="D25" s="1038"/>
      <c r="E25" s="657"/>
      <c r="F25" s="1039">
        <f>-'WORK PAPER INCOME'!D86</f>
        <v>783000</v>
      </c>
      <c r="G25" s="990"/>
      <c r="H25" s="1473">
        <f>-'TRAIL BALANCE'!G13</f>
        <v>92998490</v>
      </c>
      <c r="I25" s="1020"/>
      <c r="J25" s="1040">
        <v>0</v>
      </c>
      <c r="K25" s="1015"/>
      <c r="M25" s="1012">
        <f t="shared" si="0"/>
        <v>-92215490</v>
      </c>
      <c r="N25" s="989">
        <v>783000</v>
      </c>
      <c r="O25" s="989">
        <f t="shared" si="1"/>
        <v>0</v>
      </c>
    </row>
    <row r="26" spans="1:21" s="1022" customFormat="1" ht="15">
      <c r="A26" s="1021"/>
      <c r="C26" s="1474" t="s">
        <v>3706</v>
      </c>
      <c r="D26" s="1041"/>
      <c r="E26" s="1023"/>
      <c r="F26" s="1042">
        <f>SUM(F10:F25)</f>
        <v>92443967.480000004</v>
      </c>
      <c r="G26" s="987"/>
      <c r="H26" s="1475">
        <f>SUM(H10:H25)</f>
        <v>164564268.09</v>
      </c>
      <c r="I26" s="1044"/>
      <c r="J26" s="1042">
        <f>SUM(J10:J25)</f>
        <v>72681283.420000002</v>
      </c>
      <c r="K26" s="1026"/>
      <c r="L26" s="1012"/>
      <c r="M26" s="1012">
        <v>0</v>
      </c>
      <c r="N26" s="1043">
        <f>SUM(N10:N25)</f>
        <v>95201813</v>
      </c>
      <c r="O26" s="989">
        <f t="shared" si="1"/>
        <v>-2757845.5199999958</v>
      </c>
      <c r="P26" s="1028"/>
      <c r="Q26" s="1028"/>
      <c r="R26" s="1028"/>
      <c r="S26" s="1028"/>
      <c r="T26" s="1028"/>
      <c r="U26" s="1028"/>
    </row>
    <row r="27" spans="1:21" s="1022" customFormat="1" ht="15">
      <c r="A27" s="1021"/>
      <c r="C27" s="1464"/>
      <c r="D27" s="1045"/>
      <c r="E27" s="1023"/>
      <c r="F27" s="1046"/>
      <c r="G27" s="987"/>
      <c r="H27" s="1476"/>
      <c r="I27" s="1044"/>
      <c r="J27" s="1401"/>
      <c r="K27" s="1026"/>
      <c r="L27" s="1012"/>
      <c r="M27" s="1012">
        <v>0</v>
      </c>
      <c r="N27" s="989"/>
      <c r="O27" s="989">
        <f t="shared" si="1"/>
        <v>0</v>
      </c>
      <c r="P27" s="1028"/>
      <c r="Q27" s="1028"/>
      <c r="R27" s="1028"/>
      <c r="S27" s="1028"/>
      <c r="T27" s="1028"/>
      <c r="U27" s="1028"/>
    </row>
    <row r="28" spans="1:21" s="1022" customFormat="1" ht="15">
      <c r="A28" s="1021"/>
      <c r="C28" s="1464" t="s">
        <v>3707</v>
      </c>
      <c r="D28" s="1045"/>
      <c r="E28" s="1023"/>
      <c r="F28" s="1046"/>
      <c r="G28" s="987"/>
      <c r="H28" s="1476"/>
      <c r="I28" s="1044"/>
      <c r="J28" s="1401"/>
      <c r="K28" s="1026"/>
      <c r="L28" s="1012"/>
      <c r="M28" s="1012"/>
      <c r="N28" s="989"/>
      <c r="O28" s="989">
        <f t="shared" si="1"/>
        <v>0</v>
      </c>
      <c r="P28" s="1028"/>
      <c r="Q28" s="1028"/>
      <c r="R28" s="1028"/>
      <c r="S28" s="1028"/>
      <c r="T28" s="1028"/>
      <c r="U28" s="1028"/>
    </row>
    <row r="29" spans="1:21" s="1022" customFormat="1" ht="15">
      <c r="A29" s="1021"/>
      <c r="C29" s="1438" t="s">
        <v>2465</v>
      </c>
      <c r="D29" s="1035">
        <v>22</v>
      </c>
      <c r="E29" s="1023"/>
      <c r="F29" s="1034">
        <f>'Notes 18 - 35'!D127</f>
        <v>67228</v>
      </c>
      <c r="G29" s="987"/>
      <c r="H29" s="1470">
        <f>'Notes 18 - 35'!F127</f>
        <v>259851.12</v>
      </c>
      <c r="I29" s="1044"/>
      <c r="J29" s="1034">
        <f>'Notes 18 - 35'!J127</f>
        <v>549044.5</v>
      </c>
      <c r="K29" s="1026"/>
      <c r="L29" s="1012"/>
      <c r="M29" s="1012">
        <f>F29-H29</f>
        <v>-192623.12</v>
      </c>
      <c r="N29" s="989">
        <v>67228</v>
      </c>
      <c r="O29" s="989">
        <f t="shared" si="1"/>
        <v>0</v>
      </c>
      <c r="P29" s="1028"/>
      <c r="Q29" s="1028"/>
      <c r="R29" s="1028"/>
      <c r="S29" s="1028"/>
      <c r="T29" s="1028"/>
      <c r="U29" s="1028"/>
    </row>
    <row r="30" spans="1:21" s="1022" customFormat="1" ht="15">
      <c r="A30" s="1021"/>
      <c r="C30" s="1438" t="s">
        <v>1120</v>
      </c>
      <c r="D30" s="1035">
        <v>23</v>
      </c>
      <c r="E30" s="1023"/>
      <c r="F30" s="1040">
        <f>'Notes 18 - 35'!D132</f>
        <v>799677.8</v>
      </c>
      <c r="G30" s="987"/>
      <c r="H30" s="1473">
        <f>'Notes 18 - 35'!F132</f>
        <v>1212566.0699999998</v>
      </c>
      <c r="I30" s="1044"/>
      <c r="J30" s="1040">
        <f>'Notes 18 - 35'!J132</f>
        <v>1047510.51</v>
      </c>
      <c r="K30" s="1026"/>
      <c r="L30" s="1012"/>
      <c r="M30" s="1012">
        <f>F30-H30</f>
        <v>-412888.26999999979</v>
      </c>
      <c r="N30" s="989">
        <v>799678</v>
      </c>
      <c r="O30" s="989">
        <f t="shared" si="1"/>
        <v>-0.19999999995343387</v>
      </c>
      <c r="P30" s="1028"/>
      <c r="Q30" s="1028"/>
      <c r="R30" s="1028"/>
      <c r="S30" s="1028"/>
      <c r="T30" s="1028"/>
      <c r="U30" s="1028"/>
    </row>
    <row r="31" spans="1:21" s="1022" customFormat="1" ht="15">
      <c r="A31" s="1021"/>
      <c r="C31" s="1438"/>
      <c r="D31" s="1035"/>
      <c r="E31" s="1023"/>
      <c r="F31" s="1046"/>
      <c r="G31" s="987"/>
      <c r="H31" s="1476"/>
      <c r="I31" s="1044"/>
      <c r="J31" s="1401"/>
      <c r="K31" s="1026"/>
      <c r="L31" s="1012"/>
      <c r="M31" s="1012"/>
      <c r="N31" s="989"/>
      <c r="O31" s="989">
        <f t="shared" si="1"/>
        <v>0</v>
      </c>
      <c r="P31" s="1028"/>
      <c r="Q31" s="1028"/>
      <c r="R31" s="1028"/>
      <c r="S31" s="1028"/>
      <c r="T31" s="1028"/>
      <c r="U31" s="1028"/>
    </row>
    <row r="32" spans="1:21" s="1022" customFormat="1" ht="15.75" thickBot="1">
      <c r="A32" s="1021"/>
      <c r="C32" s="1477" t="s">
        <v>3708</v>
      </c>
      <c r="D32" s="1032"/>
      <c r="E32" s="1023"/>
      <c r="F32" s="1047">
        <f>SUM(F26:F31)</f>
        <v>93310873.280000001</v>
      </c>
      <c r="G32" s="987"/>
      <c r="H32" s="1478">
        <f>SUM(H26:H31)</f>
        <v>166036685.28</v>
      </c>
      <c r="I32" s="1044"/>
      <c r="J32" s="1402">
        <f>SUM(J26:J31)</f>
        <v>74277838.430000007</v>
      </c>
      <c r="K32" s="1026"/>
      <c r="L32" s="1012"/>
      <c r="M32" s="1012"/>
      <c r="N32" s="1048">
        <f>SUM(N26:N31)</f>
        <v>96068719</v>
      </c>
      <c r="O32" s="989">
        <f t="shared" si="1"/>
        <v>-2757845.7199999988</v>
      </c>
      <c r="P32" s="1028"/>
      <c r="Q32" s="1028"/>
      <c r="R32" s="1028"/>
      <c r="S32" s="1028"/>
      <c r="T32" s="1028"/>
      <c r="U32" s="1028"/>
    </row>
    <row r="33" spans="1:21" s="1022" customFormat="1" ht="15.75" thickTop="1">
      <c r="A33" s="1021"/>
      <c r="C33" s="1464"/>
      <c r="D33" s="1045"/>
      <c r="E33" s="1023"/>
      <c r="F33" s="1046"/>
      <c r="G33" s="987"/>
      <c r="H33" s="1476"/>
      <c r="I33" s="1044"/>
      <c r="J33" s="1401"/>
      <c r="K33" s="1026"/>
      <c r="L33" s="1012"/>
      <c r="M33" s="1012"/>
      <c r="N33" s="989"/>
      <c r="O33" s="989">
        <f t="shared" si="1"/>
        <v>0</v>
      </c>
      <c r="P33" s="1028"/>
      <c r="Q33" s="1028"/>
      <c r="R33" s="1028"/>
      <c r="S33" s="1028"/>
      <c r="T33" s="1028"/>
      <c r="U33" s="1028"/>
    </row>
    <row r="34" spans="1:21" ht="15">
      <c r="A34" s="1013"/>
      <c r="C34" s="1464"/>
      <c r="D34" s="1049"/>
      <c r="E34" s="1017"/>
      <c r="F34" s="1050"/>
      <c r="G34" s="990"/>
      <c r="H34" s="1479"/>
      <c r="I34" s="1020"/>
      <c r="J34" s="1403"/>
      <c r="K34" s="1015"/>
      <c r="O34" s="989">
        <f t="shared" si="1"/>
        <v>0</v>
      </c>
    </row>
    <row r="35" spans="1:21" ht="15">
      <c r="A35" s="1013"/>
      <c r="C35" s="1480" t="s">
        <v>1129</v>
      </c>
      <c r="D35" s="1049"/>
      <c r="E35" s="1017"/>
      <c r="F35" s="1050"/>
      <c r="G35" s="990"/>
      <c r="H35" s="1481"/>
      <c r="I35" s="1020"/>
      <c r="J35" s="1404"/>
      <c r="K35" s="1015"/>
      <c r="O35" s="989">
        <f t="shared" si="1"/>
        <v>0</v>
      </c>
    </row>
    <row r="36" spans="1:21">
      <c r="A36" s="1013"/>
      <c r="C36" s="1462"/>
      <c r="D36" s="1049"/>
      <c r="E36" s="1017"/>
      <c r="F36" s="1050"/>
      <c r="G36" s="990"/>
      <c r="H36" s="1463"/>
      <c r="I36" s="1020"/>
      <c r="J36" s="1397"/>
      <c r="K36" s="1015"/>
      <c r="O36" s="989">
        <f t="shared" si="1"/>
        <v>0</v>
      </c>
    </row>
    <row r="37" spans="1:21">
      <c r="A37" s="1013"/>
      <c r="C37" s="1469" t="s">
        <v>778</v>
      </c>
      <c r="D37" s="1032">
        <v>25</v>
      </c>
      <c r="E37" s="657"/>
      <c r="F37" s="1034">
        <f>'Notes 18 - 35'!D173</f>
        <v>25481359.830000002</v>
      </c>
      <c r="G37" s="990"/>
      <c r="H37" s="1470">
        <f>'Notes 18 - 35'!F173</f>
        <v>23731899.860000003</v>
      </c>
      <c r="I37" s="1020"/>
      <c r="J37" s="1034">
        <f>'Notes 18 - 35'!J173</f>
        <v>20331606.379999995</v>
      </c>
      <c r="K37" s="1015"/>
      <c r="L37" s="1012" t="s">
        <v>45</v>
      </c>
      <c r="M37" s="1012">
        <f t="shared" ref="M37:M50" si="2">F37-H37</f>
        <v>1749459.9699999988</v>
      </c>
      <c r="N37" s="989">
        <v>25481360</v>
      </c>
      <c r="O37" s="989">
        <f t="shared" si="1"/>
        <v>-0.16999999806284904</v>
      </c>
    </row>
    <row r="38" spans="1:21" ht="15">
      <c r="A38" s="1013"/>
      <c r="C38" s="1438" t="s">
        <v>1130</v>
      </c>
      <c r="D38" s="1035">
        <v>26</v>
      </c>
      <c r="E38" s="657"/>
      <c r="F38" s="1036">
        <f>'EMPLOYEE COST 0910'!E191</f>
        <v>2938625.45</v>
      </c>
      <c r="G38" s="990"/>
      <c r="H38" s="1471">
        <f>'Notes 18 - 35'!F219</f>
        <v>2567686.87</v>
      </c>
      <c r="I38" s="1020"/>
      <c r="J38" s="1037">
        <f>'Notes 18 - 35'!J219</f>
        <v>2289128.8299999996</v>
      </c>
      <c r="K38" s="1015"/>
      <c r="L38" s="1012" t="s">
        <v>45</v>
      </c>
      <c r="M38" s="1012">
        <f t="shared" si="2"/>
        <v>370938.58000000007</v>
      </c>
      <c r="N38" s="989">
        <v>2938625</v>
      </c>
      <c r="O38" s="989">
        <f t="shared" si="1"/>
        <v>0.45000000018626451</v>
      </c>
      <c r="P38" s="987"/>
      <c r="Q38" s="988"/>
    </row>
    <row r="39" spans="1:21" ht="15">
      <c r="A39" s="1013"/>
      <c r="C39" s="1438" t="s">
        <v>1131</v>
      </c>
      <c r="D39" s="1035"/>
      <c r="E39" s="657"/>
      <c r="F39" s="1036">
        <f>'WORK PAPER APP0910 E (1)'!E220</f>
        <v>58520.71</v>
      </c>
      <c r="G39" s="990"/>
      <c r="H39" s="1471">
        <f>SUM('TRAIL BALANCE'!G294+'TRAIL BALANCE'!G326)</f>
        <v>1901816.35</v>
      </c>
      <c r="I39" s="1020"/>
      <c r="J39" s="1037">
        <f>SUM('TRAIL BALANCE'!E294+'TRAIL BALANCE'!E326)</f>
        <v>82519.28</v>
      </c>
      <c r="K39" s="1015"/>
      <c r="L39" s="1012" t="s">
        <v>45</v>
      </c>
      <c r="M39" s="1012">
        <f t="shared" si="2"/>
        <v>-1843295.6400000001</v>
      </c>
      <c r="N39" s="989">
        <v>58521</v>
      </c>
      <c r="O39" s="989">
        <f t="shared" si="1"/>
        <v>-0.29000000000087311</v>
      </c>
      <c r="P39" s="815"/>
      <c r="Q39" s="815"/>
    </row>
    <row r="40" spans="1:21">
      <c r="A40" s="1013"/>
      <c r="C40" s="1438" t="s">
        <v>1132</v>
      </c>
      <c r="D40" s="1035"/>
      <c r="E40" s="657"/>
      <c r="F40" s="1036">
        <f>'WORK PAPER APP0910 E (1)'!E223</f>
        <v>31338.05</v>
      </c>
      <c r="G40" s="990"/>
      <c r="H40" s="1471">
        <f>'TRAIL BALANCE'!G163+'TRAIL BALANCE'!G305</f>
        <v>1148911.27</v>
      </c>
      <c r="I40" s="1020"/>
      <c r="J40" s="1037">
        <f>'TRAIL BALANCE'!E163</f>
        <v>321736.34999999998</v>
      </c>
      <c r="K40" s="1015"/>
      <c r="L40" s="1012" t="s">
        <v>45</v>
      </c>
      <c r="M40" s="1012">
        <f t="shared" si="2"/>
        <v>-1117573.22</v>
      </c>
      <c r="N40" s="989">
        <v>52604</v>
      </c>
      <c r="O40" s="989">
        <f t="shared" si="1"/>
        <v>-21265.95</v>
      </c>
      <c r="P40" s="990"/>
      <c r="Q40" s="991"/>
    </row>
    <row r="41" spans="1:21">
      <c r="A41" s="1013"/>
      <c r="C41" s="1438" t="s">
        <v>1133</v>
      </c>
      <c r="D41" s="1035"/>
      <c r="E41" s="657"/>
      <c r="F41" s="1036">
        <f>'WORK PAPER APP0910 E (1)'!E243-187.26</f>
        <v>4948195.1300000008</v>
      </c>
      <c r="G41" s="990"/>
      <c r="H41" s="1471">
        <v>6100070</v>
      </c>
      <c r="I41" s="1020"/>
      <c r="J41" s="1037">
        <f>SUM('TRAIL BALANCE'!E43+'TRAIL BALANCE'!E106+'TRAIL BALANCE'!E186+'TRAIL BALANCE'!E230+'TRAIL BALANCE'!E259+'TRAIL BALANCE'!E295+'TRAIL BALANCE'!E340+'TRAIL BALANCE'!E358+'TRAIL BALANCE'!E385+'TRAIL BALANCE'!E426+'TRAIL BALANCE'!E454+'TRAIL BALANCE'!E482+'TRAIL BALANCE'!E519+'TRAIL BALANCE'!E564+'TRAIL BALANCE'!E648+'TRAIL BALANCE'!E683+'TRAIL BALANCE'!E784)-36000</f>
        <v>3492914.18</v>
      </c>
      <c r="K41" s="1015"/>
      <c r="L41" s="1012" t="s">
        <v>45</v>
      </c>
      <c r="M41" s="1012">
        <f t="shared" si="2"/>
        <v>-1151874.8699999992</v>
      </c>
      <c r="N41" s="989">
        <v>3670675</v>
      </c>
      <c r="O41" s="989">
        <f t="shared" si="1"/>
        <v>1277520.1300000008</v>
      </c>
      <c r="P41" s="990"/>
      <c r="Q41" s="991"/>
    </row>
    <row r="42" spans="1:21">
      <c r="A42" s="1013"/>
      <c r="C42" s="1438" t="s">
        <v>3028</v>
      </c>
      <c r="D42" s="1035"/>
      <c r="E42" s="657"/>
      <c r="F42" s="1037">
        <v>188</v>
      </c>
      <c r="G42" s="990"/>
      <c r="H42" s="1471">
        <v>138</v>
      </c>
      <c r="I42" s="1020"/>
      <c r="J42" s="1037">
        <v>0</v>
      </c>
      <c r="K42" s="1015"/>
      <c r="L42" s="1012" t="s">
        <v>45</v>
      </c>
      <c r="M42" s="1012">
        <f t="shared" si="2"/>
        <v>50</v>
      </c>
      <c r="N42" s="989">
        <v>187</v>
      </c>
      <c r="O42" s="989">
        <f t="shared" si="1"/>
        <v>1</v>
      </c>
      <c r="P42" s="990"/>
      <c r="Q42" s="991"/>
    </row>
    <row r="43" spans="1:21">
      <c r="A43" s="1013"/>
      <c r="C43" s="1438" t="s">
        <v>1134</v>
      </c>
      <c r="D43" s="1035"/>
      <c r="E43" s="657"/>
      <c r="F43" s="1036">
        <f>'WORK PAPER APP0910 E (1)'!E289</f>
        <v>4793500.4600000009</v>
      </c>
      <c r="G43" s="990"/>
      <c r="H43" s="1471">
        <f>'work paper app0809 E(1)'!I363</f>
        <v>4407466.99</v>
      </c>
      <c r="I43" s="1020"/>
      <c r="J43" s="1037">
        <f>SUM('TRAIL BALANCE'!E44+'TRAIL BALANCE'!E45+'TRAIL BALANCE'!E107+'TRAIL BALANCE'!E108+'TRAIL BALANCE'!E187+'TRAIL BALANCE'!E231+'TRAIL BALANCE'!E260+'TRAIL BALANCE'!E261+'TRAIL BALANCE'!E297+'TRAIL BALANCE'!E359+'TRAIL BALANCE'!E386+'TRAIL BALANCE'!E387+'TRAIL BALANCE'!E427+'TRAIL BALANCE'!E428+'TRAIL BALANCE'!E429+'TRAIL BALANCE'!E455+'TRAIL BALANCE'!E483+'TRAIL BALANCE'!E484+'TRAIL BALANCE'!E485+'TRAIL BALANCE'!E487+'TRAIL BALANCE'!E520+'TRAIL BALANCE'!E521+'TRAIL BALANCE'!E523+'TRAIL BALANCE'!E565+'TRAIL BALANCE'!E566+'TRAIL BALANCE'!E567+'TRAIL BALANCE'!E568+'TRAIL BALANCE'!E569+'TRAIL BALANCE'!E570+'TRAIL BALANCE'!E597+'TRAIL BALANCE'!E598+'TRAIL BALANCE'!E649+'TRAIL BALANCE'!E650+'TRAIL BALANCE'!E651+'TRAIL BALANCE'!E652+'TRAIL BALANCE'!E674+'TRAIL BALANCE'!E675+'TRAIL BALANCE'!E684+'TRAIL BALANCE'!E785+'TRAIL BALANCE'!E786+'TRAIL BALANCE'!E787)</f>
        <v>2806528.21</v>
      </c>
      <c r="K43" s="1015"/>
      <c r="L43" s="1012" t="s">
        <v>45</v>
      </c>
      <c r="M43" s="1012">
        <f t="shared" si="2"/>
        <v>386033.47000000067</v>
      </c>
      <c r="N43" s="989">
        <v>4813936</v>
      </c>
      <c r="O43" s="989">
        <f t="shared" si="1"/>
        <v>-20435.539999999106</v>
      </c>
      <c r="P43" s="990"/>
      <c r="Q43" s="991"/>
    </row>
    <row r="44" spans="1:21">
      <c r="A44" s="1013"/>
      <c r="C44" s="1472" t="s">
        <v>3359</v>
      </c>
      <c r="D44" s="1035">
        <v>28</v>
      </c>
      <c r="E44" s="657"/>
      <c r="F44" s="1036">
        <f>'Notes 18 - 35'!D239</f>
        <v>28933065.280000001</v>
      </c>
      <c r="G44" s="990"/>
      <c r="H44" s="1471">
        <f>SUM('TRAIL BALANCE'!G655+'TRAIL BALANCE'!G676)</f>
        <v>16578331.51</v>
      </c>
      <c r="I44" s="1020"/>
      <c r="J44" s="1037">
        <f>SUM('TRAIL BALANCE'!E655+'TRAIL BALANCE'!E676)</f>
        <v>12752281.619999999</v>
      </c>
      <c r="K44" s="1015"/>
      <c r="L44" s="1012" t="s">
        <v>45</v>
      </c>
      <c r="M44" s="1012">
        <f t="shared" si="2"/>
        <v>12354733.770000001</v>
      </c>
      <c r="N44" s="989">
        <v>27992230</v>
      </c>
      <c r="O44" s="989">
        <f t="shared" ref="O44:O61" si="3">F44-N44</f>
        <v>940835.28000000119</v>
      </c>
      <c r="P44" s="657"/>
      <c r="Q44" s="991"/>
    </row>
    <row r="45" spans="1:21">
      <c r="A45" s="1013"/>
      <c r="C45" s="1472" t="s">
        <v>3330</v>
      </c>
      <c r="D45" s="1035"/>
      <c r="E45" s="657"/>
      <c r="F45" s="1036">
        <f>'WORK PAPER APP0910 E (1)'!E321+'WORK PAPER APP0910 E (1)'!E322</f>
        <v>1892896.74</v>
      </c>
      <c r="G45" s="990"/>
      <c r="H45" s="1471">
        <f>'work paper app0809 E(1)'!I686</f>
        <v>1601482.62</v>
      </c>
      <c r="I45" s="1020"/>
      <c r="J45" s="1037"/>
      <c r="K45" s="1015"/>
      <c r="L45" s="1012" t="s">
        <v>45</v>
      </c>
      <c r="M45" s="1012">
        <f t="shared" si="2"/>
        <v>291414.11999999988</v>
      </c>
      <c r="N45" s="989">
        <v>1815076</v>
      </c>
      <c r="O45" s="989">
        <f t="shared" si="3"/>
        <v>77820.739999999991</v>
      </c>
      <c r="P45" s="657"/>
      <c r="Q45" s="991"/>
    </row>
    <row r="46" spans="1:21">
      <c r="A46" s="1013"/>
      <c r="C46" s="1472" t="s">
        <v>3394</v>
      </c>
      <c r="D46" s="1035">
        <v>7</v>
      </c>
      <c r="E46" s="657"/>
      <c r="F46" s="1036">
        <f>'WORK PAPER APP0910 E (1)'!E318</f>
        <v>412318.9</v>
      </c>
      <c r="G46" s="990"/>
      <c r="H46" s="1471">
        <f>-'Notes 2 - 9'!H116</f>
        <v>1255783.54</v>
      </c>
      <c r="I46" s="1020"/>
      <c r="J46" s="1037"/>
      <c r="K46" s="1015"/>
      <c r="L46" s="1012" t="s">
        <v>45</v>
      </c>
      <c r="M46" s="1012">
        <f t="shared" si="2"/>
        <v>-843464.64</v>
      </c>
      <c r="N46" s="989">
        <v>486927</v>
      </c>
      <c r="O46" s="989">
        <f t="shared" si="3"/>
        <v>-74608.099999999977</v>
      </c>
      <c r="P46" s="657"/>
      <c r="Q46" s="991"/>
    </row>
    <row r="47" spans="1:21" ht="15">
      <c r="A47" s="1013"/>
      <c r="C47" s="1438" t="s">
        <v>3901</v>
      </c>
      <c r="D47" s="1035"/>
      <c r="E47" s="657"/>
      <c r="F47" s="1036">
        <f>'WORK PAPER APP0910 E (1)'!E306</f>
        <v>2711937.93</v>
      </c>
      <c r="G47" s="990"/>
      <c r="H47" s="1471">
        <f>SUM('TRAIL BALANCE'!G49+'TRAIL BALANCE'!G109)</f>
        <v>3154161.04</v>
      </c>
      <c r="I47" s="1020"/>
      <c r="J47" s="1037">
        <f>SUM('TRAIL BALANCE'!E49+'TRAIL BALANCE'!E109)</f>
        <v>2573241.02</v>
      </c>
      <c r="K47" s="1015"/>
      <c r="L47" s="1012" t="s">
        <v>45</v>
      </c>
      <c r="M47" s="1012">
        <f t="shared" si="2"/>
        <v>-442223.10999999987</v>
      </c>
      <c r="N47" s="989">
        <v>2711938</v>
      </c>
      <c r="O47" s="989">
        <f t="shared" si="3"/>
        <v>-6.9999999832361937E-2</v>
      </c>
      <c r="P47" s="522"/>
      <c r="Q47" s="573"/>
    </row>
    <row r="48" spans="1:21">
      <c r="A48" s="1013"/>
      <c r="C48" s="1438" t="s">
        <v>2969</v>
      </c>
      <c r="D48" s="1035">
        <v>29</v>
      </c>
      <c r="E48" s="657"/>
      <c r="F48" s="1036">
        <f>'WORK PAPER APP0910 E (1)'!E312</f>
        <v>3485000</v>
      </c>
      <c r="G48" s="990"/>
      <c r="H48" s="1471">
        <f>'Notes 18 - 35'!F252</f>
        <v>1984846.35</v>
      </c>
      <c r="I48" s="1020"/>
      <c r="J48" s="1037"/>
      <c r="K48" s="1015"/>
      <c r="L48" s="1012" t="s">
        <v>45</v>
      </c>
      <c r="M48" s="1012">
        <f t="shared" si="2"/>
        <v>1500153.65</v>
      </c>
      <c r="N48" s="989">
        <v>3485000</v>
      </c>
      <c r="O48" s="989">
        <f t="shared" si="3"/>
        <v>0</v>
      </c>
    </row>
    <row r="49" spans="1:21">
      <c r="A49" s="1013"/>
      <c r="C49" s="1438" t="s">
        <v>1137</v>
      </c>
      <c r="D49" s="1035">
        <v>30</v>
      </c>
      <c r="E49" s="657"/>
      <c r="F49" s="1036">
        <f>'Notes 18 - 35'!D311</f>
        <v>26268106.330000002</v>
      </c>
      <c r="G49" s="990"/>
      <c r="H49" s="1471">
        <v>23228694</v>
      </c>
      <c r="I49" s="1020"/>
      <c r="J49" s="1037">
        <v>17516469</v>
      </c>
      <c r="K49" s="1015"/>
      <c r="L49" s="1012" t="s">
        <v>45</v>
      </c>
      <c r="M49" s="1012">
        <f t="shared" si="2"/>
        <v>3039412.3300000019</v>
      </c>
      <c r="N49" s="989">
        <v>19345531</v>
      </c>
      <c r="O49" s="989">
        <f t="shared" si="3"/>
        <v>6922575.3300000019</v>
      </c>
    </row>
    <row r="50" spans="1:21">
      <c r="A50" s="1013"/>
      <c r="C50" s="1438" t="s">
        <v>781</v>
      </c>
      <c r="D50" s="1035"/>
      <c r="E50" s="657"/>
      <c r="F50" s="1039">
        <f>'WORK PAPER APP0910 E (1)'!E315</f>
        <v>3884563.47</v>
      </c>
      <c r="G50" s="990"/>
      <c r="H50" s="1471">
        <f>'work paper app0809 E(1)'!I298</f>
        <v>177174</v>
      </c>
      <c r="I50" s="1020"/>
      <c r="J50" s="1037">
        <v>0</v>
      </c>
      <c r="K50" s="1015"/>
      <c r="L50" s="1012" t="s">
        <v>45</v>
      </c>
      <c r="M50" s="1012">
        <f t="shared" si="2"/>
        <v>3707389.47</v>
      </c>
      <c r="N50" s="989">
        <v>18673852</v>
      </c>
      <c r="O50" s="989">
        <f t="shared" si="3"/>
        <v>-14789288.529999999</v>
      </c>
    </row>
    <row r="51" spans="1:21" s="1022" customFormat="1" ht="15">
      <c r="A51" s="1021"/>
      <c r="C51" s="1474" t="s">
        <v>3709</v>
      </c>
      <c r="D51" s="1041"/>
      <c r="E51" s="1023"/>
      <c r="F51" s="1051">
        <f>SUM(F37:F50)</f>
        <v>105839616.28</v>
      </c>
      <c r="G51" s="987"/>
      <c r="H51" s="1482">
        <f>SUM(H37:H50)</f>
        <v>87838462.400000006</v>
      </c>
      <c r="I51" s="1044"/>
      <c r="J51" s="1051">
        <f>SUM(J37:J50)</f>
        <v>62166424.869999997</v>
      </c>
      <c r="K51" s="1026"/>
      <c r="L51" s="1027"/>
      <c r="M51" s="1027"/>
      <c r="N51" s="1051">
        <f>SUM(N37:N50)</f>
        <v>111526462</v>
      </c>
      <c r="O51" s="989">
        <f t="shared" si="3"/>
        <v>-5686845.7199999988</v>
      </c>
      <c r="P51" s="1028"/>
      <c r="Q51" s="1028"/>
      <c r="R51" s="1028"/>
      <c r="S51" s="1028"/>
      <c r="T51" s="1028"/>
      <c r="U51" s="1028"/>
    </row>
    <row r="52" spans="1:21" s="1022" customFormat="1" ht="15">
      <c r="A52" s="1021"/>
      <c r="C52" s="1464"/>
      <c r="D52" s="1045"/>
      <c r="E52" s="1023"/>
      <c r="F52" s="1046"/>
      <c r="G52" s="987"/>
      <c r="H52" s="1476"/>
      <c r="I52" s="1044"/>
      <c r="J52" s="1401"/>
      <c r="K52" s="1026"/>
      <c r="L52" s="1027"/>
      <c r="M52" s="1027"/>
      <c r="N52" s="1028"/>
      <c r="O52" s="989">
        <f t="shared" si="3"/>
        <v>0</v>
      </c>
      <c r="P52" s="1028"/>
      <c r="Q52" s="1028"/>
      <c r="R52" s="1028"/>
      <c r="S52" s="1028"/>
      <c r="T52" s="1028"/>
      <c r="U52" s="1028"/>
    </row>
    <row r="53" spans="1:21" s="1022" customFormat="1" ht="15">
      <c r="A53" s="1021"/>
      <c r="C53" s="1464" t="s">
        <v>2469</v>
      </c>
      <c r="D53" s="1045"/>
      <c r="E53" s="1023"/>
      <c r="F53" s="1046"/>
      <c r="G53" s="987"/>
      <c r="H53" s="1476"/>
      <c r="I53" s="1044"/>
      <c r="J53" s="1401"/>
      <c r="K53" s="1026"/>
      <c r="L53" s="1027"/>
      <c r="M53" s="1027"/>
      <c r="N53" s="1028"/>
      <c r="O53" s="989">
        <f t="shared" si="3"/>
        <v>0</v>
      </c>
      <c r="P53" s="1028"/>
      <c r="Q53" s="1028"/>
      <c r="R53" s="1028"/>
      <c r="S53" s="1028"/>
      <c r="T53" s="1028"/>
      <c r="U53" s="1028"/>
    </row>
    <row r="54" spans="1:21" s="1022" customFormat="1" ht="15">
      <c r="A54" s="1021"/>
      <c r="C54" s="1462" t="s">
        <v>1135</v>
      </c>
      <c r="D54" s="1045">
        <v>27</v>
      </c>
      <c r="E54" s="1023"/>
      <c r="F54" s="1052">
        <f>'Notes 18 - 35'!D233</f>
        <v>2312617.1300000004</v>
      </c>
      <c r="G54" s="987"/>
      <c r="H54" s="1483">
        <f>'Notes 18 - 35'!F233</f>
        <v>1673173.9500000002</v>
      </c>
      <c r="I54" s="1044"/>
      <c r="J54" s="1053">
        <f>SUM('Notes 18 - 35'!J233)</f>
        <v>1186125.32</v>
      </c>
      <c r="K54" s="1026"/>
      <c r="L54" s="1027"/>
      <c r="M54" s="1012">
        <f>F54-H54</f>
        <v>639443.18000000017</v>
      </c>
      <c r="N54" s="1028">
        <v>2074879</v>
      </c>
      <c r="O54" s="989">
        <f t="shared" si="3"/>
        <v>237738.13000000035</v>
      </c>
      <c r="P54" s="1028"/>
      <c r="Q54" s="1028"/>
      <c r="R54" s="1028"/>
      <c r="S54" s="1028"/>
      <c r="T54" s="1028"/>
      <c r="U54" s="1028"/>
    </row>
    <row r="55" spans="1:21" s="1022" customFormat="1" ht="15">
      <c r="A55" s="1021"/>
      <c r="C55" s="1464"/>
      <c r="D55" s="1045"/>
      <c r="E55" s="1023"/>
      <c r="F55" s="1046"/>
      <c r="G55" s="987"/>
      <c r="H55" s="1476"/>
      <c r="I55" s="1044"/>
      <c r="J55" s="1401"/>
      <c r="K55" s="1026"/>
      <c r="L55" s="1027"/>
      <c r="M55" s="1027"/>
      <c r="N55" s="1028"/>
      <c r="O55" s="989">
        <f t="shared" si="3"/>
        <v>0</v>
      </c>
      <c r="P55" s="1028"/>
      <c r="Q55" s="1028"/>
      <c r="R55" s="1028"/>
      <c r="S55" s="1028"/>
      <c r="T55" s="1028"/>
      <c r="U55" s="1028"/>
    </row>
    <row r="56" spans="1:21" s="1022" customFormat="1" ht="15">
      <c r="A56" s="1021"/>
      <c r="C56" s="1464" t="s">
        <v>3710</v>
      </c>
      <c r="D56" s="1045"/>
      <c r="E56" s="1023"/>
      <c r="F56" s="1054">
        <f>SUM(F51:F55)</f>
        <v>108152233.41</v>
      </c>
      <c r="G56" s="987"/>
      <c r="H56" s="1467">
        <f>SUM(H51:H55)</f>
        <v>89511636.350000009</v>
      </c>
      <c r="I56" s="1044"/>
      <c r="J56" s="1399">
        <f>SUM(J51:J55)</f>
        <v>63352550.189999998</v>
      </c>
      <c r="K56" s="1026"/>
      <c r="L56" s="1027"/>
      <c r="M56" s="1027"/>
      <c r="N56" s="1024">
        <f>SUM(N51:N55)</f>
        <v>113601341</v>
      </c>
      <c r="O56" s="989">
        <f t="shared" si="3"/>
        <v>-5449107.5900000036</v>
      </c>
      <c r="P56" s="1028"/>
      <c r="Q56" s="1028"/>
      <c r="R56" s="1028"/>
      <c r="S56" s="1028"/>
      <c r="T56" s="1028"/>
      <c r="U56" s="1028"/>
    </row>
    <row r="57" spans="1:21">
      <c r="A57" s="1013"/>
      <c r="C57" s="1462"/>
      <c r="D57" s="1049"/>
      <c r="E57" s="1017"/>
      <c r="F57" s="1050"/>
      <c r="G57" s="990"/>
      <c r="H57" s="1481"/>
      <c r="I57" s="1020"/>
      <c r="J57" s="1404"/>
      <c r="K57" s="1015"/>
      <c r="O57" s="989">
        <f t="shared" si="3"/>
        <v>0</v>
      </c>
    </row>
    <row r="58" spans="1:21" s="1022" customFormat="1" ht="15">
      <c r="A58" s="1021"/>
      <c r="C58" s="1484" t="s">
        <v>2421</v>
      </c>
      <c r="D58" s="1343"/>
      <c r="E58" s="1023"/>
      <c r="F58" s="1055">
        <f>F32-F56</f>
        <v>-14841360.129999995</v>
      </c>
      <c r="G58" s="987"/>
      <c r="H58" s="1485">
        <f>H32-H56</f>
        <v>76525048.929999992</v>
      </c>
      <c r="I58" s="1044"/>
      <c r="J58" s="1055">
        <f>J32-J56</f>
        <v>10925288.24000001</v>
      </c>
      <c r="K58" s="1026"/>
      <c r="L58" s="1027"/>
      <c r="M58" s="1027"/>
      <c r="N58" s="1055">
        <f>N32-N56</f>
        <v>-17532622</v>
      </c>
      <c r="O58" s="989">
        <f t="shared" si="3"/>
        <v>2691261.8700000048</v>
      </c>
      <c r="P58" s="1028"/>
      <c r="Q58" s="1028"/>
      <c r="R58" s="1028"/>
      <c r="S58" s="1028"/>
      <c r="T58" s="1028"/>
      <c r="U58" s="1028"/>
    </row>
    <row r="59" spans="1:21" s="1022" customFormat="1" ht="15">
      <c r="A59" s="1021"/>
      <c r="C59" s="1486"/>
      <c r="D59" s="1056"/>
      <c r="E59" s="1023"/>
      <c r="F59" s="1042"/>
      <c r="G59" s="987"/>
      <c r="H59" s="1487"/>
      <c r="I59" s="1044"/>
      <c r="J59" s="1042"/>
      <c r="K59" s="1026"/>
      <c r="L59" s="1027"/>
      <c r="M59" s="1027"/>
      <c r="N59" s="1028"/>
      <c r="O59" s="989">
        <f t="shared" si="3"/>
        <v>0</v>
      </c>
      <c r="P59" s="1028"/>
      <c r="Q59" s="1028"/>
      <c r="R59" s="1028"/>
      <c r="S59" s="1028"/>
      <c r="T59" s="1028"/>
      <c r="U59" s="1028"/>
    </row>
    <row r="60" spans="1:21" s="1022" customFormat="1" ht="15">
      <c r="A60" s="1021"/>
      <c r="C60" s="1464"/>
      <c r="D60" s="1045"/>
      <c r="E60" s="1023"/>
      <c r="F60" s="1054"/>
      <c r="G60" s="987"/>
      <c r="H60" s="1481"/>
      <c r="I60" s="1030"/>
      <c r="J60" s="1404"/>
      <c r="K60" s="1026"/>
      <c r="L60" s="1027"/>
      <c r="M60" s="1027"/>
      <c r="N60" s="1028"/>
      <c r="O60" s="989">
        <f t="shared" si="3"/>
        <v>0</v>
      </c>
      <c r="P60" s="1028"/>
      <c r="Q60" s="1028"/>
      <c r="R60" s="1028"/>
      <c r="S60" s="1028"/>
      <c r="T60" s="1028"/>
      <c r="U60" s="1028"/>
    </row>
    <row r="61" spans="1:21" s="1022" customFormat="1" ht="15">
      <c r="A61" s="1021"/>
      <c r="C61" s="1474" t="s">
        <v>2532</v>
      </c>
      <c r="D61" s="1057"/>
      <c r="E61" s="1017"/>
      <c r="F61" s="1976">
        <f>F58</f>
        <v>-14841360.129999995</v>
      </c>
      <c r="G61" s="987"/>
      <c r="H61" s="1482">
        <f>H58</f>
        <v>76525048.929999992</v>
      </c>
      <c r="I61" s="1044"/>
      <c r="J61" s="1051">
        <f>J58</f>
        <v>10925288.24000001</v>
      </c>
      <c r="K61" s="1026"/>
      <c r="L61" s="1027"/>
      <c r="M61" s="1027"/>
      <c r="N61" s="1051">
        <f>N58</f>
        <v>-17532622</v>
      </c>
      <c r="O61" s="989">
        <f t="shared" si="3"/>
        <v>2691261.8700000048</v>
      </c>
      <c r="P61" s="1028"/>
      <c r="Q61" s="1028"/>
      <c r="R61" s="1028"/>
      <c r="S61" s="1028"/>
      <c r="T61" s="1028"/>
      <c r="U61" s="1028"/>
    </row>
    <row r="62" spans="1:21" ht="9.75" customHeight="1" thickBot="1">
      <c r="A62" s="1058"/>
      <c r="B62" s="1059"/>
      <c r="C62" s="1488"/>
      <c r="D62" s="1489"/>
      <c r="E62" s="1489"/>
      <c r="F62" s="1490"/>
      <c r="G62" s="1491"/>
      <c r="H62" s="1492"/>
      <c r="I62" s="1064"/>
      <c r="J62" s="1406"/>
      <c r="K62" s="1065"/>
    </row>
    <row r="63" spans="1:21" ht="15.75" thickTop="1">
      <c r="C63" s="1405"/>
      <c r="D63" s="1060"/>
      <c r="E63" s="1060"/>
      <c r="F63" s="1061"/>
      <c r="G63" s="1062"/>
      <c r="H63" s="1063"/>
      <c r="I63" s="1064"/>
      <c r="J63" s="1406"/>
      <c r="K63" s="990"/>
      <c r="O63" s="1028"/>
    </row>
    <row r="125" spans="7:7">
      <c r="G125" s="994">
        <v>5253981.1399999997</v>
      </c>
    </row>
  </sheetData>
  <mergeCells count="3">
    <mergeCell ref="C1:H1"/>
    <mergeCell ref="C2:H2"/>
    <mergeCell ref="C3:H3"/>
  </mergeCells>
  <phoneticPr fontId="0" type="noConversion"/>
  <printOptions horizontalCentered="1"/>
  <pageMargins left="0.6692913385826772" right="0.39370078740157483" top="0.98425196850393704" bottom="0.98425196850393704" header="0.51181102362204722" footer="0.51181102362204722"/>
  <pageSetup scale="74" orientation="portrait" r:id="rId1"/>
  <headerFooter alignWithMargins="0">
    <oddHeader>&amp;C FINANCIAL STATEMENTS: MUSINA LOCAL MUNICIPALITY</oddHeader>
    <oddFooter>&amp;RPage &amp;P</oddFooter>
  </headerFooter>
</worksheet>
</file>

<file path=xl/worksheets/sheet7.xml><?xml version="1.0" encoding="utf-8"?>
<worksheet xmlns="http://schemas.openxmlformats.org/spreadsheetml/2006/main" xmlns:r="http://schemas.openxmlformats.org/officeDocument/2006/relationships">
  <sheetPr>
    <pageSetUpPr fitToPage="1"/>
  </sheetPr>
  <dimension ref="A1:Q125"/>
  <sheetViews>
    <sheetView tabSelected="1" view="pageBreakPreview" topLeftCell="A39" zoomScaleNormal="80" zoomScaleSheetLayoutView="100" workbookViewId="0">
      <selection activeCell="B43" sqref="B43"/>
    </sheetView>
  </sheetViews>
  <sheetFormatPr defaultRowHeight="12.75"/>
  <cols>
    <col min="1" max="1" width="2.5703125" style="837" customWidth="1"/>
    <col min="2" max="2" width="51.42578125" style="837" bestFit="1" customWidth="1"/>
    <col min="3" max="3" width="4.7109375" style="837" customWidth="1"/>
    <col min="4" max="4" width="14.140625" style="837" customWidth="1"/>
    <col min="5" max="5" width="2.28515625" style="1000" customWidth="1"/>
    <col min="6" max="6" width="15.140625" style="978" bestFit="1" customWidth="1"/>
    <col min="7" max="7" width="2" style="978" customWidth="1"/>
    <col min="8" max="8" width="15.42578125" style="978" hidden="1" customWidth="1"/>
    <col min="9" max="9" width="2.7109375" style="837" hidden="1" customWidth="1"/>
    <col min="10" max="10" width="1.28515625" style="837" customWidth="1"/>
    <col min="11" max="11" width="15" style="978" bestFit="1" customWidth="1"/>
    <col min="12" max="12" width="13.5703125" style="978" bestFit="1" customWidth="1"/>
    <col min="13" max="13" width="37.42578125" style="978" customWidth="1"/>
    <col min="14" max="14" width="14" style="978" bestFit="1" customWidth="1"/>
    <col min="15" max="15" width="16.85546875" style="978" bestFit="1" customWidth="1"/>
    <col min="16" max="16" width="9.140625" style="978" customWidth="1"/>
    <col min="17" max="17" width="10.42578125" style="837" customWidth="1"/>
    <col min="18" max="16384" width="9.140625" style="837"/>
  </cols>
  <sheetData>
    <row r="1" spans="1:16" ht="13.5" thickTop="1">
      <c r="A1" s="1498"/>
      <c r="B1" s="1499"/>
      <c r="C1" s="1500"/>
      <c r="D1" s="1500"/>
      <c r="E1" s="1501"/>
      <c r="F1" s="1517"/>
      <c r="G1" s="1502"/>
      <c r="H1" s="1407"/>
      <c r="I1" s="839"/>
    </row>
    <row r="2" spans="1:16" ht="15.75">
      <c r="A2" s="1503"/>
      <c r="B2" s="1493" t="s">
        <v>1742</v>
      </c>
      <c r="C2" s="1324"/>
      <c r="D2" s="1324"/>
      <c r="E2" s="1324"/>
      <c r="F2" s="1494"/>
      <c r="G2" s="1504"/>
      <c r="H2" s="1494"/>
      <c r="I2" s="840"/>
    </row>
    <row r="3" spans="1:16">
      <c r="A3" s="1503"/>
      <c r="B3" s="1348" t="s">
        <v>1109</v>
      </c>
      <c r="C3" s="1325"/>
      <c r="D3" s="1325"/>
      <c r="E3" s="1325"/>
      <c r="F3" s="1349"/>
      <c r="G3" s="1505"/>
      <c r="H3" s="1349"/>
      <c r="I3" s="840"/>
    </row>
    <row r="4" spans="1:16" ht="15.75">
      <c r="A4" s="1503"/>
      <c r="B4" s="1495" t="s">
        <v>3498</v>
      </c>
      <c r="C4" s="1326"/>
      <c r="D4" s="1326"/>
      <c r="E4" s="1327"/>
      <c r="F4" s="1496"/>
      <c r="G4" s="1506"/>
      <c r="H4" s="1496"/>
      <c r="I4" s="840"/>
    </row>
    <row r="5" spans="1:16">
      <c r="A5" s="1503"/>
      <c r="B5" s="1408"/>
      <c r="C5" s="980"/>
      <c r="D5" s="980"/>
      <c r="E5" s="980"/>
      <c r="F5" s="1409"/>
      <c r="G5" s="1507"/>
      <c r="H5" s="1409"/>
      <c r="I5" s="840"/>
    </row>
    <row r="6" spans="1:16">
      <c r="A6" s="1503"/>
      <c r="B6" s="1408"/>
      <c r="C6" s="980"/>
      <c r="D6" s="980"/>
      <c r="E6" s="980"/>
      <c r="F6" s="1409"/>
      <c r="G6" s="1507"/>
      <c r="H6" s="1409"/>
      <c r="I6" s="840"/>
    </row>
    <row r="7" spans="1:16">
      <c r="A7" s="1503"/>
      <c r="B7" s="1408"/>
      <c r="C7" s="980"/>
      <c r="D7" s="789" t="s">
        <v>3484</v>
      </c>
      <c r="E7" s="980"/>
      <c r="F7" s="789" t="s">
        <v>2651</v>
      </c>
      <c r="G7" s="1508"/>
      <c r="H7" s="1497" t="s">
        <v>1634</v>
      </c>
      <c r="I7" s="840"/>
    </row>
    <row r="8" spans="1:16">
      <c r="A8" s="1503"/>
      <c r="B8" s="1348" t="s">
        <v>1106</v>
      </c>
      <c r="C8" s="749"/>
      <c r="D8" s="749"/>
      <c r="E8" s="1325"/>
      <c r="F8" s="1410" t="s">
        <v>2422</v>
      </c>
      <c r="G8" s="1509"/>
      <c r="H8" s="1410" t="s">
        <v>2422</v>
      </c>
      <c r="I8" s="840"/>
    </row>
    <row r="9" spans="1:16" s="575" customFormat="1">
      <c r="A9" s="1510"/>
      <c r="B9" s="1411" t="s">
        <v>1743</v>
      </c>
      <c r="C9" s="621"/>
      <c r="D9" s="621"/>
      <c r="E9" s="1325"/>
      <c r="F9" s="1410"/>
      <c r="G9" s="1509"/>
      <c r="H9" s="1410"/>
      <c r="I9" s="846"/>
      <c r="K9" s="981"/>
      <c r="L9" s="981"/>
      <c r="M9" s="981"/>
      <c r="N9" s="981"/>
      <c r="O9" s="981"/>
      <c r="P9" s="981"/>
    </row>
    <row r="10" spans="1:16">
      <c r="A10" s="1503"/>
      <c r="B10" s="979"/>
      <c r="C10" s="749"/>
      <c r="D10" s="749"/>
      <c r="E10" s="960"/>
      <c r="F10" s="1409"/>
      <c r="G10" s="1511"/>
      <c r="H10" s="1409"/>
      <c r="I10" s="840"/>
    </row>
    <row r="11" spans="1:16" ht="14.25">
      <c r="A11" s="1503"/>
      <c r="B11" s="1412" t="s">
        <v>2992</v>
      </c>
      <c r="C11" s="982"/>
      <c r="D11" s="483">
        <f>SUM('Statement of Financial Performa'!F26)-'Statement of Financial Performa'!F13-'Statement of Financial Performa'!F16-'Statement of Financial Performa'!F17-'Statement of Financial Performa'!F25</f>
        <v>90906125.160000011</v>
      </c>
      <c r="E11" s="960"/>
      <c r="F11" s="1409">
        <f>SUM('Statement of Financial Performa'!H26)-'Statement of Financial Performa'!H17-'Statement of Financial Performa'!H25+1-'Statement of Financial Performa'!H16-'Statement of Financial Performa'!H13-1165757</f>
        <v>70168759.170000002</v>
      </c>
      <c r="G11" s="1511"/>
      <c r="H11" s="1409">
        <f>SUM('Statement of Financial Performa'!J26)-'Statement of Financial Performa'!J16-51659+1047509</f>
        <v>73677133.420000002</v>
      </c>
      <c r="I11" s="840"/>
      <c r="L11" s="978" t="s">
        <v>45</v>
      </c>
      <c r="N11" s="983"/>
      <c r="O11" s="983"/>
    </row>
    <row r="12" spans="1:16" ht="14.25">
      <c r="A12" s="1503"/>
      <c r="B12" s="1412" t="s">
        <v>1744</v>
      </c>
      <c r="C12" s="982"/>
      <c r="D12" s="483">
        <f>-'Statement of Financial Performa'!F51+'Statement of Financial Performa'!F42+'Statement of Financial Performa'!F41+'Statement of Financial Performa'!F39+'Statement of Financial Performa'!F45+'Statement of Financial Performa'!F46+'Statement of Financial Performa'!F50</f>
        <v>-94642933.330000013</v>
      </c>
      <c r="E12" s="960"/>
      <c r="F12" s="1409">
        <f>-'Statement of Financial Performa'!H51+'Statement of Financial Performa'!H50+'Statement of Financial Performa'!H45+'Statement of Financial Performa'!H42+'Statement of Financial Performa'!H41+'Statement of Financial Performa'!H39+'Statement of Financial Performa'!H46</f>
        <v>-76801997.890000001</v>
      </c>
      <c r="G12" s="1511"/>
      <c r="H12" s="1409">
        <f>-SUM('Statement of Financial Performa'!J51)-1497400</f>
        <v>-63663824.869999997</v>
      </c>
      <c r="I12" s="840"/>
      <c r="L12" s="978" t="s">
        <v>45</v>
      </c>
      <c r="N12" s="978" t="s">
        <v>45</v>
      </c>
    </row>
    <row r="13" spans="1:16">
      <c r="A13" s="1503"/>
      <c r="B13" s="979"/>
      <c r="C13" s="749"/>
      <c r="D13" s="749"/>
      <c r="E13" s="960"/>
      <c r="F13" s="1409"/>
      <c r="G13" s="1511"/>
      <c r="H13" s="1409"/>
      <c r="I13" s="840"/>
      <c r="L13" s="978" t="s">
        <v>45</v>
      </c>
      <c r="N13" s="978" t="s">
        <v>45</v>
      </c>
    </row>
    <row r="14" spans="1:16" s="575" customFormat="1" ht="15">
      <c r="A14" s="1510"/>
      <c r="B14" s="1413" t="s">
        <v>806</v>
      </c>
      <c r="C14" s="984">
        <v>32</v>
      </c>
      <c r="D14" s="1317">
        <f>SUM(D11:D13)</f>
        <v>-3736808.1700000018</v>
      </c>
      <c r="E14" s="1325"/>
      <c r="F14" s="1410">
        <f>SUM(F11:F13)</f>
        <v>-6633238.7199999988</v>
      </c>
      <c r="G14" s="1509"/>
      <c r="H14" s="1410">
        <f>SUM(H11:H13)</f>
        <v>10013308.550000004</v>
      </c>
      <c r="I14" s="846"/>
      <c r="K14" s="981">
        <f>'Notes 18 - 35'!D380</f>
        <v>-3736808.1700000004</v>
      </c>
      <c r="L14" s="978">
        <f>D14-K14</f>
        <v>0</v>
      </c>
      <c r="M14" s="978"/>
      <c r="N14" s="981"/>
      <c r="O14" s="981"/>
      <c r="P14" s="981"/>
    </row>
    <row r="15" spans="1:16">
      <c r="A15" s="1503"/>
      <c r="B15" s="979"/>
      <c r="C15" s="749"/>
      <c r="D15" s="749"/>
      <c r="E15" s="960"/>
      <c r="F15" s="1409"/>
      <c r="G15" s="1511"/>
      <c r="H15" s="1409"/>
      <c r="I15" s="840"/>
    </row>
    <row r="16" spans="1:16" s="575" customFormat="1" ht="14.25">
      <c r="A16" s="1510"/>
      <c r="B16" s="1412" t="s">
        <v>807</v>
      </c>
      <c r="C16" s="982"/>
      <c r="D16" s="483">
        <f>'Notes 18 - 35'!D132+'Notes 18 - 35'!D127</f>
        <v>866905.8</v>
      </c>
      <c r="E16" s="960"/>
      <c r="F16" s="1409">
        <f>'Notes 18 - 35'!F132+'Notes 18 - 35'!F127</f>
        <v>1472417.19</v>
      </c>
      <c r="G16" s="1511"/>
      <c r="H16" s="1409">
        <f>+'Notes 18 - 35'!J127</f>
        <v>549044.5</v>
      </c>
      <c r="I16" s="840"/>
      <c r="K16" s="981" t="s">
        <v>45</v>
      </c>
      <c r="L16" s="978"/>
      <c r="M16" s="978"/>
      <c r="N16" s="981"/>
      <c r="O16" s="981"/>
      <c r="P16" s="981"/>
    </row>
    <row r="17" spans="1:17" ht="14.25">
      <c r="A17" s="1503"/>
      <c r="B17" s="1412" t="s">
        <v>1135</v>
      </c>
      <c r="C17" s="982"/>
      <c r="D17" s="483">
        <f>-SUM('Notes 18 - 35'!D233)</f>
        <v>-2312617.1300000004</v>
      </c>
      <c r="E17" s="960"/>
      <c r="F17" s="1409">
        <f>-SUM('Notes 18 - 35'!F233)</f>
        <v>-1673173.9500000002</v>
      </c>
      <c r="G17" s="1511"/>
      <c r="H17" s="1409">
        <f>-SUM('Notes 18 - 35'!J233)</f>
        <v>-1186125.32</v>
      </c>
      <c r="I17" s="840"/>
    </row>
    <row r="18" spans="1:17">
      <c r="A18" s="1503"/>
      <c r="B18" s="979"/>
      <c r="C18" s="749"/>
      <c r="D18" s="749"/>
      <c r="E18" s="960"/>
      <c r="F18" s="1409"/>
      <c r="G18" s="1511"/>
      <c r="H18" s="1409"/>
      <c r="I18" s="840"/>
    </row>
    <row r="19" spans="1:17" ht="15.75" thickBot="1">
      <c r="A19" s="1503"/>
      <c r="B19" s="1413" t="s">
        <v>808</v>
      </c>
      <c r="C19" s="984"/>
      <c r="D19" s="985">
        <f>SUM(D14:D18)</f>
        <v>-5182519.5000000019</v>
      </c>
      <c r="E19" s="1325"/>
      <c r="F19" s="1414">
        <f>SUM(F14:F18)</f>
        <v>-6833995.4799999995</v>
      </c>
      <c r="G19" s="1509"/>
      <c r="H19" s="1414">
        <f>SUM(H14:H18)</f>
        <v>9376227.7300000042</v>
      </c>
      <c r="I19" s="846"/>
    </row>
    <row r="20" spans="1:17" ht="13.5" thickTop="1">
      <c r="A20" s="1503"/>
      <c r="B20" s="1415"/>
      <c r="C20" s="986"/>
      <c r="D20" s="986"/>
      <c r="E20" s="1325"/>
      <c r="F20" s="1410"/>
      <c r="G20" s="1509"/>
      <c r="H20" s="1410"/>
      <c r="I20" s="846"/>
    </row>
    <row r="21" spans="1:17" ht="15">
      <c r="A21" s="1503"/>
      <c r="B21" s="979"/>
      <c r="C21" s="749"/>
      <c r="D21" s="749"/>
      <c r="E21" s="960"/>
      <c r="F21" s="1409"/>
      <c r="G21" s="1511"/>
      <c r="H21" s="1409"/>
      <c r="I21" s="840"/>
      <c r="M21" s="987" t="s">
        <v>2531</v>
      </c>
      <c r="N21" s="987"/>
      <c r="O21" s="988">
        <f>-'Statement of Financial Performa'!F51</f>
        <v>-105839616.28</v>
      </c>
      <c r="Q21" s="989"/>
    </row>
    <row r="22" spans="1:17" ht="15">
      <c r="A22" s="1510"/>
      <c r="B22" s="1411" t="s">
        <v>809</v>
      </c>
      <c r="C22" s="621"/>
      <c r="D22" s="621"/>
      <c r="E22" s="1325"/>
      <c r="F22" s="1410"/>
      <c r="G22" s="1509"/>
      <c r="H22" s="1410"/>
      <c r="I22" s="846"/>
      <c r="M22" s="583" t="s">
        <v>3596</v>
      </c>
      <c r="N22" s="815"/>
      <c r="O22" s="815"/>
      <c r="Q22" s="989"/>
    </row>
    <row r="23" spans="1:17" ht="14.25">
      <c r="A23" s="1503"/>
      <c r="B23" s="979"/>
      <c r="C23" s="749"/>
      <c r="D23" s="749"/>
      <c r="E23" s="960"/>
      <c r="F23" s="1409"/>
      <c r="G23" s="1511"/>
      <c r="H23" s="1409"/>
      <c r="I23" s="840"/>
      <c r="M23" s="670" t="s">
        <v>1131</v>
      </c>
      <c r="N23" s="990"/>
      <c r="O23" s="991">
        <v>58521</v>
      </c>
      <c r="Q23" s="989"/>
    </row>
    <row r="24" spans="1:17" s="575" customFormat="1" ht="14.25">
      <c r="A24" s="1510"/>
      <c r="B24" s="1412" t="s">
        <v>810</v>
      </c>
      <c r="C24" s="982"/>
      <c r="D24" s="992">
        <f>-'Appendix B'!C36-'App B (2)'!C36</f>
        <v>-12582563.58</v>
      </c>
      <c r="E24" s="960"/>
      <c r="F24" s="1409">
        <v>-21597013</v>
      </c>
      <c r="G24" s="1511"/>
      <c r="H24" s="1409">
        <v>-7516486</v>
      </c>
      <c r="I24" s="840"/>
      <c r="K24" s="981" t="s">
        <v>45</v>
      </c>
      <c r="L24" s="978"/>
      <c r="M24" s="670" t="s">
        <v>1133</v>
      </c>
      <c r="N24" s="990"/>
      <c r="O24" s="991">
        <f>'Statement of Financial Performa'!F41</f>
        <v>4948195.1300000008</v>
      </c>
      <c r="P24" s="981"/>
      <c r="Q24" s="989"/>
    </row>
    <row r="25" spans="1:17" s="575" customFormat="1" ht="14.25">
      <c r="A25" s="1510"/>
      <c r="B25" s="1412" t="s">
        <v>811</v>
      </c>
      <c r="C25" s="982"/>
      <c r="D25" s="992">
        <v>0</v>
      </c>
      <c r="E25" s="960"/>
      <c r="F25" s="1409">
        <v>0</v>
      </c>
      <c r="G25" s="1511"/>
      <c r="H25" s="1409"/>
      <c r="I25" s="840"/>
      <c r="K25" s="483"/>
      <c r="L25" s="978"/>
      <c r="M25" s="670" t="s">
        <v>3028</v>
      </c>
      <c r="N25" s="990"/>
      <c r="O25" s="991">
        <f>'Statement of Financial Performa'!F42</f>
        <v>188</v>
      </c>
      <c r="P25" s="981"/>
      <c r="Q25" s="989"/>
    </row>
    <row r="26" spans="1:17" s="575" customFormat="1" ht="14.25">
      <c r="A26" s="1510"/>
      <c r="B26" s="1412" t="s">
        <v>2989</v>
      </c>
      <c r="C26" s="982"/>
      <c r="D26" s="982"/>
      <c r="E26" s="960"/>
      <c r="F26" s="1409">
        <v>0</v>
      </c>
      <c r="G26" s="1511"/>
      <c r="H26" s="1409"/>
      <c r="I26" s="840"/>
      <c r="K26" s="981"/>
      <c r="L26" s="579"/>
      <c r="M26" s="670" t="s">
        <v>2470</v>
      </c>
      <c r="N26" s="990"/>
      <c r="O26" s="991">
        <v>0</v>
      </c>
      <c r="P26" s="981"/>
      <c r="Q26" s="989"/>
    </row>
    <row r="27" spans="1:17" s="575" customFormat="1" ht="14.25">
      <c r="A27" s="1510"/>
      <c r="B27" s="1412" t="s">
        <v>2990</v>
      </c>
      <c r="C27" s="982"/>
      <c r="D27" s="982"/>
      <c r="E27" s="960"/>
      <c r="F27" s="1409">
        <v>0</v>
      </c>
      <c r="G27" s="1511"/>
      <c r="H27" s="1409"/>
      <c r="I27" s="840"/>
      <c r="K27" s="981"/>
      <c r="L27" s="579"/>
      <c r="M27" s="764" t="s">
        <v>3330</v>
      </c>
      <c r="N27" s="657"/>
      <c r="O27" s="991">
        <f>'Statement of Financial Performa'!F45</f>
        <v>1892896.74</v>
      </c>
      <c r="P27" s="981"/>
      <c r="Q27" s="989"/>
    </row>
    <row r="28" spans="1:17" ht="14.25">
      <c r="A28" s="1503"/>
      <c r="B28" s="1412" t="s">
        <v>2991</v>
      </c>
      <c r="C28" s="982"/>
      <c r="D28" s="982"/>
      <c r="E28" s="960"/>
      <c r="F28" s="1409">
        <v>0</v>
      </c>
      <c r="G28" s="1511"/>
      <c r="H28" s="1416">
        <v>0</v>
      </c>
      <c r="I28" s="840"/>
      <c r="L28" s="579"/>
      <c r="M28" s="670" t="s">
        <v>3601</v>
      </c>
      <c r="N28" s="657"/>
      <c r="O28" s="991">
        <f>'Statement of Financial Performa'!F46</f>
        <v>412318.9</v>
      </c>
      <c r="Q28" s="989"/>
    </row>
    <row r="29" spans="1:17" ht="14.25">
      <c r="A29" s="1503"/>
      <c r="B29" s="979"/>
      <c r="C29" s="749"/>
      <c r="D29" s="749"/>
      <c r="E29" s="960"/>
      <c r="F29" s="1409"/>
      <c r="G29" s="1511"/>
      <c r="H29" s="1409"/>
      <c r="I29" s="840"/>
      <c r="L29" s="579"/>
      <c r="M29" s="670" t="s">
        <v>1138</v>
      </c>
      <c r="N29" s="657"/>
      <c r="O29" s="991">
        <f>'Statement of Financial Performa'!F50</f>
        <v>3884563.47</v>
      </c>
      <c r="Q29" s="989"/>
    </row>
    <row r="30" spans="1:17" ht="15.75" thickBot="1">
      <c r="A30" s="1503"/>
      <c r="B30" s="1413" t="s">
        <v>491</v>
      </c>
      <c r="C30" s="984"/>
      <c r="D30" s="985">
        <f>SUM(D24:D28)</f>
        <v>-12582563.58</v>
      </c>
      <c r="E30" s="1325"/>
      <c r="F30" s="1414">
        <f>SUM(F24:F28)</f>
        <v>-21597013</v>
      </c>
      <c r="G30" s="1509"/>
      <c r="H30" s="1414">
        <f>SUM(H24:H28)</f>
        <v>-7516486</v>
      </c>
      <c r="I30" s="846"/>
      <c r="M30" s="670"/>
      <c r="N30" s="657"/>
      <c r="O30" s="991"/>
      <c r="Q30" s="989"/>
    </row>
    <row r="31" spans="1:17" ht="15.75" thickTop="1">
      <c r="A31" s="1503"/>
      <c r="B31" s="1415"/>
      <c r="C31" s="986"/>
      <c r="D31" s="986"/>
      <c r="E31" s="1325"/>
      <c r="F31" s="1410"/>
      <c r="G31" s="1509"/>
      <c r="H31" s="1410"/>
      <c r="I31" s="846"/>
      <c r="M31" s="993" t="s">
        <v>1744</v>
      </c>
      <c r="N31" s="522"/>
      <c r="O31" s="573">
        <f>SUM(O21:O30)</f>
        <v>-94642933.040000007</v>
      </c>
      <c r="Q31" s="989"/>
    </row>
    <row r="32" spans="1:17" ht="14.25">
      <c r="A32" s="1503"/>
      <c r="B32" s="979"/>
      <c r="C32" s="749"/>
      <c r="D32" s="749"/>
      <c r="E32" s="960"/>
      <c r="F32" s="1409"/>
      <c r="G32" s="1511"/>
      <c r="H32" s="1409"/>
      <c r="I32" s="840"/>
      <c r="M32" s="989"/>
      <c r="N32" s="989"/>
      <c r="O32" s="989"/>
      <c r="Q32" s="989"/>
    </row>
    <row r="33" spans="1:16" s="575" customFormat="1" ht="14.25">
      <c r="A33" s="1510"/>
      <c r="B33" s="1411" t="s">
        <v>492</v>
      </c>
      <c r="C33" s="621"/>
      <c r="D33" s="621"/>
      <c r="E33" s="1325"/>
      <c r="F33" s="1410"/>
      <c r="G33" s="1509"/>
      <c r="H33" s="1410"/>
      <c r="I33" s="846"/>
      <c r="K33" s="981"/>
      <c r="L33" s="978"/>
      <c r="M33" s="989"/>
      <c r="N33" s="989"/>
      <c r="O33" s="989"/>
      <c r="P33" s="981"/>
    </row>
    <row r="34" spans="1:16">
      <c r="A34" s="1503"/>
      <c r="B34" s="979"/>
      <c r="C34" s="749"/>
      <c r="D34" s="749"/>
      <c r="E34" s="960"/>
      <c r="F34" s="1409"/>
      <c r="G34" s="1511"/>
      <c r="H34" s="1409"/>
      <c r="I34" s="840"/>
    </row>
    <row r="35" spans="1:16" s="575" customFormat="1" ht="14.25">
      <c r="A35" s="1510"/>
      <c r="B35" s="1013" t="s">
        <v>3358</v>
      </c>
      <c r="C35" s="994"/>
      <c r="D35" s="1283">
        <f>+'Statement of Financial Position'!J17+'Statement of Financial Position'!J26</f>
        <v>-2134271.0799999991</v>
      </c>
      <c r="E35" s="960"/>
      <c r="F35" s="1409">
        <v>10394498</v>
      </c>
      <c r="G35" s="1511"/>
      <c r="H35" s="1409">
        <f>'Statement of Financial Position'!G26</f>
        <v>1902281</v>
      </c>
      <c r="I35" s="840"/>
      <c r="K35" s="981"/>
      <c r="L35" s="978"/>
      <c r="M35" s="978"/>
      <c r="N35" s="978"/>
      <c r="O35" s="978"/>
      <c r="P35" s="981"/>
    </row>
    <row r="36" spans="1:16" ht="14.25">
      <c r="A36" s="1503"/>
      <c r="B36" s="1013" t="s">
        <v>444</v>
      </c>
      <c r="C36" s="994"/>
      <c r="D36" s="1283">
        <f>'Statement of Financial Position'!J21</f>
        <v>968808.27</v>
      </c>
      <c r="E36" s="960"/>
      <c r="F36" s="1409">
        <v>269406</v>
      </c>
      <c r="G36" s="1511"/>
      <c r="H36" s="1409">
        <f>233611+371</f>
        <v>233982</v>
      </c>
      <c r="I36" s="840"/>
    </row>
    <row r="37" spans="1:16" ht="14.25">
      <c r="A37" s="1503"/>
      <c r="B37" s="1417" t="s">
        <v>3133</v>
      </c>
      <c r="C37" s="1342"/>
      <c r="D37" s="1283">
        <f>'Statement of Financial Position'!J36</f>
        <v>1507829.69</v>
      </c>
      <c r="E37" s="960"/>
      <c r="F37" s="1409">
        <v>0</v>
      </c>
      <c r="G37" s="1511"/>
      <c r="H37" s="1409">
        <v>-2143803</v>
      </c>
      <c r="I37" s="840"/>
      <c r="M37" s="575" t="s">
        <v>1128</v>
      </c>
      <c r="N37" s="571"/>
      <c r="O37" s="571">
        <f>'Statement of Financial Performa'!F26</f>
        <v>92443967.480000004</v>
      </c>
    </row>
    <row r="38" spans="1:16" ht="14.25">
      <c r="A38" s="1503"/>
      <c r="B38" s="1417" t="s">
        <v>2042</v>
      </c>
      <c r="C38" s="1342"/>
      <c r="D38" s="995">
        <f>'Note 11-14'!L82</f>
        <v>4003.5400000000373</v>
      </c>
      <c r="E38" s="960"/>
      <c r="F38" s="1409">
        <v>0</v>
      </c>
      <c r="G38" s="1511"/>
      <c r="H38" s="1409"/>
      <c r="I38" s="840"/>
      <c r="M38" s="582" t="s">
        <v>3597</v>
      </c>
      <c r="N38" s="572"/>
      <c r="O38" s="572"/>
    </row>
    <row r="39" spans="1:16" ht="15">
      <c r="A39" s="1503"/>
      <c r="B39" s="1417" t="s">
        <v>3984</v>
      </c>
      <c r="C39" s="1342"/>
      <c r="D39" s="996">
        <f>'Note 16, 17'!D37</f>
        <v>28802.17</v>
      </c>
      <c r="E39" s="960"/>
      <c r="F39" s="1409">
        <v>0</v>
      </c>
      <c r="G39" s="1511"/>
      <c r="H39" s="1409"/>
      <c r="I39" s="840"/>
      <c r="M39" s="522" t="s">
        <v>2465</v>
      </c>
      <c r="N39" s="850"/>
      <c r="O39" s="850">
        <v>0</v>
      </c>
    </row>
    <row r="40" spans="1:16" ht="15">
      <c r="A40" s="1503"/>
      <c r="B40" s="1417" t="s">
        <v>3802</v>
      </c>
      <c r="C40" s="1342">
        <v>8</v>
      </c>
      <c r="D40" s="483">
        <f>'Notes 2 - 9'!N148-752</f>
        <v>10753378.010000005</v>
      </c>
      <c r="E40" s="960"/>
      <c r="F40" s="1409">
        <v>12336995</v>
      </c>
      <c r="G40" s="1511"/>
      <c r="H40" s="1409"/>
      <c r="I40" s="840"/>
      <c r="M40" s="522" t="s">
        <v>1120</v>
      </c>
      <c r="N40" s="850"/>
      <c r="O40" s="850">
        <v>0</v>
      </c>
    </row>
    <row r="41" spans="1:16" ht="15">
      <c r="A41" s="1503"/>
      <c r="B41" s="1417" t="s">
        <v>2043</v>
      </c>
      <c r="C41" s="1342"/>
      <c r="D41" s="483">
        <f>'Statement of Financial Position'!J42+'Note 16, 17'!L21</f>
        <v>2680303.5199999986</v>
      </c>
      <c r="E41" s="960"/>
      <c r="F41" s="1409">
        <v>1165757</v>
      </c>
      <c r="G41" s="1511"/>
      <c r="H41" s="1409"/>
      <c r="I41" s="840"/>
      <c r="M41" s="522" t="s">
        <v>3598</v>
      </c>
      <c r="N41" s="850"/>
      <c r="O41" s="850">
        <v>-783000</v>
      </c>
    </row>
    <row r="42" spans="1:16" ht="29.25">
      <c r="A42" s="1503"/>
      <c r="B42" s="1418" t="s">
        <v>3803</v>
      </c>
      <c r="C42" s="901"/>
      <c r="D42" s="483">
        <f>'Statement of Financial Position'!J25</f>
        <v>4048928.0399999991</v>
      </c>
      <c r="E42" s="960"/>
      <c r="F42" s="1409">
        <v>1181780</v>
      </c>
      <c r="G42" s="1511"/>
      <c r="H42" s="1409"/>
      <c r="I42" s="840"/>
      <c r="M42" s="522" t="s">
        <v>3599</v>
      </c>
      <c r="N42" s="850"/>
      <c r="O42" s="850">
        <f>-'Statement of Financial Performa'!F13</f>
        <v>-754842.32000000007</v>
      </c>
    </row>
    <row r="43" spans="1:16" ht="14.25">
      <c r="A43" s="1503"/>
      <c r="B43" s="979"/>
      <c r="C43" s="749"/>
      <c r="D43" s="749"/>
      <c r="E43" s="960"/>
      <c r="F43" s="1409">
        <v>0</v>
      </c>
      <c r="G43" s="1511"/>
      <c r="H43" s="1409"/>
      <c r="I43" s="840"/>
      <c r="M43" s="670" t="s">
        <v>3600</v>
      </c>
      <c r="N43" s="657"/>
      <c r="O43" s="991">
        <v>0</v>
      </c>
    </row>
    <row r="44" spans="1:16" ht="15.75" thickBot="1">
      <c r="A44" s="1503"/>
      <c r="B44" s="1413" t="s">
        <v>494</v>
      </c>
      <c r="C44" s="984"/>
      <c r="D44" s="985">
        <f>SUM(D35:D42)</f>
        <v>17857782.160000004</v>
      </c>
      <c r="E44" s="1325"/>
      <c r="F44" s="1414">
        <f>SUM(F35:F42)</f>
        <v>25348436</v>
      </c>
      <c r="G44" s="1509"/>
      <c r="H44" s="1414">
        <f>SUM(H35:H42)</f>
        <v>-7540</v>
      </c>
      <c r="I44" s="846"/>
      <c r="M44" s="522" t="s">
        <v>3602</v>
      </c>
      <c r="N44" s="522"/>
      <c r="O44" s="850">
        <v>0</v>
      </c>
    </row>
    <row r="45" spans="1:16" ht="13.5" thickTop="1">
      <c r="A45" s="1503"/>
      <c r="B45" s="1415"/>
      <c r="C45" s="986"/>
      <c r="D45" s="986"/>
      <c r="E45" s="1325"/>
      <c r="F45" s="1410"/>
      <c r="G45" s="1509"/>
      <c r="H45" s="1410"/>
      <c r="I45" s="846"/>
      <c r="M45" s="669" t="s">
        <v>807</v>
      </c>
      <c r="O45" s="978">
        <v>0</v>
      </c>
    </row>
    <row r="46" spans="1:16" ht="15">
      <c r="A46" s="1503"/>
      <c r="B46" s="1415"/>
      <c r="C46" s="986"/>
      <c r="D46" s="986"/>
      <c r="E46" s="1325"/>
      <c r="F46" s="1410"/>
      <c r="G46" s="1509"/>
      <c r="H46" s="1410"/>
      <c r="I46" s="846"/>
      <c r="M46" s="670" t="s">
        <v>3600</v>
      </c>
      <c r="N46" s="522"/>
      <c r="O46" s="850">
        <v>0</v>
      </c>
    </row>
    <row r="47" spans="1:16">
      <c r="A47" s="1503"/>
      <c r="B47" s="979"/>
      <c r="C47" s="749"/>
      <c r="D47" s="749"/>
      <c r="E47" s="960"/>
      <c r="F47" s="1409"/>
      <c r="G47" s="1511"/>
      <c r="H47" s="1409"/>
      <c r="I47" s="840"/>
      <c r="M47" s="621" t="s">
        <v>2992</v>
      </c>
      <c r="N47" s="575"/>
      <c r="O47" s="574">
        <f>SUM(O37:O46)</f>
        <v>90906125.160000011</v>
      </c>
    </row>
    <row r="48" spans="1:16" ht="15">
      <c r="A48" s="1503"/>
      <c r="B48" s="1419" t="s">
        <v>495</v>
      </c>
      <c r="C48" s="993"/>
      <c r="D48" s="1317">
        <f>+D44+D30+D19</f>
        <v>92699.080000001937</v>
      </c>
      <c r="E48" s="960"/>
      <c r="F48" s="1410">
        <f>+F44+F30+F19</f>
        <v>-3082572.4799999995</v>
      </c>
      <c r="G48" s="1509"/>
      <c r="H48" s="1410">
        <f>+H44+H30+H19</f>
        <v>1852201.7300000042</v>
      </c>
      <c r="I48" s="846"/>
      <c r="K48" s="978" t="s">
        <v>45</v>
      </c>
      <c r="M48" s="522"/>
      <c r="N48" s="522"/>
      <c r="O48" s="522" t="s">
        <v>45</v>
      </c>
    </row>
    <row r="49" spans="1:15">
      <c r="A49" s="1510"/>
      <c r="B49" s="979"/>
      <c r="C49" s="749"/>
      <c r="D49" s="749"/>
      <c r="E49" s="960"/>
      <c r="F49" s="1409"/>
      <c r="G49" s="1511"/>
      <c r="H49" s="1409"/>
      <c r="I49" s="840"/>
      <c r="O49" s="978" t="s">
        <v>45</v>
      </c>
    </row>
    <row r="50" spans="1:15" ht="14.25">
      <c r="A50" s="1510"/>
      <c r="B50" s="1013" t="s">
        <v>496</v>
      </c>
      <c r="C50" s="994"/>
      <c r="D50" s="997">
        <f>+F51</f>
        <v>1013275.32</v>
      </c>
      <c r="E50" s="960"/>
      <c r="F50" s="1420">
        <f>+H51</f>
        <v>4095847.4699999997</v>
      </c>
      <c r="G50" s="1509"/>
      <c r="H50" s="1420">
        <v>2243646</v>
      </c>
      <c r="I50" s="840"/>
    </row>
    <row r="51" spans="1:15" ht="15" thickBot="1">
      <c r="A51" s="1510"/>
      <c r="B51" s="1013" t="s">
        <v>497</v>
      </c>
      <c r="C51" s="994">
        <v>17</v>
      </c>
      <c r="D51" s="998">
        <f>+'Statement of Financial Position'!C45</f>
        <v>1105974.17</v>
      </c>
      <c r="E51" s="960"/>
      <c r="F51" s="1518">
        <f>+'Statement of Financial Position'!E45</f>
        <v>1013275.32</v>
      </c>
      <c r="G51" s="1509"/>
      <c r="H51" s="1420">
        <f>+'Statement of Financial Position'!G45</f>
        <v>4095847.4699999997</v>
      </c>
      <c r="I51" s="840"/>
    </row>
    <row r="52" spans="1:15" ht="14.25" thickTop="1" thickBot="1">
      <c r="A52" s="1512"/>
      <c r="B52" s="1513"/>
      <c r="C52" s="1514"/>
      <c r="D52" s="1514"/>
      <c r="E52" s="1515"/>
      <c r="F52" s="1519"/>
      <c r="G52" s="1516"/>
      <c r="H52" s="1421"/>
      <c r="I52" s="847"/>
    </row>
    <row r="53" spans="1:15" ht="13.5" thickTop="1"/>
    <row r="54" spans="1:15">
      <c r="D54" s="978">
        <f>+D50-D51</f>
        <v>-92698.849999999977</v>
      </c>
      <c r="F54" s="978">
        <f>+F50-F51</f>
        <v>3082572.15</v>
      </c>
      <c r="H54" s="978">
        <f>+H50-H51</f>
        <v>-1852201.4699999997</v>
      </c>
    </row>
    <row r="56" spans="1:15">
      <c r="D56" s="978">
        <f>+D48+D54</f>
        <v>0.23000000196043402</v>
      </c>
      <c r="F56" s="978">
        <f>+F48+F54</f>
        <v>-0.32999999960884452</v>
      </c>
      <c r="H56" s="978">
        <f>+H48+H54</f>
        <v>0.26000000443309546</v>
      </c>
      <c r="K56" s="978" t="s">
        <v>45</v>
      </c>
    </row>
    <row r="57" spans="1:15">
      <c r="B57" s="1001"/>
      <c r="C57" s="1001"/>
      <c r="D57" s="1001"/>
      <c r="F57" s="981"/>
      <c r="H57" s="981"/>
    </row>
    <row r="58" spans="1:15">
      <c r="G58" s="981"/>
      <c r="H58" s="981"/>
    </row>
    <row r="59" spans="1:15">
      <c r="B59" s="1001"/>
      <c r="C59" s="1001"/>
      <c r="D59" s="1001"/>
    </row>
    <row r="61" spans="1:15">
      <c r="A61" s="1002"/>
    </row>
    <row r="62" spans="1:15">
      <c r="A62" s="1003"/>
      <c r="D62" s="838"/>
    </row>
    <row r="63" spans="1:15">
      <c r="A63" s="1003"/>
    </row>
    <row r="64" spans="1:15">
      <c r="A64" s="1003"/>
    </row>
    <row r="65" spans="1:17">
      <c r="A65" s="1003"/>
    </row>
    <row r="66" spans="1:17">
      <c r="A66" s="1003"/>
    </row>
    <row r="70" spans="1:17">
      <c r="B70" s="575"/>
      <c r="C70" s="575"/>
      <c r="D70" s="575"/>
      <c r="E70" s="790"/>
      <c r="F70" s="791"/>
      <c r="G70" s="983"/>
      <c r="H70" s="1004"/>
      <c r="I70" s="1000"/>
      <c r="J70" s="1000"/>
    </row>
    <row r="71" spans="1:17">
      <c r="B71" s="575"/>
      <c r="C71" s="575"/>
      <c r="D71" s="575"/>
      <c r="E71" s="790"/>
      <c r="F71" s="981"/>
      <c r="I71" s="1005"/>
      <c r="J71" s="1005"/>
    </row>
    <row r="72" spans="1:17">
      <c r="B72" s="575"/>
      <c r="C72" s="575"/>
      <c r="D72" s="575"/>
      <c r="E72" s="790"/>
      <c r="F72" s="981"/>
      <c r="I72" s="1005"/>
      <c r="J72" s="1005"/>
      <c r="Q72" s="838"/>
    </row>
    <row r="73" spans="1:17">
      <c r="B73" s="575"/>
      <c r="C73" s="575"/>
      <c r="D73" s="575"/>
      <c r="E73" s="790"/>
      <c r="F73" s="981"/>
      <c r="I73" s="1005"/>
      <c r="J73" s="1005"/>
      <c r="Q73" s="838"/>
    </row>
    <row r="74" spans="1:17">
      <c r="B74" s="575"/>
      <c r="C74" s="575"/>
      <c r="D74" s="575"/>
      <c r="E74" s="790"/>
      <c r="F74" s="981"/>
      <c r="I74" s="1005"/>
      <c r="J74" s="1005"/>
      <c r="Q74" s="838"/>
    </row>
    <row r="75" spans="1:17">
      <c r="B75" s="575"/>
      <c r="C75" s="575"/>
      <c r="D75" s="575"/>
      <c r="E75" s="790"/>
      <c r="F75" s="981"/>
      <c r="I75" s="1005"/>
      <c r="J75" s="1005"/>
    </row>
    <row r="76" spans="1:17">
      <c r="B76" s="575"/>
      <c r="C76" s="575"/>
      <c r="D76" s="575"/>
      <c r="E76" s="790"/>
      <c r="F76" s="981"/>
      <c r="I76" s="1005"/>
      <c r="J76" s="1005"/>
    </row>
    <row r="77" spans="1:17">
      <c r="B77" s="575"/>
      <c r="C77" s="575"/>
      <c r="D77" s="575"/>
      <c r="E77" s="790"/>
      <c r="F77" s="981"/>
      <c r="I77" s="1005"/>
      <c r="J77" s="1005"/>
    </row>
    <row r="78" spans="1:17" ht="13.5" thickBot="1">
      <c r="B78" s="575"/>
      <c r="C78" s="575"/>
      <c r="D78" s="575"/>
      <c r="E78" s="790"/>
      <c r="F78" s="758"/>
      <c r="H78" s="758"/>
      <c r="I78" s="1005"/>
      <c r="J78" s="1005"/>
      <c r="K78" s="622"/>
      <c r="L78" s="622"/>
    </row>
    <row r="79" spans="1:17" ht="13.5" thickTop="1">
      <c r="B79" s="575"/>
      <c r="C79" s="575"/>
      <c r="D79" s="575"/>
      <c r="E79" s="790"/>
      <c r="F79" s="981"/>
      <c r="I79" s="1005"/>
      <c r="J79" s="1005"/>
    </row>
    <row r="80" spans="1:17">
      <c r="B80" s="575"/>
      <c r="C80" s="575"/>
      <c r="D80" s="575"/>
      <c r="E80" s="790"/>
      <c r="F80" s="981"/>
      <c r="I80" s="1005"/>
      <c r="J80" s="1005"/>
    </row>
    <row r="81" spans="2:10">
      <c r="B81" s="575"/>
      <c r="C81" s="575"/>
      <c r="D81" s="575"/>
      <c r="E81" s="790"/>
      <c r="F81" s="981"/>
      <c r="I81" s="1005"/>
      <c r="J81" s="1005"/>
    </row>
    <row r="82" spans="2:10">
      <c r="B82" s="575"/>
      <c r="C82" s="575"/>
      <c r="D82" s="575"/>
      <c r="E82" s="790"/>
      <c r="F82" s="981"/>
      <c r="I82" s="1005"/>
      <c r="J82" s="1005"/>
    </row>
    <row r="83" spans="2:10">
      <c r="B83" s="575"/>
      <c r="C83" s="575"/>
      <c r="D83" s="575"/>
      <c r="E83" s="790"/>
      <c r="F83" s="981"/>
      <c r="I83" s="1005"/>
      <c r="J83" s="1005"/>
    </row>
    <row r="84" spans="2:10">
      <c r="B84" s="575"/>
      <c r="C84" s="575"/>
      <c r="D84" s="575"/>
      <c r="E84" s="790"/>
      <c r="F84" s="981"/>
      <c r="I84" s="1005"/>
      <c r="J84" s="1005"/>
    </row>
    <row r="85" spans="2:10">
      <c r="B85" s="575"/>
      <c r="C85" s="575"/>
      <c r="D85" s="575"/>
      <c r="E85" s="790"/>
      <c r="F85" s="981"/>
      <c r="I85" s="1005"/>
      <c r="J85" s="1005"/>
    </row>
    <row r="86" spans="2:10">
      <c r="B86" s="575"/>
      <c r="C86" s="575"/>
      <c r="D86" s="575"/>
      <c r="E86" s="790"/>
      <c r="F86" s="981"/>
      <c r="I86" s="1005"/>
      <c r="J86" s="1005"/>
    </row>
    <row r="87" spans="2:10">
      <c r="B87" s="575"/>
      <c r="C87" s="575"/>
      <c r="D87" s="575"/>
      <c r="E87" s="790"/>
      <c r="F87" s="981"/>
      <c r="I87" s="1005"/>
      <c r="J87" s="1005"/>
    </row>
    <row r="88" spans="2:10">
      <c r="B88" s="575"/>
      <c r="C88" s="575"/>
      <c r="D88" s="575"/>
      <c r="E88" s="790"/>
      <c r="F88" s="981"/>
      <c r="I88" s="1005"/>
      <c r="J88" s="1005"/>
    </row>
    <row r="89" spans="2:10">
      <c r="B89" s="575"/>
      <c r="C89" s="575"/>
      <c r="D89" s="575"/>
      <c r="E89" s="790"/>
      <c r="F89" s="981"/>
      <c r="I89" s="1005"/>
      <c r="J89" s="1005"/>
    </row>
    <row r="90" spans="2:10">
      <c r="B90" s="575"/>
      <c r="C90" s="575"/>
      <c r="D90" s="575"/>
      <c r="E90" s="790"/>
      <c r="F90" s="981"/>
      <c r="I90" s="1005"/>
      <c r="J90" s="1005"/>
    </row>
    <row r="91" spans="2:10">
      <c r="B91" s="575"/>
      <c r="C91" s="575"/>
      <c r="D91" s="575"/>
      <c r="E91" s="790"/>
      <c r="F91" s="981"/>
      <c r="I91" s="1005"/>
      <c r="J91" s="1005"/>
    </row>
    <row r="92" spans="2:10">
      <c r="B92" s="575"/>
      <c r="C92" s="575"/>
      <c r="D92" s="575"/>
      <c r="E92" s="790"/>
      <c r="F92" s="981"/>
      <c r="I92" s="1005"/>
      <c r="J92" s="1005"/>
    </row>
    <row r="93" spans="2:10" ht="13.5" thickBot="1">
      <c r="B93" s="575"/>
      <c r="C93" s="575"/>
      <c r="D93" s="575"/>
      <c r="E93" s="790"/>
      <c r="F93" s="758"/>
      <c r="H93" s="758"/>
      <c r="I93" s="1005"/>
      <c r="J93" s="1005"/>
    </row>
    <row r="94" spans="2:10" ht="13.5" thickTop="1">
      <c r="B94" s="575"/>
      <c r="C94" s="575"/>
      <c r="D94" s="575"/>
      <c r="E94" s="790"/>
      <c r="F94" s="981"/>
      <c r="I94" s="1005"/>
      <c r="J94" s="1005"/>
    </row>
    <row r="95" spans="2:10">
      <c r="B95" s="575"/>
      <c r="C95" s="575"/>
      <c r="D95" s="575"/>
      <c r="E95" s="790"/>
      <c r="F95" s="981"/>
      <c r="H95" s="981"/>
      <c r="I95" s="1005"/>
      <c r="J95" s="1005"/>
    </row>
    <row r="96" spans="2:10">
      <c r="B96" s="575"/>
      <c r="C96" s="575"/>
      <c r="D96" s="575"/>
      <c r="E96" s="790"/>
      <c r="F96" s="981"/>
      <c r="H96" s="981"/>
      <c r="I96" s="1005"/>
      <c r="J96" s="1005"/>
    </row>
    <row r="97" spans="2:6">
      <c r="B97" s="575"/>
      <c r="C97" s="575"/>
      <c r="D97" s="575"/>
      <c r="E97" s="790"/>
      <c r="F97" s="981"/>
    </row>
    <row r="98" spans="2:6">
      <c r="B98" s="575"/>
      <c r="C98" s="575"/>
      <c r="D98" s="575"/>
      <c r="E98" s="790"/>
      <c r="F98" s="981"/>
    </row>
    <row r="99" spans="2:6">
      <c r="B99" s="575"/>
      <c r="C99" s="575"/>
      <c r="D99" s="575"/>
      <c r="E99" s="790"/>
      <c r="F99" s="981"/>
    </row>
    <row r="100" spans="2:6">
      <c r="B100" s="575"/>
      <c r="C100" s="575"/>
      <c r="D100" s="575"/>
      <c r="E100" s="790"/>
      <c r="F100" s="981"/>
    </row>
    <row r="101" spans="2:6">
      <c r="B101" s="575"/>
      <c r="C101" s="575"/>
      <c r="D101" s="575"/>
      <c r="E101" s="790"/>
      <c r="F101" s="981"/>
    </row>
    <row r="102" spans="2:6">
      <c r="B102" s="575"/>
      <c r="C102" s="575"/>
      <c r="D102" s="575"/>
      <c r="E102" s="790"/>
      <c r="F102" s="1006"/>
    </row>
    <row r="103" spans="2:6">
      <c r="B103" s="575"/>
      <c r="C103" s="575"/>
      <c r="D103" s="575"/>
      <c r="E103" s="790"/>
      <c r="F103" s="1007"/>
    </row>
    <row r="104" spans="2:6">
      <c r="B104" s="575"/>
      <c r="C104" s="575"/>
      <c r="D104" s="575"/>
      <c r="E104" s="790"/>
      <c r="F104" s="1008"/>
    </row>
    <row r="105" spans="2:6">
      <c r="B105" s="575"/>
      <c r="C105" s="575"/>
      <c r="D105" s="575"/>
      <c r="E105" s="790"/>
      <c r="F105" s="981"/>
    </row>
    <row r="106" spans="2:6">
      <c r="B106" s="575"/>
      <c r="C106" s="575"/>
      <c r="D106" s="575"/>
      <c r="E106" s="790"/>
      <c r="F106" s="981"/>
    </row>
    <row r="107" spans="2:6">
      <c r="B107" s="575"/>
      <c r="C107" s="575"/>
      <c r="D107" s="575"/>
      <c r="E107" s="790"/>
      <c r="F107" s="1006"/>
    </row>
    <row r="108" spans="2:6">
      <c r="B108" s="575"/>
      <c r="C108" s="575"/>
      <c r="D108" s="575"/>
      <c r="E108" s="790"/>
      <c r="F108" s="1008"/>
    </row>
    <row r="109" spans="2:6">
      <c r="B109" s="575"/>
      <c r="C109" s="575"/>
      <c r="D109" s="575"/>
      <c r="E109" s="790"/>
      <c r="F109" s="981"/>
    </row>
    <row r="110" spans="2:6">
      <c r="B110" s="575"/>
      <c r="C110" s="575"/>
      <c r="D110" s="575"/>
      <c r="E110" s="790"/>
      <c r="F110" s="981"/>
    </row>
    <row r="111" spans="2:6">
      <c r="B111" s="575"/>
      <c r="C111" s="575"/>
      <c r="D111" s="575"/>
      <c r="E111" s="790"/>
      <c r="F111" s="981"/>
    </row>
    <row r="112" spans="2:6">
      <c r="B112" s="575"/>
      <c r="C112" s="575"/>
      <c r="D112" s="575"/>
      <c r="E112" s="790"/>
      <c r="F112" s="981"/>
    </row>
    <row r="125" spans="7:7">
      <c r="G125" s="978">
        <v>5253981.1399999997</v>
      </c>
    </row>
  </sheetData>
  <phoneticPr fontId="0" type="noConversion"/>
  <printOptions horizontalCentered="1"/>
  <pageMargins left="0.6692913385826772" right="0.39370078740157483" top="0.98425196850393704" bottom="0.98425196850393704" header="0.51181102362204722" footer="0.51181102362204722"/>
  <pageSetup scale="89" orientation="portrait" r:id="rId1"/>
  <headerFooter alignWithMargins="0">
    <oddHeader>&amp;C FINANCIAL STATEMENTS: MUSINA LOCAL MUNICIPALITY</oddHeader>
    <oddFooter>&amp;RPage &amp;P</oddFooter>
  </headerFooter>
</worksheet>
</file>

<file path=xl/worksheets/sheet8.xml><?xml version="1.0" encoding="utf-8"?>
<worksheet xmlns="http://schemas.openxmlformats.org/spreadsheetml/2006/main" xmlns:r="http://schemas.openxmlformats.org/officeDocument/2006/relationships">
  <sheetPr>
    <pageSetUpPr fitToPage="1"/>
  </sheetPr>
  <dimension ref="A1:G125"/>
  <sheetViews>
    <sheetView tabSelected="1" view="pageBreakPreview" topLeftCell="A38" zoomScaleSheetLayoutView="100" workbookViewId="0">
      <selection activeCell="B43" sqref="B43"/>
    </sheetView>
  </sheetViews>
  <sheetFormatPr defaultRowHeight="12.75"/>
  <cols>
    <col min="1" max="1" width="42.42578125" style="786" customWidth="1"/>
    <col min="2" max="2" width="14.42578125" style="786" customWidth="1"/>
    <col min="3" max="3" width="19.140625" style="787" customWidth="1"/>
    <col min="4" max="4" width="17.28515625" style="787" bestFit="1" customWidth="1"/>
    <col min="5" max="5" width="14.5703125" style="695" bestFit="1" customWidth="1"/>
    <col min="6" max="6" width="17.42578125" style="695" bestFit="1" customWidth="1"/>
    <col min="7" max="7" width="17.5703125" style="695" bestFit="1" customWidth="1"/>
    <col min="8" max="16384" width="9.140625" style="786"/>
  </cols>
  <sheetData>
    <row r="1" spans="1:7" ht="16.5" thickTop="1">
      <c r="A1" s="1803" t="s">
        <v>1741</v>
      </c>
      <c r="B1" s="1804"/>
      <c r="C1" s="1804"/>
      <c r="D1" s="1805"/>
      <c r="E1" s="972"/>
      <c r="F1" s="972"/>
      <c r="G1" s="972"/>
    </row>
    <row r="2" spans="1:7">
      <c r="A2" s="1806" t="s">
        <v>3483</v>
      </c>
      <c r="B2" s="1807"/>
      <c r="C2" s="1807"/>
      <c r="D2" s="1808"/>
      <c r="E2" s="878"/>
      <c r="F2" s="878"/>
      <c r="G2" s="878"/>
    </row>
    <row r="3" spans="1:7">
      <c r="A3" s="1520"/>
      <c r="B3" s="794"/>
      <c r="C3" s="973"/>
      <c r="D3" s="1521"/>
      <c r="E3" s="848"/>
      <c r="F3" s="848"/>
      <c r="G3" s="848"/>
    </row>
    <row r="4" spans="1:7" s="670" customFormat="1" ht="57.75" customHeight="1">
      <c r="A4" s="1522"/>
      <c r="B4" s="691" t="s">
        <v>1738</v>
      </c>
      <c r="C4" s="691" t="s">
        <v>1739</v>
      </c>
      <c r="D4" s="1523" t="s">
        <v>1740</v>
      </c>
      <c r="E4" s="685"/>
      <c r="F4" s="685"/>
      <c r="G4" s="685"/>
    </row>
    <row r="5" spans="1:7">
      <c r="A5" s="1524"/>
      <c r="B5" s="974" t="s">
        <v>2422</v>
      </c>
      <c r="C5" s="974" t="s">
        <v>2422</v>
      </c>
      <c r="D5" s="1525" t="s">
        <v>2422</v>
      </c>
    </row>
    <row r="6" spans="1:7">
      <c r="A6" s="1526">
        <v>2008</v>
      </c>
      <c r="B6" s="802"/>
      <c r="C6" s="802"/>
      <c r="D6" s="1527"/>
    </row>
    <row r="7" spans="1:7" s="794" customFormat="1">
      <c r="A7" s="1528" t="s">
        <v>2535</v>
      </c>
      <c r="B7" s="889">
        <v>0</v>
      </c>
      <c r="C7" s="889">
        <v>16257460</v>
      </c>
      <c r="D7" s="1529">
        <v>16257460</v>
      </c>
      <c r="E7" s="878" t="s">
        <v>45</v>
      </c>
      <c r="F7" s="878"/>
      <c r="G7" s="878"/>
    </row>
    <row r="8" spans="1:7">
      <c r="A8" s="1530" t="s">
        <v>3365</v>
      </c>
      <c r="B8" s="802">
        <v>0</v>
      </c>
      <c r="C8" s="802">
        <v>1023150</v>
      </c>
      <c r="D8" s="1527">
        <v>1023150</v>
      </c>
    </row>
    <row r="9" spans="1:7">
      <c r="A9" s="1530" t="s">
        <v>2234</v>
      </c>
      <c r="B9" s="802">
        <v>0</v>
      </c>
      <c r="C9" s="802">
        <v>3439197</v>
      </c>
      <c r="D9" s="1527">
        <v>3439197</v>
      </c>
    </row>
    <row r="10" spans="1:7">
      <c r="A10" s="1530" t="s">
        <v>3366</v>
      </c>
      <c r="B10" s="802">
        <v>0</v>
      </c>
      <c r="C10" s="802">
        <v>640</v>
      </c>
      <c r="D10" s="1527">
        <v>640</v>
      </c>
    </row>
    <row r="11" spans="1:7" s="794" customFormat="1">
      <c r="A11" s="1528" t="s">
        <v>2536</v>
      </c>
      <c r="B11" s="887">
        <f>SUM(B7:B10)</f>
        <v>0</v>
      </c>
      <c r="C11" s="887">
        <f>SUM(C7:C10)</f>
        <v>20720447</v>
      </c>
      <c r="D11" s="1531">
        <f>SUM(D7:D10)</f>
        <v>20720447</v>
      </c>
      <c r="G11" s="878"/>
    </row>
    <row r="12" spans="1:7">
      <c r="A12" s="1532" t="s">
        <v>2537</v>
      </c>
      <c r="B12" s="802"/>
      <c r="C12" s="802">
        <v>10925289</v>
      </c>
      <c r="D12" s="1527">
        <f>SUM(C12:C12)</f>
        <v>10925289</v>
      </c>
      <c r="E12" s="878"/>
    </row>
    <row r="13" spans="1:7" hidden="1">
      <c r="A13" s="1532" t="s">
        <v>2538</v>
      </c>
      <c r="B13" s="802"/>
      <c r="C13" s="802">
        <v>0</v>
      </c>
      <c r="D13" s="1527">
        <v>0</v>
      </c>
    </row>
    <row r="14" spans="1:7" hidden="1">
      <c r="A14" s="1532" t="s">
        <v>673</v>
      </c>
      <c r="B14" s="802"/>
      <c r="C14" s="802">
        <v>0</v>
      </c>
      <c r="D14" s="1527"/>
    </row>
    <row r="15" spans="1:7" hidden="1">
      <c r="A15" s="1532" t="s">
        <v>3366</v>
      </c>
      <c r="B15" s="802"/>
      <c r="C15" s="802">
        <v>0</v>
      </c>
      <c r="D15" s="1527"/>
    </row>
    <row r="16" spans="1:7">
      <c r="A16" s="1532" t="s">
        <v>1065</v>
      </c>
      <c r="B16" s="802"/>
      <c r="C16" s="802">
        <v>-1023150</v>
      </c>
      <c r="D16" s="1527">
        <v>-1023150</v>
      </c>
    </row>
    <row r="17" spans="1:7">
      <c r="A17" s="1532" t="s">
        <v>682</v>
      </c>
      <c r="B17" s="802"/>
      <c r="C17" s="802">
        <v>-1983188</v>
      </c>
      <c r="D17" s="1527">
        <f>SUM(C17:C17)</f>
        <v>-1983188</v>
      </c>
    </row>
    <row r="18" spans="1:7">
      <c r="A18" s="1532" t="s">
        <v>1066</v>
      </c>
      <c r="B18" s="802"/>
      <c r="C18" s="802">
        <v>-199737</v>
      </c>
      <c r="D18" s="1527">
        <f>SUM(C18:C18)</f>
        <v>-199737</v>
      </c>
    </row>
    <row r="19" spans="1:7">
      <c r="A19" s="1532" t="s">
        <v>2622</v>
      </c>
      <c r="B19" s="802"/>
      <c r="C19" s="802">
        <v>43480</v>
      </c>
      <c r="D19" s="1527">
        <f>SUM(C19:C19)</f>
        <v>43480</v>
      </c>
    </row>
    <row r="20" spans="1:7" hidden="1">
      <c r="A20" s="1532" t="s">
        <v>2622</v>
      </c>
      <c r="B20" s="802"/>
      <c r="C20" s="802">
        <v>0</v>
      </c>
      <c r="D20" s="1527">
        <v>0</v>
      </c>
    </row>
    <row r="21" spans="1:7">
      <c r="A21" s="1532" t="s">
        <v>1064</v>
      </c>
      <c r="B21" s="802">
        <v>82528503</v>
      </c>
      <c r="C21" s="802">
        <v>0</v>
      </c>
      <c r="D21" s="1527">
        <v>82528503</v>
      </c>
    </row>
    <row r="22" spans="1:7">
      <c r="A22" s="1532" t="s">
        <v>2540</v>
      </c>
      <c r="B22" s="802"/>
      <c r="C22" s="802">
        <v>0</v>
      </c>
      <c r="D22" s="1527">
        <v>0</v>
      </c>
    </row>
    <row r="23" spans="1:7" s="794" customFormat="1" ht="13.5" thickBot="1">
      <c r="A23" s="1528" t="s">
        <v>2986</v>
      </c>
      <c r="B23" s="975">
        <f>SUM(B11:B22)</f>
        <v>82528503</v>
      </c>
      <c r="C23" s="975">
        <f>SUM(C11:C22)</f>
        <v>28483141</v>
      </c>
      <c r="D23" s="1533">
        <f>SUM(D11:D22)</f>
        <v>111011644</v>
      </c>
      <c r="E23" s="878"/>
      <c r="F23" s="878"/>
      <c r="G23" s="878"/>
    </row>
    <row r="24" spans="1:7" ht="13.5" thickTop="1">
      <c r="A24" s="1528"/>
      <c r="B24" s="802"/>
      <c r="C24" s="802"/>
      <c r="D24" s="1527"/>
    </row>
    <row r="25" spans="1:7">
      <c r="A25" s="1526">
        <v>2009</v>
      </c>
      <c r="B25" s="802"/>
      <c r="C25" s="802"/>
      <c r="D25" s="1527"/>
    </row>
    <row r="26" spans="1:7">
      <c r="A26" s="1532" t="s">
        <v>3406</v>
      </c>
      <c r="B26" s="802">
        <v>0</v>
      </c>
      <c r="C26" s="802">
        <v>0</v>
      </c>
      <c r="D26" s="1527">
        <f>SUM(C26:C26)</f>
        <v>0</v>
      </c>
    </row>
    <row r="27" spans="1:7">
      <c r="A27" s="1532" t="s">
        <v>2541</v>
      </c>
      <c r="B27" s="802">
        <v>0</v>
      </c>
      <c r="C27" s="802">
        <v>0</v>
      </c>
      <c r="D27" s="1527">
        <f>SUM(C27:C27)</f>
        <v>0</v>
      </c>
    </row>
    <row r="28" spans="1:7" ht="13.5" thickBot="1">
      <c r="A28" s="1528" t="s">
        <v>2536</v>
      </c>
      <c r="B28" s="975">
        <f>SUM(B23:B27)</f>
        <v>82528503</v>
      </c>
      <c r="C28" s="975">
        <f>SUM(C23:C27)</f>
        <v>28483141</v>
      </c>
      <c r="D28" s="1533">
        <f>SUM(D23:D27)</f>
        <v>111011644</v>
      </c>
      <c r="E28" s="795"/>
    </row>
    <row r="29" spans="1:7" ht="13.5" thickTop="1">
      <c r="A29" s="1534" t="s">
        <v>2537</v>
      </c>
      <c r="B29" s="802">
        <v>0</v>
      </c>
      <c r="C29" s="802">
        <f>'Statement of Financial Performa'!H61</f>
        <v>76525048.929999992</v>
      </c>
      <c r="D29" s="1527">
        <f>SUM(C29:C29)</f>
        <v>76525048.929999992</v>
      </c>
      <c r="E29" s="787"/>
    </row>
    <row r="30" spans="1:7">
      <c r="A30" s="1534" t="s">
        <v>3409</v>
      </c>
      <c r="B30" s="802">
        <v>0</v>
      </c>
      <c r="C30" s="802">
        <v>-1488298.77</v>
      </c>
      <c r="D30" s="1527">
        <v>-1488298.77</v>
      </c>
    </row>
    <row r="31" spans="1:7" hidden="1">
      <c r="A31" s="1534" t="s">
        <v>2993</v>
      </c>
      <c r="B31" s="802">
        <v>0</v>
      </c>
      <c r="C31" s="802">
        <v>0</v>
      </c>
      <c r="D31" s="1527">
        <f>SUM(C31:C31)</f>
        <v>0</v>
      </c>
    </row>
    <row r="32" spans="1:7">
      <c r="A32" s="1534" t="s">
        <v>2538</v>
      </c>
      <c r="B32" s="802">
        <v>0</v>
      </c>
      <c r="C32" s="802">
        <v>7237306.0499999998</v>
      </c>
      <c r="D32" s="1527">
        <v>7237306</v>
      </c>
    </row>
    <row r="33" spans="1:6" ht="25.5">
      <c r="A33" s="1535" t="s">
        <v>3413</v>
      </c>
      <c r="B33" s="802">
        <v>0</v>
      </c>
      <c r="C33" s="802">
        <v>-7237306.0499999998</v>
      </c>
      <c r="D33" s="1527">
        <v>-7237306</v>
      </c>
    </row>
    <row r="34" spans="1:6" hidden="1">
      <c r="A34" s="1534" t="s">
        <v>2994</v>
      </c>
      <c r="B34" s="802">
        <v>0</v>
      </c>
      <c r="C34" s="802">
        <v>0</v>
      </c>
      <c r="D34" s="1527">
        <f>SUM(C34:C34)</f>
        <v>0</v>
      </c>
    </row>
    <row r="35" spans="1:6" hidden="1">
      <c r="A35" s="1534" t="s">
        <v>2996</v>
      </c>
      <c r="B35" s="802">
        <v>0</v>
      </c>
      <c r="C35" s="802">
        <v>0</v>
      </c>
      <c r="D35" s="1527">
        <f>SUM(C35:C35)</f>
        <v>0</v>
      </c>
    </row>
    <row r="36" spans="1:6" hidden="1">
      <c r="A36" s="1534" t="s">
        <v>2995</v>
      </c>
      <c r="B36" s="802">
        <v>0</v>
      </c>
      <c r="C36" s="802">
        <v>0</v>
      </c>
      <c r="D36" s="1527">
        <f>SUM(C36:C36)</f>
        <v>0</v>
      </c>
    </row>
    <row r="37" spans="1:6" hidden="1">
      <c r="A37" s="1534" t="s">
        <v>2540</v>
      </c>
      <c r="B37" s="802">
        <v>0</v>
      </c>
      <c r="C37" s="802">
        <v>0</v>
      </c>
      <c r="D37" s="1527">
        <f>SUM(C37:C37)</f>
        <v>0</v>
      </c>
    </row>
    <row r="38" spans="1:6">
      <c r="A38" s="1536" t="s">
        <v>2677</v>
      </c>
      <c r="B38" s="887">
        <f>SUM(B28:B37)</f>
        <v>82528503</v>
      </c>
      <c r="C38" s="887">
        <f>SUM(C28:C37)+2</f>
        <v>103519893.16</v>
      </c>
      <c r="D38" s="1531">
        <f>SUM(D28:D37)</f>
        <v>186048394.16</v>
      </c>
    </row>
    <row r="39" spans="1:6">
      <c r="A39" s="1537"/>
      <c r="D39" s="1538"/>
    </row>
    <row r="40" spans="1:6">
      <c r="A40" s="1537"/>
      <c r="D40" s="1538" t="s">
        <v>45</v>
      </c>
    </row>
    <row r="41" spans="1:6">
      <c r="A41" s="1526">
        <v>2010</v>
      </c>
      <c r="B41" s="800"/>
      <c r="C41" s="800"/>
      <c r="D41" s="1539"/>
    </row>
    <row r="42" spans="1:6">
      <c r="A42" s="1532" t="s">
        <v>3406</v>
      </c>
      <c r="B42" s="802">
        <v>0</v>
      </c>
      <c r="C42" s="802">
        <v>0</v>
      </c>
      <c r="D42" s="1527">
        <f>SUM(C42:C42)</f>
        <v>0</v>
      </c>
    </row>
    <row r="43" spans="1:6">
      <c r="A43" s="1532" t="s">
        <v>2541</v>
      </c>
      <c r="B43" s="802">
        <v>0</v>
      </c>
      <c r="C43" s="802">
        <v>0</v>
      </c>
      <c r="D43" s="1527">
        <f>SUM(C43:C43)</f>
        <v>0</v>
      </c>
    </row>
    <row r="44" spans="1:6" ht="13.5" thickBot="1">
      <c r="A44" s="1528" t="s">
        <v>2536</v>
      </c>
      <c r="B44" s="975">
        <v>82528503</v>
      </c>
      <c r="C44" s="975">
        <f>C38</f>
        <v>103519893.16</v>
      </c>
      <c r="D44" s="1533">
        <f>D38</f>
        <v>186048394.16</v>
      </c>
    </row>
    <row r="45" spans="1:6" ht="13.5" thickTop="1">
      <c r="A45" s="1534" t="s">
        <v>2537</v>
      </c>
      <c r="B45" s="802">
        <v>0</v>
      </c>
      <c r="C45" s="802">
        <f>'Statement of Financial Performa'!F61</f>
        <v>-14841360.129999995</v>
      </c>
      <c r="D45" s="1527">
        <f>SUM(C45:C45)</f>
        <v>-14841360.129999995</v>
      </c>
    </row>
    <row r="46" spans="1:6">
      <c r="A46" s="1534" t="s">
        <v>3409</v>
      </c>
      <c r="B46" s="802">
        <v>-18669220</v>
      </c>
      <c r="C46" s="802">
        <f>'Notes 2 - 9'!D48</f>
        <v>3752007.5699999994</v>
      </c>
      <c r="D46" s="1527">
        <f>SUM(B46:C46)</f>
        <v>-14917212.43</v>
      </c>
    </row>
    <row r="47" spans="1:6">
      <c r="A47" s="1534" t="s">
        <v>2993</v>
      </c>
      <c r="B47" s="802">
        <v>0</v>
      </c>
      <c r="C47" s="802">
        <v>5905737</v>
      </c>
      <c r="D47" s="1527">
        <f>SUM(C47)</f>
        <v>5905737</v>
      </c>
      <c r="F47" s="695">
        <v>0</v>
      </c>
    </row>
    <row r="48" spans="1:6">
      <c r="A48" s="1534" t="s">
        <v>2538</v>
      </c>
      <c r="B48" s="802">
        <v>0</v>
      </c>
      <c r="C48" s="802">
        <v>0</v>
      </c>
      <c r="D48" s="1527">
        <v>0</v>
      </c>
    </row>
    <row r="49" spans="1:4">
      <c r="A49" s="1472" t="s">
        <v>3905</v>
      </c>
      <c r="B49" s="802">
        <v>0</v>
      </c>
      <c r="C49" s="942">
        <f>'Notes 2 - 9'!D49</f>
        <v>-6240000</v>
      </c>
      <c r="D49" s="1540">
        <f>SUM(B49:C49)</f>
        <v>-6240000</v>
      </c>
    </row>
    <row r="50" spans="1:4">
      <c r="A50" s="1541" t="s">
        <v>3903</v>
      </c>
      <c r="B50" s="802"/>
      <c r="C50" s="716">
        <f>'Notes 2 - 9'!D50</f>
        <v>-5905737.2699999996</v>
      </c>
      <c r="D50" s="1542">
        <f>SUM(B50:C50)</f>
        <v>-5905737.2699999996</v>
      </c>
    </row>
    <row r="51" spans="1:4">
      <c r="A51" s="1541" t="s">
        <v>3904</v>
      </c>
      <c r="B51" s="802">
        <v>0</v>
      </c>
      <c r="C51" s="716"/>
      <c r="D51" s="1542">
        <v>0</v>
      </c>
    </row>
    <row r="52" spans="1:4">
      <c r="A52" s="1534" t="s">
        <v>2995</v>
      </c>
      <c r="B52" s="802">
        <v>0</v>
      </c>
      <c r="C52" s="802">
        <v>0</v>
      </c>
      <c r="D52" s="1527">
        <f>SUM(C52:C52)</f>
        <v>0</v>
      </c>
    </row>
    <row r="53" spans="1:4">
      <c r="A53" s="1534" t="s">
        <v>2540</v>
      </c>
      <c r="B53" s="802">
        <v>0</v>
      </c>
      <c r="C53" s="802">
        <v>0</v>
      </c>
      <c r="D53" s="1527">
        <f>SUM(C53:C53)</f>
        <v>0</v>
      </c>
    </row>
    <row r="54" spans="1:4" ht="13.5" thickBot="1">
      <c r="A54" s="1543" t="s">
        <v>3866</v>
      </c>
      <c r="B54" s="1544">
        <f>SUM(B44:B53)</f>
        <v>63859283</v>
      </c>
      <c r="C54" s="1544">
        <f>SUM(C44:C53)+2</f>
        <v>86190542.329999998</v>
      </c>
      <c r="D54" s="1545">
        <f>SUM(D44:D53)+4</f>
        <v>150049825.32999998</v>
      </c>
    </row>
    <row r="55" spans="1:4" ht="13.5" thickTop="1">
      <c r="A55" s="787"/>
      <c r="B55" s="787"/>
      <c r="C55" s="787">
        <f>-'Statement of Financial Position'!C14</f>
        <v>-86190542.209999993</v>
      </c>
    </row>
    <row r="56" spans="1:4">
      <c r="C56" s="787">
        <f>SUM(C54:C55)</f>
        <v>0.12000000476837158</v>
      </c>
    </row>
    <row r="125" spans="7:7">
      <c r="G125" s="695">
        <v>5253981.1399999997</v>
      </c>
    </row>
  </sheetData>
  <mergeCells count="2">
    <mergeCell ref="A1:D1"/>
    <mergeCell ref="A2:D2"/>
  </mergeCells>
  <phoneticPr fontId="0" type="noConversion"/>
  <printOptions horizontalCentered="1"/>
  <pageMargins left="0.6692913385826772" right="0.39370078740157483" top="0.98425196850393704" bottom="0.98425196850393704" header="0.51181102362204722" footer="0.51181102362204722"/>
  <pageSetup orientation="portrait" r:id="rId1"/>
  <headerFooter alignWithMargins="0">
    <oddHeader>&amp;C FINANCIAL STATEMENTS: MUSINA LOCAL MUNICIPALITY</oddHeader>
    <oddFooter>&amp;RPage &amp;P</oddFooter>
  </headerFooter>
</worksheet>
</file>

<file path=xl/worksheets/sheet9.xml><?xml version="1.0" encoding="utf-8"?>
<worksheet xmlns="http://schemas.openxmlformats.org/spreadsheetml/2006/main" xmlns:r="http://schemas.openxmlformats.org/officeDocument/2006/relationships">
  <dimension ref="A1:L508"/>
  <sheetViews>
    <sheetView tabSelected="1" view="pageBreakPreview" zoomScaleSheetLayoutView="100" workbookViewId="0">
      <selection activeCell="B43" sqref="B43"/>
    </sheetView>
  </sheetViews>
  <sheetFormatPr defaultRowHeight="12.75"/>
  <cols>
    <col min="1" max="1" width="4" style="486" bestFit="1" customWidth="1"/>
    <col min="2" max="2" width="5.7109375" style="512" bestFit="1" customWidth="1"/>
    <col min="3" max="3" width="75.140625" style="513" customWidth="1"/>
    <col min="4" max="4" width="6" style="485" bestFit="1" customWidth="1"/>
    <col min="5" max="16384" width="9.140625" style="485"/>
  </cols>
  <sheetData>
    <row r="1" spans="1:4">
      <c r="B1" s="1810" t="s">
        <v>2486</v>
      </c>
      <c r="C1" s="1810"/>
      <c r="D1" s="1810"/>
    </row>
    <row r="2" spans="1:4">
      <c r="B2" s="1811" t="s">
        <v>3498</v>
      </c>
      <c r="C2" s="1811"/>
      <c r="D2" s="1811"/>
    </row>
    <row r="3" spans="1:4" ht="13.5" thickBot="1">
      <c r="B3" s="487"/>
      <c r="C3" s="488"/>
      <c r="D3" s="489"/>
    </row>
    <row r="4" spans="1:4" s="490" customFormat="1" ht="16.5" thickTop="1">
      <c r="A4" s="1546">
        <v>1</v>
      </c>
      <c r="B4" s="1809" t="s">
        <v>2475</v>
      </c>
      <c r="C4" s="1809"/>
      <c r="D4" s="1547"/>
    </row>
    <row r="5" spans="1:4">
      <c r="A5" s="1548"/>
      <c r="B5" s="487"/>
      <c r="C5" s="491"/>
      <c r="D5" s="1549"/>
    </row>
    <row r="6" spans="1:4" s="494" customFormat="1">
      <c r="A6" s="1550"/>
      <c r="B6" s="492">
        <v>1.01</v>
      </c>
      <c r="C6" s="493" t="s">
        <v>3370</v>
      </c>
      <c r="D6" s="1551"/>
    </row>
    <row r="7" spans="1:4" s="497" customFormat="1" ht="51">
      <c r="A7" s="1552"/>
      <c r="B7" s="495"/>
      <c r="C7" s="496" t="s">
        <v>3371</v>
      </c>
      <c r="D7" s="1553"/>
    </row>
    <row r="8" spans="1:4">
      <c r="A8" s="1548"/>
      <c r="B8" s="487"/>
      <c r="C8" s="491"/>
      <c r="D8" s="1549"/>
    </row>
    <row r="9" spans="1:4" s="494" customFormat="1">
      <c r="A9" s="1550"/>
      <c r="B9" s="492">
        <v>1.02</v>
      </c>
      <c r="C9" s="493" t="s">
        <v>2061</v>
      </c>
      <c r="D9" s="1551"/>
    </row>
    <row r="10" spans="1:4" s="497" customFormat="1" ht="51">
      <c r="A10" s="1552"/>
      <c r="B10" s="495"/>
      <c r="C10" s="498" t="s">
        <v>3372</v>
      </c>
      <c r="D10" s="1553"/>
    </row>
    <row r="11" spans="1:4">
      <c r="A11" s="1548"/>
      <c r="B11" s="487"/>
      <c r="C11" s="491"/>
      <c r="D11" s="1549"/>
    </row>
    <row r="12" spans="1:4" s="497" customFormat="1" ht="51">
      <c r="A12" s="1552"/>
      <c r="B12" s="495"/>
      <c r="C12" s="498" t="s">
        <v>3373</v>
      </c>
      <c r="D12" s="1553"/>
    </row>
    <row r="13" spans="1:4">
      <c r="A13" s="1548"/>
      <c r="B13" s="487"/>
      <c r="C13" s="491"/>
      <c r="D13" s="1549"/>
    </row>
    <row r="14" spans="1:4" s="497" customFormat="1">
      <c r="A14" s="1552"/>
      <c r="B14" s="495"/>
      <c r="C14" s="499" t="s">
        <v>2476</v>
      </c>
      <c r="D14" s="1553"/>
    </row>
    <row r="15" spans="1:4">
      <c r="A15" s="1548"/>
      <c r="B15" s="487"/>
      <c r="C15" s="488"/>
      <c r="D15" s="1549"/>
    </row>
    <row r="16" spans="1:4">
      <c r="A16" s="1548"/>
      <c r="B16" s="487"/>
      <c r="C16" s="488" t="s">
        <v>2062</v>
      </c>
      <c r="D16" s="1549"/>
    </row>
    <row r="17" spans="1:4">
      <c r="A17" s="1548"/>
      <c r="B17" s="487"/>
      <c r="C17" s="488" t="s">
        <v>2063</v>
      </c>
      <c r="D17" s="1549"/>
    </row>
    <row r="18" spans="1:4">
      <c r="A18" s="1548"/>
      <c r="B18" s="487"/>
      <c r="C18" s="488" t="s">
        <v>2064</v>
      </c>
      <c r="D18" s="1549"/>
    </row>
    <row r="19" spans="1:4">
      <c r="A19" s="1548"/>
      <c r="B19" s="487"/>
      <c r="C19" s="488" t="s">
        <v>3374</v>
      </c>
      <c r="D19" s="1549"/>
    </row>
    <row r="20" spans="1:4">
      <c r="A20" s="1548"/>
      <c r="B20" s="487"/>
      <c r="C20" s="488" t="s">
        <v>3375</v>
      </c>
      <c r="D20" s="1549"/>
    </row>
    <row r="21" spans="1:4">
      <c r="A21" s="1548"/>
      <c r="B21" s="487"/>
      <c r="C21" s="488" t="s">
        <v>3376</v>
      </c>
      <c r="D21" s="1549"/>
    </row>
    <row r="22" spans="1:4">
      <c r="A22" s="1548"/>
      <c r="B22" s="487"/>
      <c r="C22" s="488" t="s">
        <v>3377</v>
      </c>
      <c r="D22" s="1549"/>
    </row>
    <row r="23" spans="1:4">
      <c r="A23" s="1548"/>
      <c r="B23" s="487"/>
      <c r="C23" s="488" t="s">
        <v>3378</v>
      </c>
      <c r="D23" s="1549"/>
    </row>
    <row r="24" spans="1:4">
      <c r="A24" s="1548"/>
      <c r="B24" s="487"/>
      <c r="C24" s="488" t="s">
        <v>3379</v>
      </c>
      <c r="D24" s="1549"/>
    </row>
    <row r="25" spans="1:4">
      <c r="A25" s="1548"/>
      <c r="B25" s="487"/>
      <c r="C25" s="488" t="s">
        <v>3380</v>
      </c>
      <c r="D25" s="1549"/>
    </row>
    <row r="26" spans="1:4">
      <c r="A26" s="1548"/>
      <c r="B26" s="487"/>
      <c r="C26" s="488" t="s">
        <v>3381</v>
      </c>
      <c r="D26" s="1549"/>
    </row>
    <row r="27" spans="1:4">
      <c r="A27" s="1548"/>
      <c r="B27" s="487"/>
      <c r="C27" s="488"/>
      <c r="D27" s="1549"/>
    </row>
    <row r="28" spans="1:4" s="497" customFormat="1" ht="25.5">
      <c r="A28" s="1552"/>
      <c r="B28" s="495"/>
      <c r="C28" s="498" t="s">
        <v>3382</v>
      </c>
      <c r="D28" s="1553"/>
    </row>
    <row r="29" spans="1:4">
      <c r="A29" s="1548"/>
      <c r="B29" s="487"/>
      <c r="C29" s="488"/>
      <c r="D29" s="1549"/>
    </row>
    <row r="30" spans="1:4" s="497" customFormat="1" ht="76.5">
      <c r="A30" s="1552"/>
      <c r="B30" s="495"/>
      <c r="C30" s="498" t="s">
        <v>3383</v>
      </c>
      <c r="D30" s="1553"/>
    </row>
    <row r="31" spans="1:4">
      <c r="A31" s="1548"/>
      <c r="B31" s="487"/>
      <c r="C31" s="488"/>
      <c r="D31" s="1549"/>
    </row>
    <row r="32" spans="1:4" s="497" customFormat="1" ht="76.5">
      <c r="A32" s="1552"/>
      <c r="B32" s="495"/>
      <c r="C32" s="608" t="s">
        <v>3871</v>
      </c>
      <c r="D32" s="1553"/>
    </row>
    <row r="33" spans="1:4">
      <c r="A33" s="1548"/>
      <c r="B33" s="487"/>
      <c r="C33" s="488"/>
      <c r="D33" s="1549"/>
    </row>
    <row r="34" spans="1:4">
      <c r="A34" s="1548"/>
      <c r="B34" s="487"/>
      <c r="C34" s="491" t="s">
        <v>2335</v>
      </c>
      <c r="D34" s="1549"/>
    </row>
    <row r="35" spans="1:4">
      <c r="A35" s="1548"/>
      <c r="B35" s="487"/>
      <c r="C35" s="488"/>
      <c r="D35" s="1549"/>
    </row>
    <row r="36" spans="1:4" s="497" customFormat="1" ht="25.5">
      <c r="A36" s="1552"/>
      <c r="B36" s="495"/>
      <c r="C36" s="498" t="s">
        <v>3384</v>
      </c>
      <c r="D36" s="1553"/>
    </row>
    <row r="37" spans="1:4">
      <c r="A37" s="1548"/>
      <c r="B37" s="487"/>
      <c r="C37" s="488"/>
      <c r="D37" s="1549"/>
    </row>
    <row r="38" spans="1:4" s="497" customFormat="1" ht="25.5">
      <c r="A38" s="1552"/>
      <c r="B38" s="495"/>
      <c r="C38" s="498" t="s">
        <v>2336</v>
      </c>
      <c r="D38" s="1553"/>
    </row>
    <row r="39" spans="1:4">
      <c r="A39" s="1548"/>
      <c r="B39" s="487"/>
      <c r="C39" s="488"/>
      <c r="D39" s="1549"/>
    </row>
    <row r="40" spans="1:4" s="502" customFormat="1">
      <c r="A40" s="1554"/>
      <c r="B40" s="500">
        <v>1.03</v>
      </c>
      <c r="C40" s="501" t="s">
        <v>3385</v>
      </c>
      <c r="D40" s="1555"/>
    </row>
    <row r="41" spans="1:4" s="497" customFormat="1">
      <c r="A41" s="1552"/>
      <c r="B41" s="495"/>
      <c r="C41" s="498"/>
      <c r="D41" s="1553"/>
    </row>
    <row r="42" spans="1:4" s="497" customFormat="1" ht="25.5">
      <c r="A42" s="1552"/>
      <c r="B42" s="495"/>
      <c r="C42" s="498" t="s">
        <v>2139</v>
      </c>
      <c r="D42" s="1553"/>
    </row>
    <row r="43" spans="1:4" s="497" customFormat="1">
      <c r="A43" s="1552"/>
      <c r="B43" s="495"/>
      <c r="C43" s="498"/>
      <c r="D43" s="1553"/>
    </row>
    <row r="44" spans="1:4" s="502" customFormat="1">
      <c r="A44" s="1554"/>
      <c r="B44" s="500">
        <v>1.04</v>
      </c>
      <c r="C44" s="501" t="s">
        <v>2065</v>
      </c>
      <c r="D44" s="1555"/>
    </row>
    <row r="45" spans="1:4" s="497" customFormat="1">
      <c r="A45" s="1552"/>
      <c r="B45" s="495"/>
      <c r="C45" s="498"/>
      <c r="D45" s="1553"/>
    </row>
    <row r="46" spans="1:4" s="497" customFormat="1">
      <c r="A46" s="1552"/>
      <c r="B46" s="495"/>
      <c r="C46" s="498" t="s">
        <v>2140</v>
      </c>
      <c r="D46" s="1553"/>
    </row>
    <row r="47" spans="1:4" s="497" customFormat="1">
      <c r="A47" s="1552"/>
      <c r="B47" s="495"/>
      <c r="C47" s="498"/>
      <c r="D47" s="1553"/>
    </row>
    <row r="48" spans="1:4" s="502" customFormat="1">
      <c r="A48" s="1554"/>
      <c r="B48" s="500">
        <v>1.05</v>
      </c>
      <c r="C48" s="501" t="s">
        <v>500</v>
      </c>
      <c r="D48" s="1555"/>
    </row>
    <row r="49" spans="1:4" s="497" customFormat="1">
      <c r="A49" s="1552"/>
      <c r="B49" s="495"/>
      <c r="C49" s="498"/>
      <c r="D49" s="1553"/>
    </row>
    <row r="50" spans="1:4" s="497" customFormat="1">
      <c r="A50" s="1552"/>
      <c r="B50" s="495"/>
      <c r="C50" s="498"/>
      <c r="D50" s="1553"/>
    </row>
    <row r="51" spans="1:4" s="497" customFormat="1" ht="25.5">
      <c r="A51" s="1552"/>
      <c r="B51" s="495"/>
      <c r="C51" s="498" t="s">
        <v>3822</v>
      </c>
      <c r="D51" s="1553"/>
    </row>
    <row r="52" spans="1:4" s="497" customFormat="1">
      <c r="A52" s="1552"/>
      <c r="B52" s="495"/>
      <c r="C52" s="498"/>
      <c r="D52" s="1553"/>
    </row>
    <row r="53" spans="1:4" s="502" customFormat="1">
      <c r="A53" s="1554"/>
      <c r="B53" s="500">
        <v>1.06</v>
      </c>
      <c r="C53" s="501" t="s">
        <v>803</v>
      </c>
      <c r="D53" s="1555"/>
    </row>
    <row r="54" spans="1:4" s="497" customFormat="1">
      <c r="A54" s="1552"/>
      <c r="B54" s="495"/>
      <c r="C54" s="498"/>
      <c r="D54" s="1553"/>
    </row>
    <row r="55" spans="1:4" s="497" customFormat="1" ht="63.75">
      <c r="A55" s="1552"/>
      <c r="B55" s="495"/>
      <c r="C55" s="498" t="s">
        <v>1089</v>
      </c>
      <c r="D55" s="1553"/>
    </row>
    <row r="56" spans="1:4" s="497" customFormat="1">
      <c r="A56" s="1552"/>
      <c r="B56" s="495"/>
      <c r="C56" s="498"/>
      <c r="D56" s="1553"/>
    </row>
    <row r="57" spans="1:4" s="497" customFormat="1" ht="38.25">
      <c r="A57" s="1552"/>
      <c r="B57" s="495"/>
      <c r="C57" s="498" t="s">
        <v>1090</v>
      </c>
      <c r="D57" s="1553"/>
    </row>
    <row r="58" spans="1:4" s="497" customFormat="1">
      <c r="A58" s="1552"/>
      <c r="B58" s="495"/>
      <c r="C58" s="498"/>
      <c r="D58" s="1553"/>
    </row>
    <row r="59" spans="1:4" s="497" customFormat="1">
      <c r="A59" s="1552"/>
      <c r="B59" s="495"/>
      <c r="C59" s="498" t="s">
        <v>1091</v>
      </c>
      <c r="D59" s="1553"/>
    </row>
    <row r="60" spans="1:4" s="497" customFormat="1">
      <c r="A60" s="1552"/>
      <c r="B60" s="495"/>
      <c r="C60" s="498"/>
      <c r="D60" s="1553"/>
    </row>
    <row r="61" spans="1:4" s="497" customFormat="1">
      <c r="A61" s="1552"/>
      <c r="B61" s="495"/>
      <c r="C61" s="498" t="s">
        <v>1839</v>
      </c>
      <c r="D61" s="1553"/>
    </row>
    <row r="62" spans="1:4" s="497" customFormat="1">
      <c r="A62" s="1552"/>
      <c r="B62" s="495"/>
      <c r="C62" s="498"/>
      <c r="D62" s="1553"/>
    </row>
    <row r="63" spans="1:4" s="497" customFormat="1">
      <c r="A63" s="1552"/>
      <c r="B63" s="495"/>
      <c r="C63" s="498" t="s">
        <v>1840</v>
      </c>
      <c r="D63" s="1553"/>
    </row>
    <row r="64" spans="1:4" s="497" customFormat="1">
      <c r="A64" s="1552"/>
      <c r="B64" s="495"/>
      <c r="C64" s="498" t="s">
        <v>1841</v>
      </c>
      <c r="D64" s="1553"/>
    </row>
    <row r="65" spans="1:4" s="497" customFormat="1">
      <c r="A65" s="1552"/>
      <c r="B65" s="495"/>
      <c r="C65" s="498" t="s">
        <v>1842</v>
      </c>
      <c r="D65" s="1553"/>
    </row>
    <row r="66" spans="1:4" s="497" customFormat="1">
      <c r="A66" s="1552"/>
      <c r="B66" s="495"/>
      <c r="C66" s="498" t="s">
        <v>1843</v>
      </c>
      <c r="D66" s="1553"/>
    </row>
    <row r="67" spans="1:4" s="497" customFormat="1">
      <c r="A67" s="1552"/>
      <c r="B67" s="495"/>
      <c r="C67" s="498" t="s">
        <v>1844</v>
      </c>
      <c r="D67" s="1553"/>
    </row>
    <row r="68" spans="1:4" s="497" customFormat="1">
      <c r="A68" s="1552"/>
      <c r="B68" s="495"/>
      <c r="C68" s="498"/>
      <c r="D68" s="1553"/>
    </row>
    <row r="69" spans="1:4" s="497" customFormat="1" ht="51">
      <c r="A69" s="1552"/>
      <c r="B69" s="495"/>
      <c r="C69" s="498" t="s">
        <v>1845</v>
      </c>
      <c r="D69" s="1553"/>
    </row>
    <row r="70" spans="1:4" s="497" customFormat="1">
      <c r="A70" s="1552"/>
      <c r="B70" s="495"/>
      <c r="C70" s="498"/>
      <c r="D70" s="1553"/>
    </row>
    <row r="71" spans="1:4" s="497" customFormat="1" ht="51">
      <c r="A71" s="1552"/>
      <c r="B71" s="495"/>
      <c r="C71" s="498" t="s">
        <v>1846</v>
      </c>
      <c r="D71" s="1553"/>
    </row>
    <row r="72" spans="1:4" s="497" customFormat="1">
      <c r="A72" s="1552"/>
      <c r="B72" s="495"/>
      <c r="C72" s="498"/>
      <c r="D72" s="1553"/>
    </row>
    <row r="73" spans="1:4" s="497" customFormat="1" ht="25.5">
      <c r="A73" s="1552"/>
      <c r="B73" s="495"/>
      <c r="C73" s="498" t="s">
        <v>1847</v>
      </c>
      <c r="D73" s="1553"/>
    </row>
    <row r="74" spans="1:4" s="497" customFormat="1">
      <c r="A74" s="1552"/>
      <c r="B74" s="495"/>
      <c r="C74" s="498"/>
      <c r="D74" s="1553"/>
    </row>
    <row r="75" spans="1:4" s="497" customFormat="1" ht="38.25">
      <c r="A75" s="1552"/>
      <c r="B75" s="495"/>
      <c r="C75" s="498" t="s">
        <v>3872</v>
      </c>
      <c r="D75" s="1553"/>
    </row>
    <row r="76" spans="1:4" s="497" customFormat="1">
      <c r="A76" s="1552"/>
      <c r="B76" s="495"/>
      <c r="C76" s="498"/>
      <c r="D76" s="1553"/>
    </row>
    <row r="77" spans="1:4" s="497" customFormat="1" ht="38.25">
      <c r="A77" s="1552"/>
      <c r="B77" s="495"/>
      <c r="C77" s="498" t="s">
        <v>1848</v>
      </c>
      <c r="D77" s="1553"/>
    </row>
    <row r="78" spans="1:4" s="497" customFormat="1">
      <c r="A78" s="1552"/>
      <c r="B78" s="495"/>
      <c r="C78" s="498"/>
      <c r="D78" s="1553"/>
    </row>
    <row r="79" spans="1:4" s="497" customFormat="1">
      <c r="A79" s="1552"/>
      <c r="B79" s="495"/>
      <c r="C79" s="498" t="s">
        <v>1849</v>
      </c>
      <c r="D79" s="1553"/>
    </row>
    <row r="80" spans="1:4" s="497" customFormat="1">
      <c r="A80" s="1552"/>
      <c r="B80" s="495"/>
      <c r="C80" s="498"/>
      <c r="D80" s="1553"/>
    </row>
    <row r="81" spans="1:4" s="497" customFormat="1" ht="38.25">
      <c r="A81" s="1552"/>
      <c r="B81" s="495"/>
      <c r="C81" s="498" t="s">
        <v>1850</v>
      </c>
      <c r="D81" s="1553"/>
    </row>
    <row r="82" spans="1:4" s="497" customFormat="1">
      <c r="A82" s="1552"/>
      <c r="B82" s="495"/>
      <c r="C82" s="498"/>
      <c r="D82" s="1553"/>
    </row>
    <row r="83" spans="1:4" s="497" customFormat="1">
      <c r="A83" s="1552"/>
      <c r="B83" s="495"/>
      <c r="C83" s="498" t="s">
        <v>1133</v>
      </c>
      <c r="D83" s="1553"/>
    </row>
    <row r="84" spans="1:4" s="497" customFormat="1">
      <c r="A84" s="1552"/>
      <c r="B84" s="495"/>
      <c r="C84" s="498"/>
      <c r="D84" s="1553"/>
    </row>
    <row r="85" spans="1:4" s="497" customFormat="1" ht="38.25">
      <c r="A85" s="1552"/>
      <c r="B85" s="495"/>
      <c r="C85" s="498" t="s">
        <v>1851</v>
      </c>
      <c r="D85" s="1553"/>
    </row>
    <row r="86" spans="1:4" s="497" customFormat="1">
      <c r="A86" s="1552"/>
      <c r="B86" s="495"/>
      <c r="C86" s="498"/>
      <c r="D86" s="1553"/>
    </row>
    <row r="87" spans="1:4" s="497" customFormat="1">
      <c r="A87" s="1552"/>
      <c r="B87" s="495"/>
      <c r="C87" s="503" t="s">
        <v>3391</v>
      </c>
      <c r="D87" s="1553"/>
    </row>
    <row r="88" spans="1:4" s="497" customFormat="1">
      <c r="A88" s="1552"/>
      <c r="B88" s="495"/>
      <c r="C88" s="498"/>
      <c r="D88" s="1553"/>
    </row>
    <row r="89" spans="1:4" s="497" customFormat="1">
      <c r="A89" s="1552"/>
      <c r="B89" s="495"/>
      <c r="C89" s="498" t="s">
        <v>2118</v>
      </c>
      <c r="D89" s="1556" t="s">
        <v>3386</v>
      </c>
    </row>
    <row r="90" spans="1:4" s="497" customFormat="1">
      <c r="A90" s="1552"/>
      <c r="B90" s="495"/>
      <c r="C90" s="498" t="s">
        <v>2108</v>
      </c>
      <c r="D90" s="1557" t="s">
        <v>1052</v>
      </c>
    </row>
    <row r="91" spans="1:4" s="497" customFormat="1">
      <c r="A91" s="1552"/>
      <c r="B91" s="495"/>
      <c r="C91" s="498" t="s">
        <v>2109</v>
      </c>
      <c r="D91" s="1558">
        <v>5</v>
      </c>
    </row>
    <row r="92" spans="1:4" s="497" customFormat="1">
      <c r="A92" s="1552"/>
      <c r="B92" s="495"/>
      <c r="C92" s="498" t="s">
        <v>2110</v>
      </c>
      <c r="D92" s="1558">
        <v>20</v>
      </c>
    </row>
    <row r="93" spans="1:4" s="497" customFormat="1">
      <c r="A93" s="1552"/>
      <c r="B93" s="495"/>
      <c r="C93" s="498" t="s">
        <v>2111</v>
      </c>
      <c r="D93" s="1559" t="s">
        <v>1053</v>
      </c>
    </row>
    <row r="94" spans="1:4" s="497" customFormat="1">
      <c r="A94" s="1552"/>
      <c r="B94" s="495"/>
      <c r="C94" s="498" t="s">
        <v>2112</v>
      </c>
      <c r="D94" s="1558">
        <v>10</v>
      </c>
    </row>
    <row r="95" spans="1:4" s="497" customFormat="1">
      <c r="A95" s="1552"/>
      <c r="B95" s="495"/>
      <c r="C95" s="498" t="s">
        <v>2113</v>
      </c>
      <c r="D95" s="1558">
        <v>30</v>
      </c>
    </row>
    <row r="96" spans="1:4" s="497" customFormat="1">
      <c r="A96" s="1552"/>
      <c r="B96" s="495"/>
      <c r="C96" s="498" t="s">
        <v>2114</v>
      </c>
      <c r="D96" s="1559" t="s">
        <v>1053</v>
      </c>
    </row>
    <row r="97" spans="1:4" s="497" customFormat="1">
      <c r="A97" s="1552"/>
      <c r="B97" s="495"/>
      <c r="C97" s="498" t="s">
        <v>2115</v>
      </c>
      <c r="D97" s="1558">
        <v>30</v>
      </c>
    </row>
    <row r="98" spans="1:4" s="497" customFormat="1">
      <c r="A98" s="1552"/>
      <c r="B98" s="495"/>
      <c r="C98" s="498"/>
      <c r="D98" s="1558"/>
    </row>
    <row r="99" spans="1:4" s="497" customFormat="1">
      <c r="A99" s="1552"/>
      <c r="B99" s="495"/>
      <c r="C99" s="498" t="s">
        <v>2119</v>
      </c>
      <c r="D99" s="1558"/>
    </row>
    <row r="100" spans="1:4" s="497" customFormat="1">
      <c r="A100" s="1552"/>
      <c r="B100" s="495"/>
      <c r="C100" s="498" t="s">
        <v>2116</v>
      </c>
      <c r="D100" s="1559" t="s">
        <v>1054</v>
      </c>
    </row>
    <row r="101" spans="1:4" s="497" customFormat="1">
      <c r="A101" s="1552"/>
      <c r="B101" s="495"/>
      <c r="C101" s="498" t="s">
        <v>2117</v>
      </c>
      <c r="D101" s="1559" t="s">
        <v>1054</v>
      </c>
    </row>
    <row r="102" spans="1:4" s="497" customFormat="1">
      <c r="A102" s="1552"/>
      <c r="B102" s="495"/>
      <c r="C102" s="498" t="s">
        <v>2121</v>
      </c>
      <c r="D102" s="1558">
        <v>30</v>
      </c>
    </row>
    <row r="103" spans="1:4" s="497" customFormat="1">
      <c r="A103" s="1552"/>
      <c r="B103" s="495"/>
      <c r="C103" s="498" t="s">
        <v>2122</v>
      </c>
      <c r="D103" s="1558">
        <v>30</v>
      </c>
    </row>
    <row r="104" spans="1:4" s="497" customFormat="1">
      <c r="A104" s="1552"/>
      <c r="B104" s="495"/>
      <c r="C104" s="498" t="s">
        <v>812</v>
      </c>
      <c r="D104" s="1559" t="s">
        <v>1054</v>
      </c>
    </row>
    <row r="105" spans="1:4" s="497" customFormat="1">
      <c r="A105" s="1552"/>
      <c r="B105" s="495"/>
      <c r="C105" s="498" t="s">
        <v>813</v>
      </c>
      <c r="D105" s="1558">
        <v>30</v>
      </c>
    </row>
    <row r="106" spans="1:4" s="497" customFormat="1">
      <c r="A106" s="1552"/>
      <c r="B106" s="495"/>
      <c r="C106" s="498" t="s">
        <v>814</v>
      </c>
      <c r="D106" s="1558">
        <v>30</v>
      </c>
    </row>
    <row r="107" spans="1:4" s="497" customFormat="1">
      <c r="A107" s="1552"/>
      <c r="B107" s="495"/>
      <c r="C107" s="498" t="s">
        <v>815</v>
      </c>
      <c r="D107" s="1558">
        <v>30</v>
      </c>
    </row>
    <row r="108" spans="1:4" s="497" customFormat="1">
      <c r="A108" s="1552"/>
      <c r="B108" s="495"/>
      <c r="C108" s="498"/>
      <c r="D108" s="1558"/>
    </row>
    <row r="109" spans="1:4" s="497" customFormat="1">
      <c r="A109" s="1552"/>
      <c r="B109" s="495"/>
      <c r="C109" s="498" t="s">
        <v>2120</v>
      </c>
      <c r="D109" s="1558"/>
    </row>
    <row r="110" spans="1:4" s="497" customFormat="1">
      <c r="A110" s="1552"/>
      <c r="B110" s="495"/>
      <c r="C110" s="498" t="s">
        <v>816</v>
      </c>
      <c r="D110" s="1559" t="s">
        <v>1055</v>
      </c>
    </row>
    <row r="111" spans="1:4" s="497" customFormat="1">
      <c r="A111" s="1552"/>
      <c r="B111" s="495"/>
      <c r="C111" s="498" t="s">
        <v>817</v>
      </c>
      <c r="D111" s="1559" t="s">
        <v>1055</v>
      </c>
    </row>
    <row r="112" spans="1:4" s="497" customFormat="1">
      <c r="A112" s="1552"/>
      <c r="B112" s="495"/>
      <c r="C112" s="498" t="s">
        <v>818</v>
      </c>
      <c r="D112" s="1559" t="s">
        <v>1056</v>
      </c>
    </row>
    <row r="113" spans="1:7" s="497" customFormat="1">
      <c r="A113" s="1552"/>
      <c r="B113" s="495"/>
      <c r="C113" s="498" t="s">
        <v>819</v>
      </c>
      <c r="D113" s="1558">
        <v>30</v>
      </c>
    </row>
    <row r="114" spans="1:7" s="497" customFormat="1">
      <c r="A114" s="1552"/>
      <c r="B114" s="495"/>
      <c r="C114" s="498" t="s">
        <v>820</v>
      </c>
      <c r="D114" s="1559" t="s">
        <v>1056</v>
      </c>
    </row>
    <row r="115" spans="1:7" s="497" customFormat="1">
      <c r="A115" s="1552"/>
      <c r="B115" s="495"/>
      <c r="C115" s="498" t="s">
        <v>821</v>
      </c>
      <c r="D115" s="1559" t="s">
        <v>1055</v>
      </c>
    </row>
    <row r="116" spans="1:7" s="497" customFormat="1">
      <c r="A116" s="1552"/>
      <c r="B116" s="495"/>
      <c r="C116" s="498"/>
      <c r="D116" s="1553"/>
    </row>
    <row r="117" spans="1:7" s="497" customFormat="1">
      <c r="A117" s="1552"/>
      <c r="B117" s="495"/>
      <c r="C117" s="498" t="s">
        <v>1852</v>
      </c>
      <c r="D117" s="1553"/>
    </row>
    <row r="118" spans="1:7" s="497" customFormat="1">
      <c r="A118" s="1552"/>
      <c r="B118" s="495"/>
      <c r="C118" s="498"/>
      <c r="D118" s="1553"/>
    </row>
    <row r="119" spans="1:7" s="497" customFormat="1">
      <c r="A119" s="1552"/>
      <c r="B119" s="495"/>
      <c r="C119" s="498" t="s">
        <v>3702</v>
      </c>
      <c r="D119" s="1553"/>
    </row>
    <row r="120" spans="1:7" s="497" customFormat="1">
      <c r="A120" s="1552"/>
      <c r="B120" s="495"/>
      <c r="C120" s="498"/>
      <c r="D120" s="1553"/>
    </row>
    <row r="121" spans="1:7" s="497" customFormat="1" ht="38.25">
      <c r="A121" s="1552"/>
      <c r="B121" s="495"/>
      <c r="C121" s="498" t="s">
        <v>2429</v>
      </c>
      <c r="D121" s="1553"/>
    </row>
    <row r="122" spans="1:7" s="497" customFormat="1">
      <c r="A122" s="1552"/>
      <c r="B122" s="495"/>
      <c r="C122" s="498"/>
      <c r="D122" s="1553"/>
    </row>
    <row r="123" spans="1:7" s="497" customFormat="1">
      <c r="A123" s="1552"/>
      <c r="B123" s="495"/>
      <c r="C123" s="498" t="s">
        <v>3702</v>
      </c>
      <c r="D123" s="1553"/>
    </row>
    <row r="124" spans="1:7" s="497" customFormat="1">
      <c r="A124" s="1552"/>
      <c r="B124" s="495"/>
      <c r="C124" s="498"/>
      <c r="D124" s="1553"/>
    </row>
    <row r="125" spans="1:7" s="497" customFormat="1" ht="25.5">
      <c r="A125" s="1552"/>
      <c r="B125" s="495"/>
      <c r="C125" s="498" t="s">
        <v>3873</v>
      </c>
      <c r="D125" s="1553"/>
      <c r="G125" s="497">
        <v>5253981.1399999997</v>
      </c>
    </row>
    <row r="126" spans="1:7" s="497" customFormat="1">
      <c r="A126" s="1552"/>
      <c r="B126" s="495"/>
      <c r="C126" s="498"/>
      <c r="D126" s="1553"/>
    </row>
    <row r="127" spans="1:7" s="497" customFormat="1">
      <c r="A127" s="1552"/>
      <c r="B127" s="495"/>
      <c r="C127" s="498" t="s">
        <v>2430</v>
      </c>
      <c r="D127" s="1553"/>
    </row>
    <row r="128" spans="1:7" s="497" customFormat="1">
      <c r="A128" s="1552"/>
      <c r="B128" s="495"/>
      <c r="C128" s="498"/>
      <c r="D128" s="1553"/>
    </row>
    <row r="129" spans="1:4" s="497" customFormat="1">
      <c r="A129" s="1552"/>
      <c r="B129" s="495"/>
      <c r="C129" s="498" t="s">
        <v>3702</v>
      </c>
      <c r="D129" s="1553"/>
    </row>
    <row r="130" spans="1:4" s="497" customFormat="1">
      <c r="A130" s="1552"/>
      <c r="B130" s="495"/>
      <c r="C130" s="498"/>
      <c r="D130" s="1553"/>
    </row>
    <row r="131" spans="1:4" s="497" customFormat="1" ht="51">
      <c r="A131" s="1552"/>
      <c r="B131" s="495"/>
      <c r="C131" s="498" t="s">
        <v>3387</v>
      </c>
      <c r="D131" s="1553"/>
    </row>
    <row r="132" spans="1:4" s="497" customFormat="1">
      <c r="A132" s="1552"/>
      <c r="B132" s="495"/>
      <c r="C132" s="498"/>
      <c r="D132" s="1553"/>
    </row>
    <row r="133" spans="1:4" s="497" customFormat="1" ht="38.25">
      <c r="A133" s="1552"/>
      <c r="B133" s="495"/>
      <c r="C133" s="498" t="s">
        <v>3388</v>
      </c>
      <c r="D133" s="1553"/>
    </row>
    <row r="134" spans="1:4" s="497" customFormat="1">
      <c r="A134" s="1552"/>
      <c r="B134" s="495"/>
      <c r="C134" s="498"/>
      <c r="D134" s="1553"/>
    </row>
    <row r="135" spans="1:4" s="497" customFormat="1" ht="38.25">
      <c r="A135" s="1552"/>
      <c r="B135" s="495"/>
      <c r="C135" s="498" t="s">
        <v>3389</v>
      </c>
      <c r="D135" s="1553"/>
    </row>
    <row r="136" spans="1:4" s="497" customFormat="1">
      <c r="A136" s="1552"/>
      <c r="B136" s="495"/>
      <c r="C136" s="498"/>
      <c r="D136" s="1553"/>
    </row>
    <row r="137" spans="1:4" s="497" customFormat="1">
      <c r="A137" s="1552"/>
      <c r="B137" s="495"/>
      <c r="C137" s="498" t="s">
        <v>3702</v>
      </c>
      <c r="D137" s="1553"/>
    </row>
    <row r="138" spans="1:4" s="497" customFormat="1">
      <c r="A138" s="1552"/>
      <c r="B138" s="495"/>
      <c r="C138" s="498"/>
      <c r="D138" s="1553"/>
    </row>
    <row r="139" spans="1:4" s="497" customFormat="1" ht="25.5">
      <c r="A139" s="1552"/>
      <c r="B139" s="495"/>
      <c r="C139" s="498" t="s">
        <v>3874</v>
      </c>
      <c r="D139" s="1553"/>
    </row>
    <row r="140" spans="1:4" s="497" customFormat="1">
      <c r="A140" s="1552"/>
      <c r="B140" s="495"/>
      <c r="C140" s="498"/>
      <c r="D140" s="1553"/>
    </row>
    <row r="141" spans="1:4" s="497" customFormat="1">
      <c r="A141" s="1552"/>
      <c r="B141" s="495"/>
      <c r="C141" s="498" t="s">
        <v>780</v>
      </c>
      <c r="D141" s="1553"/>
    </row>
    <row r="142" spans="1:4" s="497" customFormat="1">
      <c r="A142" s="1552"/>
      <c r="B142" s="495"/>
      <c r="C142" s="498"/>
      <c r="D142" s="1553"/>
    </row>
    <row r="143" spans="1:4" s="497" customFormat="1" ht="76.5">
      <c r="A143" s="1552"/>
      <c r="B143" s="495"/>
      <c r="C143" s="498" t="s">
        <v>3390</v>
      </c>
      <c r="D143" s="1553"/>
    </row>
    <row r="144" spans="1:4" s="497" customFormat="1">
      <c r="A144" s="1552"/>
      <c r="B144" s="495"/>
      <c r="C144" s="498"/>
      <c r="D144" s="1553"/>
    </row>
    <row r="145" spans="1:7" s="497" customFormat="1">
      <c r="A145" s="1552"/>
      <c r="B145" s="495"/>
      <c r="C145" s="498" t="s">
        <v>781</v>
      </c>
      <c r="D145" s="1553"/>
    </row>
    <row r="146" spans="1:7" s="497" customFormat="1">
      <c r="A146" s="1552"/>
      <c r="B146" s="495"/>
      <c r="C146" s="498"/>
      <c r="D146" s="1553"/>
    </row>
    <row r="147" spans="1:7" s="497" customFormat="1">
      <c r="A147" s="1552"/>
      <c r="B147" s="495"/>
      <c r="C147" s="498" t="s">
        <v>3418</v>
      </c>
      <c r="D147" s="1553"/>
    </row>
    <row r="148" spans="1:7" s="497" customFormat="1" ht="38.25">
      <c r="A148" s="1552"/>
      <c r="B148" s="495"/>
      <c r="C148" s="498" t="s">
        <v>3419</v>
      </c>
      <c r="D148" s="1553"/>
    </row>
    <row r="149" spans="1:7" s="497" customFormat="1">
      <c r="A149" s="1552"/>
      <c r="B149" s="495"/>
      <c r="C149" s="498"/>
      <c r="D149" s="1553"/>
    </row>
    <row r="150" spans="1:7" s="497" customFormat="1">
      <c r="A150" s="1552"/>
      <c r="B150" s="495"/>
      <c r="C150" s="501" t="s">
        <v>2639</v>
      </c>
      <c r="D150" s="1553"/>
    </row>
    <row r="151" spans="1:7" s="497" customFormat="1">
      <c r="A151" s="1552"/>
      <c r="B151" s="495"/>
      <c r="C151" s="508"/>
      <c r="D151" s="1553"/>
    </row>
    <row r="152" spans="1:7" s="497" customFormat="1" ht="63.75">
      <c r="A152" s="1552"/>
      <c r="B152" s="495"/>
      <c r="C152" s="614" t="s">
        <v>2645</v>
      </c>
      <c r="D152" s="1560"/>
      <c r="E152" s="504"/>
      <c r="F152" s="504"/>
      <c r="G152" s="504"/>
    </row>
    <row r="153" spans="1:7" s="497" customFormat="1">
      <c r="A153" s="1552"/>
      <c r="B153" s="495"/>
      <c r="C153" s="498" t="s">
        <v>2646</v>
      </c>
      <c r="D153" s="1553"/>
    </row>
    <row r="154" spans="1:7" s="497" customFormat="1">
      <c r="A154" s="1552"/>
      <c r="B154" s="495"/>
      <c r="C154" s="498"/>
      <c r="D154" s="1553"/>
    </row>
    <row r="155" spans="1:7" s="502" customFormat="1">
      <c r="A155" s="1554"/>
      <c r="B155" s="500">
        <v>1.07</v>
      </c>
      <c r="C155" s="501" t="s">
        <v>2066</v>
      </c>
      <c r="D155" s="1555"/>
    </row>
    <row r="156" spans="1:7" s="497" customFormat="1">
      <c r="A156" s="1552"/>
      <c r="B156" s="495"/>
      <c r="C156" s="498"/>
      <c r="D156" s="1553"/>
    </row>
    <row r="157" spans="1:7" s="497" customFormat="1" ht="89.25">
      <c r="A157" s="1552"/>
      <c r="B157" s="495"/>
      <c r="C157" s="498" t="s">
        <v>805</v>
      </c>
      <c r="D157" s="1553"/>
    </row>
    <row r="158" spans="1:7" s="497" customFormat="1">
      <c r="A158" s="1552"/>
      <c r="B158" s="495"/>
      <c r="C158" s="498"/>
      <c r="D158" s="1553"/>
    </row>
    <row r="159" spans="1:7" s="497" customFormat="1" ht="38.25">
      <c r="A159" s="1552"/>
      <c r="B159" s="495"/>
      <c r="C159" s="498" t="s">
        <v>787</v>
      </c>
      <c r="D159" s="1553"/>
    </row>
    <row r="160" spans="1:7" s="497" customFormat="1">
      <c r="A160" s="1552"/>
      <c r="B160" s="495"/>
      <c r="C160" s="498"/>
      <c r="D160" s="1553"/>
    </row>
    <row r="161" spans="1:4" s="497" customFormat="1" ht="30.75" customHeight="1">
      <c r="A161" s="1552"/>
      <c r="B161" s="495"/>
      <c r="C161" s="498" t="s">
        <v>788</v>
      </c>
      <c r="D161" s="1553"/>
    </row>
    <row r="162" spans="1:4" s="497" customFormat="1">
      <c r="A162" s="1552"/>
      <c r="B162" s="495"/>
      <c r="C162" s="498"/>
      <c r="D162" s="1553"/>
    </row>
    <row r="163" spans="1:4" s="497" customFormat="1">
      <c r="A163" s="1552"/>
      <c r="B163" s="495"/>
      <c r="C163" s="498" t="s">
        <v>3703</v>
      </c>
      <c r="D163" s="1553"/>
    </row>
    <row r="164" spans="1:4" s="497" customFormat="1">
      <c r="A164" s="1552"/>
      <c r="B164" s="495"/>
      <c r="C164" s="498"/>
      <c r="D164" s="1553"/>
    </row>
    <row r="165" spans="1:4" s="497" customFormat="1" ht="76.5">
      <c r="A165" s="1552"/>
      <c r="B165" s="495"/>
      <c r="C165" s="608" t="s">
        <v>3805</v>
      </c>
      <c r="D165" s="1553"/>
    </row>
    <row r="166" spans="1:4" s="497" customFormat="1">
      <c r="A166" s="1552"/>
      <c r="B166" s="495"/>
      <c r="C166" s="498"/>
      <c r="D166" s="1553"/>
    </row>
    <row r="167" spans="1:4" s="502" customFormat="1">
      <c r="A167" s="1554"/>
      <c r="B167" s="500">
        <v>1.08</v>
      </c>
      <c r="C167" s="501" t="s">
        <v>2226</v>
      </c>
      <c r="D167" s="1555"/>
    </row>
    <row r="168" spans="1:4" s="497" customFormat="1">
      <c r="A168" s="1552"/>
      <c r="B168" s="495"/>
      <c r="C168" s="498"/>
      <c r="D168" s="1553"/>
    </row>
    <row r="169" spans="1:4" s="497" customFormat="1" ht="51">
      <c r="A169" s="1552"/>
      <c r="B169" s="495"/>
      <c r="C169" s="498" t="s">
        <v>789</v>
      </c>
      <c r="D169" s="1553"/>
    </row>
    <row r="170" spans="1:4" s="497" customFormat="1">
      <c r="A170" s="1552"/>
      <c r="B170" s="495"/>
      <c r="C170" s="498"/>
      <c r="D170" s="1553"/>
    </row>
    <row r="171" spans="1:4" s="497" customFormat="1" ht="25.5">
      <c r="A171" s="1552"/>
      <c r="B171" s="495"/>
      <c r="C171" s="498" t="s">
        <v>790</v>
      </c>
      <c r="D171" s="1553"/>
    </row>
    <row r="172" spans="1:4" s="497" customFormat="1">
      <c r="A172" s="1552"/>
      <c r="B172" s="495"/>
      <c r="C172" s="498"/>
      <c r="D172" s="1553"/>
    </row>
    <row r="173" spans="1:4" s="497" customFormat="1">
      <c r="A173" s="1552"/>
      <c r="B173" s="495"/>
      <c r="C173" s="498" t="s">
        <v>3702</v>
      </c>
      <c r="D173" s="1553"/>
    </row>
    <row r="174" spans="1:4" s="497" customFormat="1">
      <c r="A174" s="1552"/>
      <c r="B174" s="495"/>
      <c r="C174" s="498"/>
      <c r="D174" s="1553"/>
    </row>
    <row r="175" spans="1:4" s="497" customFormat="1" ht="38.25">
      <c r="A175" s="1552"/>
      <c r="B175" s="495"/>
      <c r="C175" s="608" t="s">
        <v>3875</v>
      </c>
      <c r="D175" s="1553"/>
    </row>
    <row r="176" spans="1:4" s="497" customFormat="1">
      <c r="A176" s="1552"/>
      <c r="B176" s="495"/>
      <c r="C176" s="498"/>
      <c r="D176" s="1553"/>
    </row>
    <row r="177" spans="1:4" s="502" customFormat="1">
      <c r="A177" s="1554"/>
      <c r="B177" s="505">
        <v>1.0900000000000001</v>
      </c>
      <c r="C177" s="501" t="s">
        <v>2068</v>
      </c>
      <c r="D177" s="1555"/>
    </row>
    <row r="178" spans="1:4" s="497" customFormat="1">
      <c r="A178" s="1552"/>
      <c r="B178" s="495"/>
      <c r="C178" s="498"/>
      <c r="D178" s="1553"/>
    </row>
    <row r="179" spans="1:4" s="497" customFormat="1" ht="51">
      <c r="A179" s="1552"/>
      <c r="B179" s="495"/>
      <c r="C179" s="498" t="s">
        <v>1471</v>
      </c>
      <c r="D179" s="1553"/>
    </row>
    <row r="180" spans="1:4" s="497" customFormat="1">
      <c r="A180" s="1552"/>
      <c r="B180" s="495"/>
      <c r="C180" s="498"/>
      <c r="D180" s="1553"/>
    </row>
    <row r="181" spans="1:4" s="497" customFormat="1" ht="51">
      <c r="A181" s="1552"/>
      <c r="B181" s="495"/>
      <c r="C181" s="498" t="s">
        <v>3876</v>
      </c>
      <c r="D181" s="1553"/>
    </row>
    <row r="182" spans="1:4" s="497" customFormat="1">
      <c r="A182" s="1552"/>
      <c r="B182" s="495"/>
      <c r="C182" s="498"/>
      <c r="D182" s="1553"/>
    </row>
    <row r="183" spans="1:4" s="497" customFormat="1">
      <c r="A183" s="1552"/>
      <c r="B183" s="495"/>
      <c r="C183" s="498" t="s">
        <v>1472</v>
      </c>
      <c r="D183" s="1553"/>
    </row>
    <row r="184" spans="1:4" s="497" customFormat="1">
      <c r="A184" s="1552"/>
      <c r="B184" s="495"/>
      <c r="C184" s="498"/>
      <c r="D184" s="1553"/>
    </row>
    <row r="185" spans="1:4" s="497" customFormat="1" ht="38.25">
      <c r="A185" s="1552"/>
      <c r="B185" s="495"/>
      <c r="C185" s="498" t="s">
        <v>1473</v>
      </c>
      <c r="D185" s="1553"/>
    </row>
    <row r="186" spans="1:4" s="497" customFormat="1">
      <c r="A186" s="1552"/>
      <c r="B186" s="495"/>
      <c r="C186" s="498"/>
      <c r="D186" s="1553"/>
    </row>
    <row r="187" spans="1:4" s="497" customFormat="1" ht="25.5">
      <c r="A187" s="1552"/>
      <c r="B187" s="495"/>
      <c r="C187" s="498" t="s">
        <v>1803</v>
      </c>
      <c r="D187" s="1553"/>
    </row>
    <row r="188" spans="1:4" s="497" customFormat="1">
      <c r="A188" s="1552"/>
      <c r="B188" s="495"/>
      <c r="C188" s="498"/>
      <c r="D188" s="1553"/>
    </row>
    <row r="189" spans="1:4" s="497" customFormat="1">
      <c r="A189" s="1552"/>
      <c r="B189" s="495"/>
      <c r="C189" s="498" t="s">
        <v>2641</v>
      </c>
      <c r="D189" s="1553"/>
    </row>
    <row r="190" spans="1:4" s="497" customFormat="1">
      <c r="A190" s="1552"/>
      <c r="B190" s="495"/>
      <c r="C190" s="498"/>
      <c r="D190" s="1553"/>
    </row>
    <row r="191" spans="1:4" s="497" customFormat="1">
      <c r="A191" s="1552"/>
      <c r="B191" s="495"/>
      <c r="C191" s="498" t="s">
        <v>822</v>
      </c>
      <c r="D191" s="1553"/>
    </row>
    <row r="192" spans="1:4" s="497" customFormat="1">
      <c r="A192" s="1552"/>
      <c r="B192" s="495"/>
      <c r="C192" s="498"/>
      <c r="D192" s="1553"/>
    </row>
    <row r="193" spans="1:4" s="497" customFormat="1">
      <c r="A193" s="1552"/>
      <c r="B193" s="495"/>
      <c r="C193" s="498" t="s">
        <v>2642</v>
      </c>
      <c r="D193" s="1553"/>
    </row>
    <row r="194" spans="1:4" s="497" customFormat="1">
      <c r="A194" s="1552"/>
      <c r="B194" s="495"/>
      <c r="C194" s="498"/>
      <c r="D194" s="1553"/>
    </row>
    <row r="195" spans="1:4" s="497" customFormat="1" ht="38.25">
      <c r="A195" s="1552"/>
      <c r="B195" s="495"/>
      <c r="C195" s="498" t="s">
        <v>823</v>
      </c>
      <c r="D195" s="1553"/>
    </row>
    <row r="196" spans="1:4" s="497" customFormat="1">
      <c r="A196" s="1552"/>
      <c r="B196" s="495"/>
      <c r="C196" s="498"/>
      <c r="D196" s="1553"/>
    </row>
    <row r="197" spans="1:4" s="497" customFormat="1">
      <c r="A197" s="1552"/>
      <c r="B197" s="495"/>
      <c r="C197" s="498"/>
      <c r="D197" s="1553"/>
    </row>
    <row r="198" spans="1:4" s="497" customFormat="1">
      <c r="A198" s="1552"/>
      <c r="B198" s="495"/>
      <c r="C198" s="498" t="s">
        <v>824</v>
      </c>
      <c r="D198" s="1553"/>
    </row>
    <row r="199" spans="1:4" s="497" customFormat="1">
      <c r="A199" s="1552"/>
      <c r="B199" s="495"/>
      <c r="C199" s="498"/>
      <c r="D199" s="1553"/>
    </row>
    <row r="200" spans="1:4" s="497" customFormat="1">
      <c r="A200" s="1552"/>
      <c r="B200" s="495"/>
      <c r="C200" s="498" t="s">
        <v>825</v>
      </c>
      <c r="D200" s="1553"/>
    </row>
    <row r="201" spans="1:4" s="497" customFormat="1">
      <c r="A201" s="1552"/>
      <c r="B201" s="495"/>
      <c r="C201" s="498"/>
      <c r="D201" s="1553"/>
    </row>
    <row r="202" spans="1:4" s="497" customFormat="1">
      <c r="A202" s="1552"/>
      <c r="B202" s="495"/>
      <c r="C202" s="498" t="s">
        <v>2643</v>
      </c>
      <c r="D202" s="1553"/>
    </row>
    <row r="203" spans="1:4" s="497" customFormat="1">
      <c r="A203" s="1552"/>
      <c r="B203" s="495"/>
      <c r="C203" s="498"/>
      <c r="D203" s="1553"/>
    </row>
    <row r="204" spans="1:4" s="497" customFormat="1">
      <c r="A204" s="1552"/>
      <c r="B204" s="495"/>
      <c r="C204" s="498" t="s">
        <v>1838</v>
      </c>
      <c r="D204" s="1553"/>
    </row>
    <row r="205" spans="1:4" s="497" customFormat="1">
      <c r="A205" s="1552"/>
      <c r="B205" s="495"/>
      <c r="C205" s="498"/>
      <c r="D205" s="1553"/>
    </row>
    <row r="206" spans="1:4" s="497" customFormat="1" ht="25.5">
      <c r="A206" s="1552"/>
      <c r="B206" s="495"/>
      <c r="C206" s="498" t="s">
        <v>684</v>
      </c>
      <c r="D206" s="1553"/>
    </row>
    <row r="207" spans="1:4" s="497" customFormat="1">
      <c r="A207" s="1552"/>
      <c r="B207" s="495"/>
      <c r="C207" s="498"/>
      <c r="D207" s="1553"/>
    </row>
    <row r="208" spans="1:4" s="497" customFormat="1" ht="51">
      <c r="A208" s="1552"/>
      <c r="B208" s="495"/>
      <c r="C208" s="498" t="s">
        <v>685</v>
      </c>
      <c r="D208" s="1553"/>
    </row>
    <row r="209" spans="1:4" s="497" customFormat="1">
      <c r="A209" s="1552"/>
      <c r="B209" s="495"/>
      <c r="C209" s="498"/>
      <c r="D209" s="1553"/>
    </row>
    <row r="210" spans="1:4" s="497" customFormat="1" ht="25.5">
      <c r="A210" s="1552"/>
      <c r="B210" s="495"/>
      <c r="C210" s="498" t="s">
        <v>481</v>
      </c>
      <c r="D210" s="1553"/>
    </row>
    <row r="211" spans="1:4" s="497" customFormat="1">
      <c r="A211" s="1552"/>
      <c r="B211" s="495"/>
      <c r="C211" s="498"/>
      <c r="D211" s="1553"/>
    </row>
    <row r="212" spans="1:4" s="497" customFormat="1">
      <c r="A212" s="1552"/>
      <c r="B212" s="495"/>
      <c r="C212" s="501" t="s">
        <v>482</v>
      </c>
      <c r="D212" s="1553"/>
    </row>
    <row r="213" spans="1:4" s="497" customFormat="1">
      <c r="A213" s="1552"/>
      <c r="B213" s="495"/>
      <c r="C213" s="498"/>
      <c r="D213" s="1553"/>
    </row>
    <row r="214" spans="1:4" s="497" customFormat="1" ht="25.5">
      <c r="A214" s="1552"/>
      <c r="B214" s="495"/>
      <c r="C214" s="498" t="s">
        <v>483</v>
      </c>
      <c r="D214" s="1553"/>
    </row>
    <row r="215" spans="1:4" s="497" customFormat="1">
      <c r="A215" s="1552"/>
      <c r="B215" s="495"/>
      <c r="C215" s="498"/>
      <c r="D215" s="1553"/>
    </row>
    <row r="216" spans="1:4" s="497" customFormat="1" ht="25.5">
      <c r="A216" s="1552"/>
      <c r="B216" s="495"/>
      <c r="C216" s="498" t="s">
        <v>484</v>
      </c>
      <c r="D216" s="1553"/>
    </row>
    <row r="217" spans="1:4" s="497" customFormat="1">
      <c r="A217" s="1552"/>
      <c r="B217" s="495"/>
      <c r="C217" s="498"/>
      <c r="D217" s="1553"/>
    </row>
    <row r="218" spans="1:4" s="497" customFormat="1" ht="38.25">
      <c r="A218" s="1552"/>
      <c r="B218" s="495"/>
      <c r="C218" s="498" t="s">
        <v>485</v>
      </c>
      <c r="D218" s="1553"/>
    </row>
    <row r="219" spans="1:4" s="497" customFormat="1" ht="51">
      <c r="A219" s="1552"/>
      <c r="B219" s="495"/>
      <c r="C219" s="608" t="s">
        <v>3877</v>
      </c>
      <c r="D219" s="1553"/>
    </row>
    <row r="220" spans="1:4" s="497" customFormat="1">
      <c r="A220" s="1552"/>
      <c r="B220" s="495"/>
      <c r="C220" s="508"/>
      <c r="D220" s="1553"/>
    </row>
    <row r="221" spans="1:4" s="497" customFormat="1">
      <c r="A221" s="1552"/>
      <c r="B221" s="495"/>
      <c r="C221" s="498"/>
      <c r="D221" s="1553"/>
    </row>
    <row r="222" spans="1:4" s="502" customFormat="1">
      <c r="A222" s="1554"/>
      <c r="B222" s="505" t="s">
        <v>2067</v>
      </c>
      <c r="C222" s="501" t="s">
        <v>2070</v>
      </c>
      <c r="D222" s="1555"/>
    </row>
    <row r="223" spans="1:4" s="497" customFormat="1">
      <c r="A223" s="1552"/>
      <c r="B223" s="495"/>
      <c r="C223" s="498"/>
      <c r="D223" s="1553"/>
    </row>
    <row r="224" spans="1:4" s="497" customFormat="1" ht="38.25">
      <c r="A224" s="1552"/>
      <c r="B224" s="495"/>
      <c r="C224" s="498" t="s">
        <v>486</v>
      </c>
      <c r="D224" s="1553"/>
    </row>
    <row r="225" spans="1:4" s="497" customFormat="1">
      <c r="A225" s="1552"/>
      <c r="B225" s="495"/>
      <c r="C225" s="498"/>
      <c r="D225" s="1553"/>
    </row>
    <row r="226" spans="1:4" s="497" customFormat="1" ht="38.25">
      <c r="A226" s="1552"/>
      <c r="B226" s="495"/>
      <c r="C226" s="498" t="s">
        <v>3344</v>
      </c>
      <c r="D226" s="1553"/>
    </row>
    <row r="227" spans="1:4" s="497" customFormat="1">
      <c r="A227" s="1552"/>
      <c r="B227" s="495"/>
      <c r="C227" s="498"/>
      <c r="D227" s="1553"/>
    </row>
    <row r="228" spans="1:4" s="497" customFormat="1" ht="38.25">
      <c r="A228" s="1552"/>
      <c r="B228" s="495"/>
      <c r="C228" s="498" t="s">
        <v>487</v>
      </c>
      <c r="D228" s="1553"/>
    </row>
    <row r="229" spans="1:4" s="497" customFormat="1">
      <c r="A229" s="1552"/>
      <c r="B229" s="495"/>
      <c r="C229" s="498"/>
      <c r="D229" s="1553"/>
    </row>
    <row r="230" spans="1:4" s="497" customFormat="1">
      <c r="A230" s="1552"/>
      <c r="B230" s="495"/>
      <c r="C230" s="498" t="s">
        <v>3806</v>
      </c>
      <c r="D230" s="1553"/>
    </row>
    <row r="231" spans="1:4" s="497" customFormat="1">
      <c r="A231" s="1552"/>
      <c r="B231" s="495"/>
      <c r="C231" s="498"/>
      <c r="D231" s="1553"/>
    </row>
    <row r="232" spans="1:4" s="497" customFormat="1">
      <c r="A232" s="1552"/>
      <c r="B232" s="495"/>
      <c r="C232" s="498" t="s">
        <v>2640</v>
      </c>
      <c r="D232" s="1553"/>
    </row>
    <row r="233" spans="1:4" s="497" customFormat="1">
      <c r="A233" s="1552"/>
      <c r="B233" s="495"/>
      <c r="C233" s="498"/>
      <c r="D233" s="1553"/>
    </row>
    <row r="234" spans="1:4" s="502" customFormat="1">
      <c r="A234" s="1554"/>
      <c r="B234" s="505" t="s">
        <v>2069</v>
      </c>
      <c r="C234" s="501" t="s">
        <v>2072</v>
      </c>
      <c r="D234" s="1555"/>
    </row>
    <row r="235" spans="1:4" s="497" customFormat="1">
      <c r="A235" s="1552"/>
      <c r="B235" s="495"/>
      <c r="C235" s="498"/>
      <c r="D235" s="1553"/>
    </row>
    <row r="236" spans="1:4" s="497" customFormat="1" ht="25.5">
      <c r="A236" s="1552"/>
      <c r="B236" s="495"/>
      <c r="C236" s="498" t="s">
        <v>488</v>
      </c>
      <c r="D236" s="1553"/>
    </row>
    <row r="237" spans="1:4" s="497" customFormat="1">
      <c r="A237" s="1552"/>
      <c r="B237" s="495"/>
      <c r="C237" s="498"/>
      <c r="D237" s="1553"/>
    </row>
    <row r="238" spans="1:4" s="497" customFormat="1">
      <c r="A238" s="1552"/>
      <c r="B238" s="495"/>
      <c r="C238" s="498" t="s">
        <v>3703</v>
      </c>
      <c r="D238" s="1553"/>
    </row>
    <row r="239" spans="1:4" s="497" customFormat="1">
      <c r="A239" s="1552"/>
      <c r="B239" s="495"/>
      <c r="C239" s="498"/>
      <c r="D239" s="1553"/>
    </row>
    <row r="240" spans="1:4" s="497" customFormat="1">
      <c r="A240" s="1552"/>
      <c r="B240" s="495"/>
      <c r="C240" s="498" t="s">
        <v>3878</v>
      </c>
      <c r="D240" s="1553"/>
    </row>
    <row r="241" spans="1:4" s="497" customFormat="1">
      <c r="A241" s="1552"/>
      <c r="B241" s="495"/>
      <c r="C241" s="498"/>
      <c r="D241" s="1553"/>
    </row>
    <row r="242" spans="1:4" s="502" customFormat="1">
      <c r="A242" s="1554"/>
      <c r="B242" s="505" t="s">
        <v>2071</v>
      </c>
      <c r="C242" s="501" t="s">
        <v>2073</v>
      </c>
      <c r="D242" s="1555"/>
    </row>
    <row r="243" spans="1:4" s="497" customFormat="1">
      <c r="A243" s="1552"/>
      <c r="B243" s="495"/>
      <c r="C243" s="498"/>
      <c r="D243" s="1553"/>
    </row>
    <row r="244" spans="1:4" s="497" customFormat="1" ht="25.5">
      <c r="A244" s="1552"/>
      <c r="B244" s="495"/>
      <c r="C244" s="498" t="s">
        <v>489</v>
      </c>
      <c r="D244" s="1553"/>
    </row>
    <row r="245" spans="1:4" s="497" customFormat="1">
      <c r="A245" s="1552"/>
      <c r="B245" s="495"/>
      <c r="C245" s="498"/>
      <c r="D245" s="1553"/>
    </row>
    <row r="246" spans="1:4" s="497" customFormat="1">
      <c r="A246" s="1552"/>
      <c r="B246" s="495"/>
      <c r="C246" s="498" t="s">
        <v>490</v>
      </c>
      <c r="D246" s="1553"/>
    </row>
    <row r="247" spans="1:4" s="497" customFormat="1">
      <c r="A247" s="1552"/>
      <c r="B247" s="495"/>
      <c r="C247" s="498"/>
      <c r="D247" s="1553"/>
    </row>
    <row r="248" spans="1:4" s="497" customFormat="1" ht="38.25">
      <c r="A248" s="1552"/>
      <c r="B248" s="495"/>
      <c r="C248" s="498" t="s">
        <v>1797</v>
      </c>
      <c r="D248" s="1553"/>
    </row>
    <row r="249" spans="1:4" s="497" customFormat="1">
      <c r="A249" s="1552"/>
      <c r="B249" s="495"/>
      <c r="C249" s="498"/>
      <c r="D249" s="1553"/>
    </row>
    <row r="250" spans="1:4" s="497" customFormat="1" ht="25.5">
      <c r="A250" s="1552"/>
      <c r="B250" s="495"/>
      <c r="C250" s="498" t="s">
        <v>1798</v>
      </c>
      <c r="D250" s="1553"/>
    </row>
    <row r="251" spans="1:4" s="497" customFormat="1">
      <c r="A251" s="1552"/>
      <c r="B251" s="495"/>
      <c r="C251" s="498"/>
      <c r="D251" s="1553"/>
    </row>
    <row r="252" spans="1:4" s="497" customFormat="1">
      <c r="A252" s="1552"/>
      <c r="B252" s="495"/>
      <c r="C252" s="498" t="s">
        <v>3420</v>
      </c>
      <c r="D252" s="1553"/>
    </row>
    <row r="253" spans="1:4" s="497" customFormat="1" ht="25.5">
      <c r="A253" s="1552"/>
      <c r="B253" s="495"/>
      <c r="C253" s="498" t="s">
        <v>3421</v>
      </c>
      <c r="D253" s="1553"/>
    </row>
    <row r="254" spans="1:4" s="497" customFormat="1" ht="25.5">
      <c r="A254" s="1552"/>
      <c r="B254" s="495"/>
      <c r="C254" s="498" t="s">
        <v>3422</v>
      </c>
      <c r="D254" s="1553"/>
    </row>
    <row r="255" spans="1:4" s="497" customFormat="1" ht="25.5">
      <c r="A255" s="1552"/>
      <c r="B255" s="495"/>
      <c r="C255" s="498" t="s">
        <v>3423</v>
      </c>
      <c r="D255" s="1553"/>
    </row>
    <row r="256" spans="1:4" s="497" customFormat="1">
      <c r="A256" s="1552"/>
      <c r="B256" s="495"/>
      <c r="C256" s="498"/>
      <c r="D256" s="1553"/>
    </row>
    <row r="257" spans="1:4" s="497" customFormat="1">
      <c r="A257" s="1552"/>
      <c r="B257" s="495"/>
      <c r="C257" s="498" t="s">
        <v>1799</v>
      </c>
      <c r="D257" s="1553"/>
    </row>
    <row r="258" spans="1:4" s="497" customFormat="1">
      <c r="A258" s="1552"/>
      <c r="B258" s="495"/>
      <c r="C258" s="498"/>
      <c r="D258" s="1553"/>
    </row>
    <row r="259" spans="1:4" s="497" customFormat="1" ht="38.25">
      <c r="A259" s="1552"/>
      <c r="B259" s="495"/>
      <c r="C259" s="498" t="s">
        <v>1800</v>
      </c>
      <c r="D259" s="1553"/>
    </row>
    <row r="260" spans="1:4" s="497" customFormat="1">
      <c r="A260" s="1552"/>
      <c r="B260" s="495"/>
      <c r="C260" s="498"/>
      <c r="D260" s="1553"/>
    </row>
    <row r="261" spans="1:4" s="497" customFormat="1">
      <c r="A261" s="1552"/>
      <c r="B261" s="495"/>
      <c r="C261" s="498" t="s">
        <v>1801</v>
      </c>
      <c r="D261" s="1553"/>
    </row>
    <row r="262" spans="1:4" s="497" customFormat="1">
      <c r="A262" s="1552"/>
      <c r="B262" s="495"/>
      <c r="C262" s="498"/>
      <c r="D262" s="1553"/>
    </row>
    <row r="263" spans="1:4" s="497" customFormat="1" ht="25.5">
      <c r="A263" s="1552"/>
      <c r="B263" s="495"/>
      <c r="C263" s="498" t="s">
        <v>1802</v>
      </c>
      <c r="D263" s="1553"/>
    </row>
    <row r="264" spans="1:4" s="497" customFormat="1">
      <c r="A264" s="1552"/>
      <c r="B264" s="495"/>
      <c r="C264" s="498"/>
      <c r="D264" s="1553"/>
    </row>
    <row r="265" spans="1:4" s="497" customFormat="1" ht="25.5">
      <c r="A265" s="1552"/>
      <c r="B265" s="495"/>
      <c r="C265" s="498" t="s">
        <v>3424</v>
      </c>
      <c r="D265" s="1553"/>
    </row>
    <row r="266" spans="1:4" s="497" customFormat="1" ht="25.5">
      <c r="A266" s="1552"/>
      <c r="B266" s="495"/>
      <c r="C266" s="498" t="s">
        <v>3425</v>
      </c>
      <c r="D266" s="1553"/>
    </row>
    <row r="267" spans="1:4" s="497" customFormat="1">
      <c r="A267" s="1552"/>
      <c r="B267" s="495"/>
      <c r="C267" s="498" t="s">
        <v>3426</v>
      </c>
      <c r="D267" s="1553"/>
    </row>
    <row r="268" spans="1:4" s="497" customFormat="1" ht="25.5">
      <c r="A268" s="1552"/>
      <c r="B268" s="495"/>
      <c r="C268" s="498" t="s">
        <v>3427</v>
      </c>
      <c r="D268" s="1553"/>
    </row>
    <row r="269" spans="1:4" s="497" customFormat="1" ht="25.5">
      <c r="A269" s="1552"/>
      <c r="B269" s="495"/>
      <c r="C269" s="498" t="s">
        <v>3428</v>
      </c>
      <c r="D269" s="1553"/>
    </row>
    <row r="270" spans="1:4" s="497" customFormat="1">
      <c r="A270" s="1552"/>
      <c r="B270" s="495"/>
      <c r="C270" s="498"/>
      <c r="D270" s="1553"/>
    </row>
    <row r="271" spans="1:4" s="497" customFormat="1" ht="25.5">
      <c r="A271" s="1552"/>
      <c r="B271" s="495"/>
      <c r="C271" s="498" t="s">
        <v>2131</v>
      </c>
      <c r="D271" s="1553"/>
    </row>
    <row r="272" spans="1:4" s="497" customFormat="1">
      <c r="A272" s="1552"/>
      <c r="B272" s="495"/>
      <c r="C272" s="498"/>
      <c r="D272" s="1553"/>
    </row>
    <row r="273" spans="1:12" s="497" customFormat="1" ht="25.5">
      <c r="A273" s="1552"/>
      <c r="B273" s="495"/>
      <c r="C273" s="498" t="s">
        <v>2132</v>
      </c>
      <c r="D273" s="1553"/>
    </row>
    <row r="274" spans="1:12" s="497" customFormat="1">
      <c r="A274" s="1552"/>
      <c r="B274" s="495"/>
      <c r="C274" s="498"/>
      <c r="D274" s="1553"/>
    </row>
    <row r="275" spans="1:12" s="497" customFormat="1">
      <c r="A275" s="1552"/>
      <c r="B275" s="495"/>
      <c r="C275" s="498" t="s">
        <v>2133</v>
      </c>
      <c r="D275" s="1553"/>
    </row>
    <row r="276" spans="1:12" s="497" customFormat="1">
      <c r="A276" s="1552"/>
      <c r="B276" s="495"/>
      <c r="C276" s="498"/>
      <c r="D276" s="1553"/>
    </row>
    <row r="277" spans="1:12" s="497" customFormat="1" ht="25.5">
      <c r="A277" s="1552"/>
      <c r="B277" s="495"/>
      <c r="C277" s="498" t="s">
        <v>2134</v>
      </c>
      <c r="D277" s="1553"/>
    </row>
    <row r="278" spans="1:12" s="497" customFormat="1">
      <c r="A278" s="1552"/>
      <c r="B278" s="495"/>
      <c r="C278" s="498"/>
      <c r="D278" s="1553"/>
    </row>
    <row r="279" spans="1:12" s="497" customFormat="1">
      <c r="A279" s="1552"/>
      <c r="B279" s="495"/>
      <c r="C279" s="498" t="s">
        <v>3429</v>
      </c>
      <c r="D279" s="1553"/>
    </row>
    <row r="280" spans="1:12" s="497" customFormat="1" ht="25.5">
      <c r="A280" s="1552"/>
      <c r="B280" s="495"/>
      <c r="C280" s="498" t="s">
        <v>3430</v>
      </c>
      <c r="D280" s="1553"/>
    </row>
    <row r="281" spans="1:12" s="497" customFormat="1">
      <c r="A281" s="1552"/>
      <c r="B281" s="495"/>
      <c r="C281" s="498" t="s">
        <v>3431</v>
      </c>
      <c r="D281" s="1553"/>
    </row>
    <row r="282" spans="1:12" s="497" customFormat="1">
      <c r="A282" s="1552"/>
      <c r="B282" s="495"/>
      <c r="C282" s="498"/>
      <c r="D282" s="1553"/>
    </row>
    <row r="283" spans="1:12" s="497" customFormat="1" ht="51">
      <c r="A283" s="1552"/>
      <c r="B283" s="495"/>
      <c r="C283" s="506" t="s">
        <v>450</v>
      </c>
      <c r="D283" s="1553"/>
      <c r="E283" s="506"/>
      <c r="F283" s="506"/>
      <c r="G283" s="506"/>
      <c r="H283" s="506"/>
      <c r="I283" s="506"/>
      <c r="J283" s="506"/>
      <c r="K283" s="506"/>
      <c r="L283" s="506"/>
    </row>
    <row r="284" spans="1:12" s="497" customFormat="1" ht="51">
      <c r="A284" s="1552"/>
      <c r="B284" s="495"/>
      <c r="C284" s="498" t="s">
        <v>1536</v>
      </c>
      <c r="D284" s="1553"/>
    </row>
    <row r="285" spans="1:12" s="497" customFormat="1">
      <c r="A285" s="1552"/>
      <c r="B285" s="495"/>
      <c r="C285" s="498"/>
      <c r="D285" s="1553"/>
    </row>
    <row r="286" spans="1:12" s="497" customFormat="1" ht="38.25">
      <c r="A286" s="1552"/>
      <c r="B286" s="495"/>
      <c r="C286" s="498" t="s">
        <v>1812</v>
      </c>
      <c r="D286" s="1553"/>
    </row>
    <row r="287" spans="1:12" s="497" customFormat="1">
      <c r="A287" s="1552"/>
      <c r="B287" s="495"/>
      <c r="C287" s="498"/>
      <c r="D287" s="1553"/>
    </row>
    <row r="288" spans="1:12" s="497" customFormat="1">
      <c r="A288" s="1552"/>
      <c r="B288" s="495"/>
      <c r="C288" s="498" t="s">
        <v>1813</v>
      </c>
      <c r="D288" s="1553"/>
    </row>
    <row r="289" spans="1:4" s="497" customFormat="1">
      <c r="A289" s="1552"/>
      <c r="B289" s="495"/>
      <c r="C289" s="498"/>
      <c r="D289" s="1553"/>
    </row>
    <row r="290" spans="1:4" s="497" customFormat="1" ht="25.5">
      <c r="A290" s="1552"/>
      <c r="B290" s="495"/>
      <c r="C290" s="498" t="s">
        <v>1814</v>
      </c>
      <c r="D290" s="1553"/>
    </row>
    <row r="291" spans="1:4" s="497" customFormat="1">
      <c r="A291" s="1552"/>
      <c r="B291" s="495"/>
      <c r="C291" s="498"/>
      <c r="D291" s="1553"/>
    </row>
    <row r="292" spans="1:4" s="497" customFormat="1" ht="25.5">
      <c r="A292" s="1552"/>
      <c r="B292" s="495"/>
      <c r="C292" s="498" t="s">
        <v>3432</v>
      </c>
      <c r="D292" s="1553"/>
    </row>
    <row r="293" spans="1:4" s="497" customFormat="1">
      <c r="A293" s="1552"/>
      <c r="B293" s="495"/>
      <c r="C293" s="498" t="s">
        <v>3433</v>
      </c>
      <c r="D293" s="1553"/>
    </row>
    <row r="294" spans="1:4" s="497" customFormat="1">
      <c r="A294" s="1552"/>
      <c r="B294" s="495"/>
      <c r="C294" s="498"/>
      <c r="D294" s="1553"/>
    </row>
    <row r="295" spans="1:4" s="497" customFormat="1" ht="76.5">
      <c r="A295" s="1552"/>
      <c r="B295" s="495"/>
      <c r="C295" s="498" t="s">
        <v>1815</v>
      </c>
      <c r="D295" s="1553"/>
    </row>
    <row r="296" spans="1:4" s="497" customFormat="1">
      <c r="A296" s="1552"/>
      <c r="B296" s="495"/>
      <c r="C296" s="498"/>
      <c r="D296" s="1553"/>
    </row>
    <row r="297" spans="1:4" s="497" customFormat="1" ht="25.5">
      <c r="A297" s="1552"/>
      <c r="B297" s="495"/>
      <c r="C297" s="498" t="s">
        <v>1816</v>
      </c>
      <c r="D297" s="1553"/>
    </row>
    <row r="298" spans="1:4" s="497" customFormat="1">
      <c r="A298" s="1552"/>
      <c r="B298" s="495"/>
      <c r="C298" s="498"/>
      <c r="D298" s="1553"/>
    </row>
    <row r="299" spans="1:4" s="497" customFormat="1" ht="63.75">
      <c r="A299" s="1552"/>
      <c r="B299" s="495"/>
      <c r="C299" s="498" t="s">
        <v>519</v>
      </c>
      <c r="D299" s="1553"/>
    </row>
    <row r="300" spans="1:4" s="497" customFormat="1">
      <c r="A300" s="1552"/>
      <c r="B300" s="495"/>
      <c r="C300" s="498"/>
      <c r="D300" s="1553"/>
    </row>
    <row r="301" spans="1:4" s="497" customFormat="1" ht="38.25">
      <c r="A301" s="1552"/>
      <c r="B301" s="495"/>
      <c r="C301" s="498" t="s">
        <v>2484</v>
      </c>
      <c r="D301" s="1553"/>
    </row>
    <row r="302" spans="1:4" s="497" customFormat="1">
      <c r="A302" s="1552"/>
      <c r="B302" s="495"/>
      <c r="C302" s="498"/>
      <c r="D302" s="1553"/>
    </row>
    <row r="303" spans="1:4" s="497" customFormat="1">
      <c r="A303" s="1552"/>
      <c r="B303" s="495"/>
      <c r="C303" s="498" t="s">
        <v>1121</v>
      </c>
      <c r="D303" s="1553"/>
    </row>
    <row r="304" spans="1:4" s="497" customFormat="1">
      <c r="A304" s="1552"/>
      <c r="B304" s="495"/>
      <c r="C304" s="498"/>
      <c r="D304" s="1553"/>
    </row>
    <row r="305" spans="1:4" s="497" customFormat="1">
      <c r="A305" s="1552"/>
      <c r="B305" s="495"/>
      <c r="C305" s="498" t="s">
        <v>520</v>
      </c>
      <c r="D305" s="1553"/>
    </row>
    <row r="306" spans="1:4" s="497" customFormat="1">
      <c r="A306" s="1552"/>
      <c r="B306" s="495"/>
      <c r="C306" s="498"/>
      <c r="D306" s="1553"/>
    </row>
    <row r="307" spans="1:4" s="497" customFormat="1" ht="25.5">
      <c r="A307" s="1552"/>
      <c r="B307" s="495"/>
      <c r="C307" s="498" t="s">
        <v>3434</v>
      </c>
      <c r="D307" s="1553"/>
    </row>
    <row r="308" spans="1:4" s="497" customFormat="1">
      <c r="A308" s="1552"/>
      <c r="B308" s="495"/>
      <c r="C308" s="498" t="s">
        <v>3435</v>
      </c>
      <c r="D308" s="1553"/>
    </row>
    <row r="309" spans="1:4" s="497" customFormat="1">
      <c r="A309" s="1552"/>
      <c r="B309" s="495"/>
      <c r="C309" s="498"/>
      <c r="D309" s="1553"/>
    </row>
    <row r="310" spans="1:4" s="497" customFormat="1" ht="76.5">
      <c r="A310" s="1552"/>
      <c r="B310" s="495"/>
      <c r="C310" s="498" t="s">
        <v>2649</v>
      </c>
      <c r="D310" s="1553"/>
    </row>
    <row r="311" spans="1:4" s="497" customFormat="1">
      <c r="A311" s="1552"/>
      <c r="B311" s="495"/>
      <c r="C311" s="498"/>
      <c r="D311" s="1553"/>
    </row>
    <row r="312" spans="1:4" s="497" customFormat="1">
      <c r="A312" s="1552"/>
      <c r="B312" s="495"/>
      <c r="C312" s="498" t="s">
        <v>521</v>
      </c>
      <c r="D312" s="1553"/>
    </row>
    <row r="313" spans="1:4" s="497" customFormat="1">
      <c r="A313" s="1552"/>
      <c r="B313" s="495"/>
      <c r="C313" s="498"/>
      <c r="D313" s="1553"/>
    </row>
    <row r="314" spans="1:4" s="497" customFormat="1" ht="51">
      <c r="A314" s="1552"/>
      <c r="B314" s="495"/>
      <c r="C314" s="498" t="s">
        <v>522</v>
      </c>
      <c r="D314" s="1553"/>
    </row>
    <row r="315" spans="1:4" s="497" customFormat="1">
      <c r="A315" s="1552"/>
      <c r="B315" s="495"/>
      <c r="C315" s="498"/>
      <c r="D315" s="1553"/>
    </row>
    <row r="316" spans="1:4" s="497" customFormat="1" ht="25.5">
      <c r="A316" s="1552"/>
      <c r="B316" s="495"/>
      <c r="C316" s="498" t="s">
        <v>523</v>
      </c>
      <c r="D316" s="1553"/>
    </row>
    <row r="317" spans="1:4" s="497" customFormat="1">
      <c r="A317" s="1552"/>
      <c r="B317" s="495"/>
      <c r="C317" s="498"/>
      <c r="D317" s="1553"/>
    </row>
    <row r="318" spans="1:4" s="497" customFormat="1">
      <c r="A318" s="1552"/>
      <c r="B318" s="495"/>
      <c r="C318" s="498" t="s">
        <v>524</v>
      </c>
      <c r="D318" s="1553"/>
    </row>
    <row r="319" spans="1:4" s="497" customFormat="1">
      <c r="A319" s="1552"/>
      <c r="B319" s="495"/>
      <c r="C319" s="498"/>
      <c r="D319" s="1553"/>
    </row>
    <row r="320" spans="1:4" s="497" customFormat="1" ht="25.5">
      <c r="A320" s="1552"/>
      <c r="B320" s="495"/>
      <c r="C320" s="498" t="s">
        <v>3436</v>
      </c>
      <c r="D320" s="1553"/>
    </row>
    <row r="321" spans="1:4" s="497" customFormat="1">
      <c r="A321" s="1552"/>
      <c r="B321" s="495"/>
      <c r="C321" s="498" t="s">
        <v>3437</v>
      </c>
      <c r="D321" s="1553"/>
    </row>
    <row r="322" spans="1:4" s="497" customFormat="1" ht="25.5">
      <c r="A322" s="1552"/>
      <c r="B322" s="495"/>
      <c r="C322" s="498" t="s">
        <v>3438</v>
      </c>
      <c r="D322" s="1553"/>
    </row>
    <row r="323" spans="1:4" s="497" customFormat="1">
      <c r="A323" s="1552"/>
      <c r="B323" s="495"/>
      <c r="C323" s="498"/>
      <c r="D323" s="1553"/>
    </row>
    <row r="324" spans="1:4" s="497" customFormat="1">
      <c r="A324" s="1552"/>
      <c r="B324" s="495"/>
      <c r="C324" s="498" t="s">
        <v>525</v>
      </c>
      <c r="D324" s="1553"/>
    </row>
    <row r="325" spans="1:4" s="497" customFormat="1">
      <c r="A325" s="1552"/>
      <c r="B325" s="495"/>
      <c r="C325" s="498"/>
      <c r="D325" s="1553"/>
    </row>
    <row r="326" spans="1:4" s="497" customFormat="1">
      <c r="A326" s="1552"/>
      <c r="B326" s="495"/>
      <c r="C326" s="498" t="s">
        <v>526</v>
      </c>
      <c r="D326" s="1553"/>
    </row>
    <row r="327" spans="1:4" s="497" customFormat="1">
      <c r="A327" s="1552"/>
      <c r="B327" s="495"/>
      <c r="C327" s="498"/>
      <c r="D327" s="1553"/>
    </row>
    <row r="328" spans="1:4" s="497" customFormat="1" ht="25.5">
      <c r="A328" s="1552"/>
      <c r="B328" s="495"/>
      <c r="C328" s="498" t="s">
        <v>3439</v>
      </c>
      <c r="D328" s="1553"/>
    </row>
    <row r="329" spans="1:4" s="497" customFormat="1">
      <c r="A329" s="1552"/>
      <c r="B329" s="495"/>
      <c r="C329" s="498" t="s">
        <v>3440</v>
      </c>
      <c r="D329" s="1553"/>
    </row>
    <row r="330" spans="1:4" s="497" customFormat="1" ht="25.5">
      <c r="A330" s="1552"/>
      <c r="B330" s="495"/>
      <c r="C330" s="498" t="s">
        <v>3438</v>
      </c>
      <c r="D330" s="1553"/>
    </row>
    <row r="331" spans="1:4" s="497" customFormat="1">
      <c r="A331" s="1552"/>
      <c r="B331" s="495"/>
      <c r="C331" s="498"/>
      <c r="D331" s="1553"/>
    </row>
    <row r="332" spans="1:4" s="497" customFormat="1" ht="25.5">
      <c r="A332" s="1552"/>
      <c r="B332" s="495"/>
      <c r="C332" s="498" t="s">
        <v>1804</v>
      </c>
      <c r="D332" s="1553"/>
    </row>
    <row r="333" spans="1:4" s="497" customFormat="1">
      <c r="A333" s="1552"/>
      <c r="B333" s="495"/>
      <c r="C333" s="498"/>
      <c r="D333" s="1553"/>
    </row>
    <row r="334" spans="1:4" s="497" customFormat="1" ht="38.25">
      <c r="A334" s="1552"/>
      <c r="B334" s="495"/>
      <c r="C334" s="498" t="s">
        <v>1805</v>
      </c>
      <c r="D334" s="1553"/>
    </row>
    <row r="335" spans="1:4" s="497" customFormat="1">
      <c r="A335" s="1552"/>
      <c r="B335" s="495"/>
      <c r="C335" s="498"/>
      <c r="D335" s="1553"/>
    </row>
    <row r="336" spans="1:4" s="497" customFormat="1" ht="25.5">
      <c r="A336" s="1552"/>
      <c r="B336" s="495"/>
      <c r="C336" s="498" t="s">
        <v>1806</v>
      </c>
      <c r="D336" s="1553"/>
    </row>
    <row r="337" spans="1:4" s="497" customFormat="1">
      <c r="A337" s="1552"/>
      <c r="B337" s="495"/>
      <c r="C337" s="498"/>
      <c r="D337" s="1553"/>
    </row>
    <row r="338" spans="1:4" s="497" customFormat="1">
      <c r="A338" s="1552"/>
      <c r="B338" s="495"/>
      <c r="C338" s="498" t="s">
        <v>1807</v>
      </c>
      <c r="D338" s="1553"/>
    </row>
    <row r="339" spans="1:4" s="497" customFormat="1">
      <c r="A339" s="1552"/>
      <c r="B339" s="495"/>
      <c r="C339" s="498"/>
      <c r="D339" s="1553"/>
    </row>
    <row r="340" spans="1:4" s="497" customFormat="1">
      <c r="A340" s="1552"/>
      <c r="B340" s="495"/>
      <c r="C340" s="498" t="s">
        <v>1808</v>
      </c>
      <c r="D340" s="1553"/>
    </row>
    <row r="341" spans="1:4" s="497" customFormat="1">
      <c r="A341" s="1552"/>
      <c r="B341" s="495"/>
      <c r="C341" s="498"/>
      <c r="D341" s="1553"/>
    </row>
    <row r="342" spans="1:4" s="497" customFormat="1" ht="25.5">
      <c r="A342" s="1552"/>
      <c r="B342" s="495"/>
      <c r="C342" s="498" t="s">
        <v>3434</v>
      </c>
      <c r="D342" s="1553"/>
    </row>
    <row r="343" spans="1:4" s="497" customFormat="1">
      <c r="A343" s="1552"/>
      <c r="B343" s="495"/>
      <c r="C343" s="498" t="s">
        <v>3433</v>
      </c>
      <c r="D343" s="1553"/>
    </row>
    <row r="344" spans="1:4" s="497" customFormat="1">
      <c r="A344" s="1552"/>
      <c r="B344" s="495"/>
      <c r="C344" s="498"/>
      <c r="D344" s="1553"/>
    </row>
    <row r="345" spans="1:4" s="497" customFormat="1">
      <c r="A345" s="1552"/>
      <c r="B345" s="495"/>
      <c r="C345" s="498" t="s">
        <v>1809</v>
      </c>
      <c r="D345" s="1553"/>
    </row>
    <row r="346" spans="1:4" s="497" customFormat="1">
      <c r="A346" s="1552"/>
      <c r="B346" s="495"/>
      <c r="C346" s="498"/>
      <c r="D346" s="1553"/>
    </row>
    <row r="347" spans="1:4" s="497" customFormat="1" ht="25.5">
      <c r="A347" s="1552"/>
      <c r="B347" s="495"/>
      <c r="C347" s="498" t="s">
        <v>1810</v>
      </c>
      <c r="D347" s="1553"/>
    </row>
    <row r="348" spans="1:4" s="497" customFormat="1">
      <c r="A348" s="1552"/>
      <c r="B348" s="495"/>
      <c r="C348" s="498"/>
      <c r="D348" s="1553"/>
    </row>
    <row r="349" spans="1:4" s="497" customFormat="1" ht="25.5">
      <c r="A349" s="1552"/>
      <c r="B349" s="495"/>
      <c r="C349" s="498" t="s">
        <v>3430</v>
      </c>
      <c r="D349" s="1553"/>
    </row>
    <row r="350" spans="1:4" s="497" customFormat="1">
      <c r="A350" s="1552"/>
      <c r="B350" s="495"/>
      <c r="C350" s="498" t="s">
        <v>3435</v>
      </c>
      <c r="D350" s="1553"/>
    </row>
    <row r="351" spans="1:4" s="497" customFormat="1">
      <c r="A351" s="1552"/>
      <c r="B351" s="495"/>
      <c r="C351" s="498"/>
      <c r="D351" s="1553"/>
    </row>
    <row r="352" spans="1:4" s="497" customFormat="1" ht="25.5">
      <c r="A352" s="1552"/>
      <c r="B352" s="495"/>
      <c r="C352" s="498" t="s">
        <v>1811</v>
      </c>
      <c r="D352" s="1553"/>
    </row>
    <row r="353" spans="1:4" s="497" customFormat="1">
      <c r="A353" s="1552"/>
      <c r="B353" s="495"/>
      <c r="C353" s="498"/>
      <c r="D353" s="1553"/>
    </row>
    <row r="354" spans="1:4" s="497" customFormat="1" ht="25.5">
      <c r="A354" s="1552"/>
      <c r="B354" s="495"/>
      <c r="C354" s="498" t="s">
        <v>1586</v>
      </c>
      <c r="D354" s="1553"/>
    </row>
    <row r="355" spans="1:4" s="497" customFormat="1">
      <c r="A355" s="1552"/>
      <c r="B355" s="495"/>
      <c r="C355" s="498"/>
      <c r="D355" s="1553"/>
    </row>
    <row r="356" spans="1:4" s="497" customFormat="1" ht="25.5">
      <c r="A356" s="1552"/>
      <c r="B356" s="495"/>
      <c r="C356" s="498" t="s">
        <v>1587</v>
      </c>
      <c r="D356" s="1553"/>
    </row>
    <row r="357" spans="1:4" s="497" customFormat="1">
      <c r="A357" s="1552"/>
      <c r="B357" s="495"/>
      <c r="C357" s="498"/>
      <c r="D357" s="1553"/>
    </row>
    <row r="358" spans="1:4" s="497" customFormat="1">
      <c r="A358" s="1552"/>
      <c r="B358" s="495"/>
      <c r="C358" s="498" t="s">
        <v>1588</v>
      </c>
      <c r="D358" s="1553"/>
    </row>
    <row r="359" spans="1:4" s="497" customFormat="1">
      <c r="A359" s="1552"/>
      <c r="B359" s="495"/>
      <c r="C359" s="498"/>
      <c r="D359" s="1553"/>
    </row>
    <row r="360" spans="1:4" s="497" customFormat="1">
      <c r="A360" s="1552"/>
      <c r="B360" s="495"/>
      <c r="C360" s="498" t="s">
        <v>1589</v>
      </c>
      <c r="D360" s="1553"/>
    </row>
    <row r="361" spans="1:4" s="497" customFormat="1">
      <c r="A361" s="1552"/>
      <c r="B361" s="495"/>
      <c r="C361" s="498"/>
      <c r="D361" s="1553"/>
    </row>
    <row r="362" spans="1:4" s="497" customFormat="1" ht="51">
      <c r="A362" s="1552"/>
      <c r="B362" s="495"/>
      <c r="C362" s="498" t="s">
        <v>2373</v>
      </c>
      <c r="D362" s="1553"/>
    </row>
    <row r="363" spans="1:4" s="497" customFormat="1">
      <c r="A363" s="1552"/>
      <c r="B363" s="495"/>
      <c r="C363" s="498"/>
      <c r="D363" s="1553"/>
    </row>
    <row r="364" spans="1:4" s="497" customFormat="1" ht="25.5">
      <c r="A364" s="1552"/>
      <c r="B364" s="495"/>
      <c r="C364" s="498" t="s">
        <v>2374</v>
      </c>
      <c r="D364" s="1553"/>
    </row>
    <row r="365" spans="1:4" s="497" customFormat="1">
      <c r="A365" s="1552"/>
      <c r="B365" s="495"/>
      <c r="C365" s="498"/>
      <c r="D365" s="1553"/>
    </row>
    <row r="366" spans="1:4" s="497" customFormat="1">
      <c r="A366" s="1552"/>
      <c r="B366" s="495"/>
      <c r="C366" s="498" t="s">
        <v>3703</v>
      </c>
      <c r="D366" s="1553"/>
    </row>
    <row r="367" spans="1:4" s="497" customFormat="1">
      <c r="A367" s="1552"/>
      <c r="B367" s="495"/>
      <c r="C367" s="498"/>
      <c r="D367" s="1553"/>
    </row>
    <row r="368" spans="1:4" s="497" customFormat="1">
      <c r="A368" s="1552"/>
      <c r="B368" s="495"/>
      <c r="C368" s="498" t="s">
        <v>3879</v>
      </c>
      <c r="D368" s="1553"/>
    </row>
    <row r="369" spans="1:4" s="497" customFormat="1">
      <c r="A369" s="1552"/>
      <c r="B369" s="495"/>
      <c r="C369" s="498"/>
      <c r="D369" s="1553"/>
    </row>
    <row r="370" spans="1:4" s="502" customFormat="1">
      <c r="A370" s="1554"/>
      <c r="B370" s="500">
        <v>1.1299999999999999</v>
      </c>
      <c r="C370" s="501" t="s">
        <v>832</v>
      </c>
      <c r="D370" s="1555"/>
    </row>
    <row r="371" spans="1:4" s="497" customFormat="1">
      <c r="A371" s="1552"/>
      <c r="B371" s="495"/>
      <c r="C371" s="498"/>
      <c r="D371" s="1553"/>
    </row>
    <row r="372" spans="1:4" s="497" customFormat="1" ht="51">
      <c r="A372" s="1552"/>
      <c r="B372" s="495"/>
      <c r="C372" s="498" t="s">
        <v>2375</v>
      </c>
      <c r="D372" s="1553"/>
    </row>
    <row r="373" spans="1:4" s="497" customFormat="1">
      <c r="A373" s="1552"/>
      <c r="B373" s="495"/>
      <c r="C373" s="498"/>
      <c r="D373" s="1553"/>
    </row>
    <row r="374" spans="1:4" s="497" customFormat="1" ht="25.5">
      <c r="A374" s="1552"/>
      <c r="B374" s="495"/>
      <c r="C374" s="498" t="s">
        <v>1635</v>
      </c>
      <c r="D374" s="1553"/>
    </row>
    <row r="375" spans="1:4" s="497" customFormat="1">
      <c r="A375" s="1552"/>
      <c r="B375" s="495"/>
      <c r="C375" s="498"/>
      <c r="D375" s="1553"/>
    </row>
    <row r="376" spans="1:4" s="497" customFormat="1" ht="25.5">
      <c r="A376" s="1552"/>
      <c r="B376" s="495"/>
      <c r="C376" s="608" t="s">
        <v>3880</v>
      </c>
      <c r="D376" s="1553"/>
    </row>
    <row r="377" spans="1:4" s="497" customFormat="1">
      <c r="A377" s="1552"/>
      <c r="B377" s="495"/>
      <c r="C377" s="498"/>
      <c r="D377" s="1553"/>
    </row>
    <row r="378" spans="1:4" s="497" customFormat="1">
      <c r="A378" s="1552"/>
      <c r="B378" s="495"/>
      <c r="C378" s="498"/>
      <c r="D378" s="1553"/>
    </row>
    <row r="379" spans="1:4" s="502" customFormat="1">
      <c r="A379" s="1554"/>
      <c r="B379" s="500">
        <v>1.1399999999999999</v>
      </c>
      <c r="C379" s="501" t="s">
        <v>736</v>
      </c>
      <c r="D379" s="1555"/>
    </row>
    <row r="380" spans="1:4" s="497" customFormat="1">
      <c r="A380" s="1552"/>
      <c r="B380" s="495"/>
      <c r="C380" s="498"/>
      <c r="D380" s="1553"/>
    </row>
    <row r="381" spans="1:4" s="497" customFormat="1" ht="51">
      <c r="A381" s="1552"/>
      <c r="B381" s="495"/>
      <c r="C381" s="498" t="s">
        <v>1636</v>
      </c>
      <c r="D381" s="1553"/>
    </row>
    <row r="382" spans="1:4" s="497" customFormat="1">
      <c r="A382" s="1552"/>
      <c r="B382" s="495"/>
      <c r="C382" s="498"/>
      <c r="D382" s="1553"/>
    </row>
    <row r="383" spans="1:4" s="502" customFormat="1">
      <c r="A383" s="1554"/>
      <c r="B383" s="500">
        <v>1.1499999999999999</v>
      </c>
      <c r="C383" s="501" t="s">
        <v>2472</v>
      </c>
      <c r="D383" s="1555"/>
    </row>
    <row r="384" spans="1:4" s="497" customFormat="1">
      <c r="A384" s="1552"/>
      <c r="B384" s="495"/>
      <c r="C384" s="498"/>
      <c r="D384" s="1553"/>
    </row>
    <row r="385" spans="1:4" s="497" customFormat="1" ht="89.25">
      <c r="A385" s="1552"/>
      <c r="B385" s="495"/>
      <c r="C385" s="498" t="s">
        <v>1637</v>
      </c>
      <c r="D385" s="1553"/>
    </row>
    <row r="386" spans="1:4" s="497" customFormat="1">
      <c r="A386" s="1552"/>
      <c r="B386" s="495"/>
      <c r="C386" s="498"/>
      <c r="D386" s="1553"/>
    </row>
    <row r="387" spans="1:4" s="502" customFormat="1">
      <c r="A387" s="1554"/>
      <c r="B387" s="500">
        <v>1.1599999999999999</v>
      </c>
      <c r="C387" s="501" t="s">
        <v>1696</v>
      </c>
      <c r="D387" s="1555"/>
    </row>
    <row r="388" spans="1:4" s="497" customFormat="1">
      <c r="A388" s="1552"/>
      <c r="B388" s="495"/>
      <c r="C388" s="498"/>
      <c r="D388" s="1553"/>
    </row>
    <row r="389" spans="1:4" s="497" customFormat="1" ht="51">
      <c r="A389" s="1552"/>
      <c r="B389" s="495"/>
      <c r="C389" s="498" t="s">
        <v>1405</v>
      </c>
      <c r="D389" s="1553"/>
    </row>
    <row r="390" spans="1:4" s="497" customFormat="1">
      <c r="A390" s="1552"/>
      <c r="B390" s="495"/>
      <c r="C390" s="498"/>
      <c r="D390" s="1553"/>
    </row>
    <row r="391" spans="1:4" s="502" customFormat="1">
      <c r="A391" s="1554"/>
      <c r="B391" s="500">
        <v>1.17</v>
      </c>
      <c r="C391" s="501" t="s">
        <v>2461</v>
      </c>
      <c r="D391" s="1555"/>
    </row>
    <row r="392" spans="1:4" s="497" customFormat="1">
      <c r="A392" s="1552"/>
      <c r="B392" s="495"/>
      <c r="C392" s="498"/>
      <c r="D392" s="1553"/>
    </row>
    <row r="393" spans="1:4" s="497" customFormat="1" ht="38.25">
      <c r="A393" s="1552"/>
      <c r="B393" s="495"/>
      <c r="C393" s="498" t="s">
        <v>1406</v>
      </c>
      <c r="D393" s="1553"/>
    </row>
    <row r="394" spans="1:4" s="497" customFormat="1">
      <c r="A394" s="1552"/>
      <c r="B394" s="495"/>
      <c r="C394" s="498"/>
      <c r="D394" s="1553"/>
    </row>
    <row r="395" spans="1:4" s="497" customFormat="1" ht="51">
      <c r="A395" s="1552"/>
      <c r="B395" s="495"/>
      <c r="C395" s="498" t="s">
        <v>2431</v>
      </c>
      <c r="D395" s="1553"/>
    </row>
    <row r="396" spans="1:4" s="497" customFormat="1">
      <c r="A396" s="1552"/>
      <c r="B396" s="495"/>
      <c r="C396" s="498"/>
      <c r="D396" s="1553"/>
    </row>
    <row r="397" spans="1:4" s="502" customFormat="1">
      <c r="A397" s="1554"/>
      <c r="B397" s="500">
        <v>1.18</v>
      </c>
      <c r="C397" s="501" t="s">
        <v>1697</v>
      </c>
      <c r="D397" s="1555"/>
    </row>
    <row r="398" spans="1:4" s="497" customFormat="1">
      <c r="A398" s="1552"/>
      <c r="B398" s="495"/>
      <c r="C398" s="498"/>
      <c r="D398" s="1553"/>
    </row>
    <row r="399" spans="1:4" s="497" customFormat="1" ht="51">
      <c r="A399" s="1552"/>
      <c r="B399" s="495"/>
      <c r="C399" s="498" t="s">
        <v>2432</v>
      </c>
      <c r="D399" s="1553"/>
    </row>
    <row r="400" spans="1:4" s="497" customFormat="1">
      <c r="A400" s="1552"/>
      <c r="B400" s="495"/>
      <c r="C400" s="498"/>
      <c r="D400" s="1553"/>
    </row>
    <row r="401" spans="1:4" s="497" customFormat="1" ht="38.25">
      <c r="A401" s="1552"/>
      <c r="B401" s="495"/>
      <c r="C401" s="498" t="s">
        <v>2433</v>
      </c>
      <c r="D401" s="1553"/>
    </row>
    <row r="402" spans="1:4" s="497" customFormat="1">
      <c r="A402" s="1552"/>
      <c r="B402" s="495"/>
      <c r="C402" s="498"/>
      <c r="D402" s="1553"/>
    </row>
    <row r="403" spans="1:4" s="502" customFormat="1">
      <c r="A403" s="1554"/>
      <c r="B403" s="500">
        <v>1.19</v>
      </c>
      <c r="C403" s="501" t="s">
        <v>1698</v>
      </c>
      <c r="D403" s="1555"/>
    </row>
    <row r="404" spans="1:4" s="497" customFormat="1">
      <c r="A404" s="1552"/>
      <c r="B404" s="495"/>
      <c r="C404" s="498"/>
      <c r="D404" s="1553"/>
    </row>
    <row r="405" spans="1:4" s="497" customFormat="1" ht="89.25">
      <c r="A405" s="1552"/>
      <c r="B405" s="495"/>
      <c r="C405" s="498" t="s">
        <v>2434</v>
      </c>
      <c r="D405" s="1553"/>
    </row>
    <row r="406" spans="1:4" s="497" customFormat="1">
      <c r="A406" s="1552"/>
      <c r="B406" s="495"/>
      <c r="C406" s="498"/>
      <c r="D406" s="1553"/>
    </row>
    <row r="407" spans="1:4" s="502" customFormat="1">
      <c r="A407" s="1554"/>
      <c r="B407" s="500">
        <v>1.2</v>
      </c>
      <c r="C407" s="501" t="s">
        <v>1699</v>
      </c>
      <c r="D407" s="1555"/>
    </row>
    <row r="408" spans="1:4" s="497" customFormat="1">
      <c r="A408" s="1552"/>
      <c r="B408" s="495"/>
      <c r="C408" s="498"/>
      <c r="D408" s="1553"/>
    </row>
    <row r="409" spans="1:4" s="497" customFormat="1" ht="63.75">
      <c r="A409" s="1552"/>
      <c r="B409" s="495"/>
      <c r="C409" s="498" t="s">
        <v>517</v>
      </c>
      <c r="D409" s="1553"/>
    </row>
    <row r="410" spans="1:4" s="497" customFormat="1">
      <c r="A410" s="1552"/>
      <c r="B410" s="495"/>
      <c r="C410" s="498"/>
      <c r="D410" s="1553"/>
    </row>
    <row r="411" spans="1:4" s="502" customFormat="1">
      <c r="A411" s="1554"/>
      <c r="B411" s="500">
        <v>1.21</v>
      </c>
      <c r="C411" s="501" t="s">
        <v>1700</v>
      </c>
      <c r="D411" s="1555"/>
    </row>
    <row r="412" spans="1:4" s="497" customFormat="1">
      <c r="A412" s="1552"/>
      <c r="B412" s="495"/>
      <c r="C412" s="498"/>
      <c r="D412" s="1553"/>
    </row>
    <row r="413" spans="1:4" s="497" customFormat="1" ht="51">
      <c r="A413" s="1552"/>
      <c r="B413" s="495"/>
      <c r="C413" s="498" t="s">
        <v>518</v>
      </c>
      <c r="D413" s="1553"/>
    </row>
    <row r="414" spans="1:4" s="497" customFormat="1">
      <c r="A414" s="1552"/>
      <c r="B414" s="495"/>
      <c r="C414" s="498"/>
      <c r="D414" s="1553"/>
    </row>
    <row r="415" spans="1:4" s="502" customFormat="1">
      <c r="A415" s="1554"/>
      <c r="B415" s="500">
        <v>1.22</v>
      </c>
      <c r="C415" s="501" t="s">
        <v>1701</v>
      </c>
      <c r="D415" s="1555"/>
    </row>
    <row r="416" spans="1:4" s="497" customFormat="1">
      <c r="A416" s="1552"/>
      <c r="B416" s="495"/>
      <c r="C416" s="498"/>
      <c r="D416" s="1553"/>
    </row>
    <row r="417" spans="1:4" s="497" customFormat="1" ht="25.5">
      <c r="A417" s="1552"/>
      <c r="B417" s="495"/>
      <c r="C417" s="498" t="s">
        <v>2481</v>
      </c>
      <c r="D417" s="1553"/>
    </row>
    <row r="418" spans="1:4" s="497" customFormat="1">
      <c r="A418" s="1552"/>
      <c r="B418" s="495"/>
      <c r="C418" s="498"/>
      <c r="D418" s="1553"/>
    </row>
    <row r="419" spans="1:4" s="497" customFormat="1">
      <c r="A419" s="1552"/>
      <c r="B419" s="495"/>
      <c r="C419" s="498" t="s">
        <v>3441</v>
      </c>
      <c r="D419" s="1553"/>
    </row>
    <row r="420" spans="1:4" s="497" customFormat="1">
      <c r="A420" s="1552"/>
      <c r="B420" s="495"/>
      <c r="C420" s="498" t="s">
        <v>3442</v>
      </c>
      <c r="D420" s="1553"/>
    </row>
    <row r="421" spans="1:4" s="497" customFormat="1">
      <c r="A421" s="1552"/>
      <c r="B421" s="495"/>
      <c r="C421" s="498" t="s">
        <v>3443</v>
      </c>
      <c r="D421" s="1553"/>
    </row>
    <row r="422" spans="1:4" s="497" customFormat="1">
      <c r="A422" s="1552"/>
      <c r="B422" s="495"/>
      <c r="C422" s="498" t="s">
        <v>3444</v>
      </c>
      <c r="D422" s="1553"/>
    </row>
    <row r="423" spans="1:4" s="497" customFormat="1">
      <c r="A423" s="1552"/>
      <c r="B423" s="495"/>
      <c r="C423" s="498" t="s">
        <v>3902</v>
      </c>
      <c r="D423" s="1553"/>
    </row>
    <row r="424" spans="1:4" s="497" customFormat="1">
      <c r="A424" s="1552"/>
      <c r="B424" s="495"/>
      <c r="C424" s="498"/>
      <c r="D424" s="1553"/>
    </row>
    <row r="425" spans="1:4" s="497" customFormat="1" ht="38.25">
      <c r="A425" s="1552"/>
      <c r="B425" s="495"/>
      <c r="C425" s="498" t="s">
        <v>2482</v>
      </c>
      <c r="D425" s="1553"/>
    </row>
    <row r="426" spans="1:4" s="497" customFormat="1">
      <c r="A426" s="1552"/>
      <c r="B426" s="495"/>
      <c r="C426" s="498"/>
      <c r="D426" s="1553"/>
    </row>
    <row r="427" spans="1:4" s="497" customFormat="1">
      <c r="A427" s="1552"/>
      <c r="B427" s="495"/>
      <c r="C427" s="498" t="s">
        <v>2060</v>
      </c>
      <c r="D427" s="1553"/>
    </row>
    <row r="428" spans="1:4" s="497" customFormat="1" ht="25.5">
      <c r="A428" s="1552"/>
      <c r="B428" s="495"/>
      <c r="C428" s="507" t="s">
        <v>2483</v>
      </c>
      <c r="D428" s="1553"/>
    </row>
    <row r="429" spans="1:4" s="497" customFormat="1" ht="51">
      <c r="A429" s="1552"/>
      <c r="B429" s="495"/>
      <c r="C429" s="507" t="s">
        <v>1585</v>
      </c>
      <c r="D429" s="1553"/>
    </row>
    <row r="430" spans="1:4" s="497" customFormat="1">
      <c r="A430" s="1552"/>
      <c r="B430" s="495"/>
      <c r="C430" s="498"/>
      <c r="D430" s="1553"/>
    </row>
    <row r="431" spans="1:4" s="497" customFormat="1">
      <c r="A431" s="1552"/>
      <c r="B431" s="495"/>
      <c r="C431" s="498"/>
      <c r="D431" s="1553"/>
    </row>
    <row r="432" spans="1:4" s="502" customFormat="1">
      <c r="A432" s="1554"/>
      <c r="B432" s="500">
        <v>1.23</v>
      </c>
      <c r="C432" s="501" t="s">
        <v>1703</v>
      </c>
      <c r="D432" s="1555"/>
    </row>
    <row r="433" spans="1:4" s="497" customFormat="1">
      <c r="A433" s="1552"/>
      <c r="B433" s="495"/>
      <c r="C433" s="498"/>
      <c r="D433" s="1553"/>
    </row>
    <row r="434" spans="1:4" s="497" customFormat="1" ht="25.5">
      <c r="A434" s="1552"/>
      <c r="B434" s="495"/>
      <c r="C434" s="498" t="s">
        <v>2487</v>
      </c>
      <c r="D434" s="1553"/>
    </row>
    <row r="435" spans="1:4" s="497" customFormat="1">
      <c r="A435" s="1552"/>
      <c r="B435" s="495"/>
      <c r="C435" s="498"/>
      <c r="D435" s="1553"/>
    </row>
    <row r="436" spans="1:4" s="502" customFormat="1">
      <c r="A436" s="1554"/>
      <c r="B436" s="500">
        <v>1.24</v>
      </c>
      <c r="C436" s="501" t="s">
        <v>1702</v>
      </c>
      <c r="D436" s="1555"/>
    </row>
    <row r="437" spans="1:4" s="497" customFormat="1">
      <c r="A437" s="1552"/>
      <c r="B437" s="495"/>
      <c r="C437" s="498"/>
      <c r="D437" s="1553"/>
    </row>
    <row r="438" spans="1:4" s="497" customFormat="1" ht="51">
      <c r="A438" s="1552"/>
      <c r="B438" s="495"/>
      <c r="C438" s="498" t="s">
        <v>3445</v>
      </c>
      <c r="D438" s="1553"/>
    </row>
    <row r="439" spans="1:4" s="497" customFormat="1">
      <c r="A439" s="1552"/>
      <c r="B439" s="495"/>
      <c r="C439" s="498"/>
      <c r="D439" s="1553"/>
    </row>
    <row r="440" spans="1:4" s="502" customFormat="1">
      <c r="A440" s="1554"/>
      <c r="B440" s="500">
        <v>1.25</v>
      </c>
      <c r="C440" s="501" t="s">
        <v>1704</v>
      </c>
      <c r="D440" s="1555"/>
    </row>
    <row r="441" spans="1:4" s="497" customFormat="1">
      <c r="A441" s="1552"/>
      <c r="B441" s="495"/>
      <c r="C441" s="498"/>
      <c r="D441" s="1553"/>
    </row>
    <row r="442" spans="1:4" s="497" customFormat="1" ht="63.75">
      <c r="A442" s="1552"/>
      <c r="B442" s="495"/>
      <c r="C442" s="498" t="s">
        <v>2488</v>
      </c>
      <c r="D442" s="1553"/>
    </row>
    <row r="443" spans="1:4" s="497" customFormat="1">
      <c r="A443" s="1552"/>
      <c r="B443" s="495"/>
      <c r="C443" s="498"/>
      <c r="D443" s="1553"/>
    </row>
    <row r="444" spans="1:4" s="502" customFormat="1">
      <c r="A444" s="1554"/>
      <c r="B444" s="500">
        <v>1.26</v>
      </c>
      <c r="C444" s="501" t="s">
        <v>1705</v>
      </c>
      <c r="D444" s="1555"/>
    </row>
    <row r="445" spans="1:4" s="497" customFormat="1">
      <c r="A445" s="1552"/>
      <c r="B445" s="495"/>
      <c r="C445" s="498"/>
      <c r="D445" s="1553"/>
    </row>
    <row r="446" spans="1:4" s="497" customFormat="1">
      <c r="A446" s="1552"/>
      <c r="B446" s="495"/>
      <c r="C446" s="498" t="s">
        <v>43</v>
      </c>
      <c r="D446" s="1553"/>
    </row>
    <row r="447" spans="1:4" s="497" customFormat="1">
      <c r="A447" s="1552"/>
      <c r="B447" s="495"/>
      <c r="C447" s="498"/>
      <c r="D447" s="1553"/>
    </row>
    <row r="448" spans="1:4" s="502" customFormat="1">
      <c r="A448" s="1554"/>
      <c r="B448" s="500">
        <v>1.27</v>
      </c>
      <c r="C448" s="501" t="s">
        <v>1706</v>
      </c>
      <c r="D448" s="1555"/>
    </row>
    <row r="449" spans="1:4" s="497" customFormat="1">
      <c r="A449" s="1552"/>
      <c r="B449" s="495"/>
      <c r="C449" s="498"/>
      <c r="D449" s="1553"/>
    </row>
    <row r="450" spans="1:4" s="497" customFormat="1" ht="25.5">
      <c r="A450" s="1552"/>
      <c r="B450" s="495"/>
      <c r="C450" s="498" t="s">
        <v>1746</v>
      </c>
      <c r="D450" s="1553"/>
    </row>
    <row r="451" spans="1:4" s="497" customFormat="1">
      <c r="A451" s="1552"/>
      <c r="B451" s="495"/>
      <c r="C451" s="498"/>
      <c r="D451" s="1553"/>
    </row>
    <row r="452" spans="1:4" s="497" customFormat="1">
      <c r="A452" s="1552"/>
      <c r="B452" s="500">
        <v>1.28</v>
      </c>
      <c r="C452" s="501" t="s">
        <v>2648</v>
      </c>
      <c r="D452" s="1553"/>
    </row>
    <row r="453" spans="1:4" s="497" customFormat="1">
      <c r="A453" s="1552"/>
      <c r="B453" s="495"/>
      <c r="C453" s="498"/>
      <c r="D453" s="1553"/>
    </row>
    <row r="454" spans="1:4" s="497" customFormat="1" ht="38.25">
      <c r="A454" s="1552"/>
      <c r="B454" s="508"/>
      <c r="C454" s="498" t="s">
        <v>3807</v>
      </c>
      <c r="D454" s="1553"/>
    </row>
    <row r="455" spans="1:4" s="497" customFormat="1">
      <c r="A455" s="1552"/>
      <c r="B455" s="508"/>
      <c r="C455" s="498"/>
      <c r="D455" s="1553"/>
    </row>
    <row r="456" spans="1:4" s="497" customFormat="1">
      <c r="A456" s="1552"/>
      <c r="B456" s="495">
        <v>1.29</v>
      </c>
      <c r="C456" s="501" t="s">
        <v>3804</v>
      </c>
      <c r="D456" s="1553"/>
    </row>
    <row r="457" spans="1:4" s="497" customFormat="1">
      <c r="A457" s="1552"/>
      <c r="B457" s="495"/>
      <c r="C457" s="498"/>
      <c r="D457" s="1553"/>
    </row>
    <row r="458" spans="1:4" s="497" customFormat="1" ht="25.5">
      <c r="A458" s="1552"/>
      <c r="B458" s="495"/>
      <c r="C458" s="498" t="s">
        <v>3864</v>
      </c>
      <c r="D458" s="1553"/>
    </row>
    <row r="459" spans="1:4" s="497" customFormat="1" ht="25.5">
      <c r="A459" s="1552"/>
      <c r="B459" s="495"/>
      <c r="C459" s="503" t="s">
        <v>3963</v>
      </c>
      <c r="D459" s="1553"/>
    </row>
    <row r="460" spans="1:4" s="497" customFormat="1">
      <c r="A460" s="1552"/>
      <c r="B460" s="495"/>
      <c r="C460" s="1295"/>
      <c r="D460" s="1553"/>
    </row>
    <row r="461" spans="1:4" s="497" customFormat="1" ht="13.5" thickBot="1">
      <c r="A461" s="1561"/>
      <c r="B461" s="1562"/>
      <c r="C461" s="1563"/>
      <c r="D461" s="1564"/>
    </row>
    <row r="462" spans="1:4" s="497" customFormat="1" ht="13.5" thickTop="1">
      <c r="A462" s="509"/>
      <c r="B462" s="510"/>
      <c r="C462" s="511"/>
    </row>
    <row r="463" spans="1:4" s="497" customFormat="1">
      <c r="A463" s="509"/>
      <c r="B463" s="510"/>
      <c r="C463" s="511"/>
    </row>
    <row r="464" spans="1:4" s="497" customFormat="1">
      <c r="A464" s="509"/>
      <c r="B464" s="510"/>
      <c r="C464" s="511"/>
    </row>
    <row r="465" spans="1:3" s="497" customFormat="1">
      <c r="A465" s="509"/>
      <c r="B465" s="510"/>
      <c r="C465" s="511"/>
    </row>
    <row r="466" spans="1:3" s="497" customFormat="1">
      <c r="A466" s="509"/>
      <c r="B466" s="510"/>
      <c r="C466" s="511"/>
    </row>
    <row r="467" spans="1:3" s="497" customFormat="1">
      <c r="A467" s="509"/>
      <c r="B467" s="510"/>
      <c r="C467" s="511"/>
    </row>
    <row r="468" spans="1:3" s="497" customFormat="1">
      <c r="A468" s="509"/>
      <c r="B468" s="510"/>
      <c r="C468" s="511"/>
    </row>
    <row r="469" spans="1:3" s="497" customFormat="1">
      <c r="A469" s="509"/>
      <c r="B469" s="510"/>
      <c r="C469" s="511"/>
    </row>
    <row r="470" spans="1:3" s="497" customFormat="1">
      <c r="A470" s="509"/>
      <c r="B470" s="510"/>
      <c r="C470" s="511"/>
    </row>
    <row r="471" spans="1:3" s="497" customFormat="1">
      <c r="A471" s="509"/>
      <c r="B471" s="510"/>
      <c r="C471" s="511"/>
    </row>
    <row r="472" spans="1:3" s="497" customFormat="1">
      <c r="A472" s="509"/>
      <c r="B472" s="510"/>
      <c r="C472" s="511"/>
    </row>
    <row r="473" spans="1:3" s="497" customFormat="1">
      <c r="A473" s="509"/>
      <c r="B473" s="510"/>
      <c r="C473" s="511"/>
    </row>
    <row r="474" spans="1:3" s="497" customFormat="1">
      <c r="A474" s="509"/>
      <c r="B474" s="510"/>
      <c r="C474" s="511"/>
    </row>
    <row r="475" spans="1:3" s="497" customFormat="1">
      <c r="A475" s="509"/>
      <c r="B475" s="510"/>
      <c r="C475" s="511"/>
    </row>
    <row r="476" spans="1:3" s="497" customFormat="1">
      <c r="A476" s="509"/>
      <c r="B476" s="510"/>
      <c r="C476" s="511"/>
    </row>
    <row r="477" spans="1:3" s="497" customFormat="1">
      <c r="A477" s="509"/>
      <c r="B477" s="510"/>
      <c r="C477" s="511"/>
    </row>
    <row r="478" spans="1:3" s="497" customFormat="1">
      <c r="A478" s="509"/>
      <c r="B478" s="510"/>
      <c r="C478" s="511"/>
    </row>
    <row r="479" spans="1:3" s="497" customFormat="1">
      <c r="A479" s="509"/>
      <c r="B479" s="510"/>
      <c r="C479" s="511"/>
    </row>
    <row r="480" spans="1:3" s="497" customFormat="1">
      <c r="A480" s="509"/>
      <c r="B480" s="510"/>
      <c r="C480" s="511"/>
    </row>
    <row r="481" spans="1:3" s="497" customFormat="1">
      <c r="A481" s="509"/>
      <c r="B481" s="510"/>
      <c r="C481" s="511"/>
    </row>
    <row r="482" spans="1:3" s="497" customFormat="1">
      <c r="A482" s="509"/>
      <c r="B482" s="510"/>
      <c r="C482" s="511"/>
    </row>
    <row r="483" spans="1:3" s="497" customFormat="1">
      <c r="A483" s="509"/>
      <c r="B483" s="510"/>
      <c r="C483" s="511"/>
    </row>
    <row r="484" spans="1:3" s="497" customFormat="1">
      <c r="A484" s="509"/>
      <c r="B484" s="510"/>
      <c r="C484" s="511"/>
    </row>
    <row r="485" spans="1:3" s="497" customFormat="1">
      <c r="A485" s="509"/>
      <c r="B485" s="510"/>
      <c r="C485" s="511"/>
    </row>
    <row r="486" spans="1:3" s="497" customFormat="1">
      <c r="A486" s="509"/>
      <c r="B486" s="510"/>
      <c r="C486" s="511"/>
    </row>
    <row r="487" spans="1:3" s="497" customFormat="1">
      <c r="A487" s="509"/>
      <c r="B487" s="510"/>
      <c r="C487" s="511"/>
    </row>
    <row r="488" spans="1:3" s="497" customFormat="1">
      <c r="A488" s="509"/>
      <c r="B488" s="510"/>
      <c r="C488" s="511"/>
    </row>
    <row r="489" spans="1:3" s="497" customFormat="1">
      <c r="A489" s="509"/>
      <c r="B489" s="510"/>
      <c r="C489" s="511"/>
    </row>
    <row r="490" spans="1:3" s="497" customFormat="1">
      <c r="A490" s="509"/>
      <c r="B490" s="510"/>
      <c r="C490" s="511"/>
    </row>
    <row r="491" spans="1:3" s="497" customFormat="1">
      <c r="A491" s="509"/>
      <c r="B491" s="510"/>
      <c r="C491" s="511"/>
    </row>
    <row r="492" spans="1:3" s="497" customFormat="1">
      <c r="A492" s="509"/>
      <c r="B492" s="510"/>
      <c r="C492" s="511"/>
    </row>
    <row r="493" spans="1:3" s="497" customFormat="1">
      <c r="A493" s="509"/>
      <c r="B493" s="510"/>
      <c r="C493" s="511"/>
    </row>
    <row r="494" spans="1:3" s="497" customFormat="1">
      <c r="A494" s="509"/>
      <c r="B494" s="510"/>
      <c r="C494" s="511"/>
    </row>
    <row r="495" spans="1:3" s="497" customFormat="1">
      <c r="A495" s="509"/>
      <c r="B495" s="510"/>
      <c r="C495" s="511"/>
    </row>
    <row r="496" spans="1:3" s="497" customFormat="1">
      <c r="A496" s="509"/>
      <c r="B496" s="510"/>
      <c r="C496" s="511"/>
    </row>
    <row r="497" spans="1:3" s="497" customFormat="1">
      <c r="A497" s="509"/>
      <c r="B497" s="510"/>
      <c r="C497" s="511"/>
    </row>
    <row r="498" spans="1:3" s="497" customFormat="1">
      <c r="A498" s="509"/>
      <c r="B498" s="510"/>
      <c r="C498" s="511"/>
    </row>
    <row r="499" spans="1:3" s="497" customFormat="1">
      <c r="A499" s="509"/>
      <c r="B499" s="510"/>
      <c r="C499" s="511"/>
    </row>
    <row r="500" spans="1:3" s="497" customFormat="1">
      <c r="A500" s="509"/>
      <c r="B500" s="510"/>
      <c r="C500" s="511" t="s">
        <v>1040</v>
      </c>
    </row>
    <row r="501" spans="1:3" s="497" customFormat="1">
      <c r="A501" s="509"/>
      <c r="B501" s="510"/>
      <c r="C501" s="511"/>
    </row>
    <row r="502" spans="1:3" s="497" customFormat="1">
      <c r="A502" s="509"/>
      <c r="B502" s="510"/>
      <c r="C502" s="511"/>
    </row>
    <row r="503" spans="1:3" s="497" customFormat="1">
      <c r="A503" s="509"/>
      <c r="B503" s="510"/>
      <c r="C503" s="511"/>
    </row>
    <row r="504" spans="1:3" s="497" customFormat="1">
      <c r="A504" s="509"/>
      <c r="B504" s="510"/>
      <c r="C504" s="511"/>
    </row>
    <row r="505" spans="1:3" s="497" customFormat="1">
      <c r="A505" s="509"/>
      <c r="B505" s="510"/>
      <c r="C505" s="511"/>
    </row>
    <row r="506" spans="1:3" s="497" customFormat="1">
      <c r="A506" s="509"/>
      <c r="B506" s="510"/>
      <c r="C506" s="511"/>
    </row>
    <row r="507" spans="1:3" s="497" customFormat="1">
      <c r="A507" s="509"/>
      <c r="B507" s="510"/>
      <c r="C507" s="511"/>
    </row>
    <row r="508" spans="1:3" s="497" customFormat="1">
      <c r="A508" s="509"/>
      <c r="B508" s="510"/>
      <c r="C508" s="511"/>
    </row>
  </sheetData>
  <mergeCells count="3">
    <mergeCell ref="B4:C4"/>
    <mergeCell ref="B1:D1"/>
    <mergeCell ref="B2:D2"/>
  </mergeCells>
  <phoneticPr fontId="0" type="noConversion"/>
  <printOptions horizontalCentered="1"/>
  <pageMargins left="0.6692913385826772" right="0.39370078740157483" top="0.98425196850393704" bottom="0.98425196850393704" header="0.51181102362204722" footer="0.51181102362204722"/>
  <pageSetup scale="77" fitToHeight="17" orientation="portrait" r:id="rId1"/>
  <headerFooter alignWithMargins="0">
    <oddHeader>&amp;C FINANCIAL STATEMENTS: MUSINA LOCAL MUNICIPALITY</oddHeader>
    <oddFooter>&amp;RPage &amp;P</oddFooter>
  </headerFooter>
  <rowBreaks count="10" manualBreakCount="10">
    <brk id="38" max="3" man="1"/>
    <brk id="78" max="3" man="1"/>
    <brk id="126" max="3" man="1"/>
    <brk id="161" max="3" man="1"/>
    <brk id="199" max="3" man="1"/>
    <brk id="241" max="3" man="1"/>
    <brk id="317" max="3" man="1"/>
    <brk id="363" max="3" man="1"/>
    <brk id="401" max="3" man="1"/>
    <brk id="439" max="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Worksheets</vt:lpstr>
      </vt:variant>
      <vt:variant>
        <vt:i4>53</vt:i4>
      </vt:variant>
      <vt:variant>
        <vt:lpstr>Charts</vt:lpstr>
      </vt:variant>
      <vt:variant>
        <vt:i4>5</vt:i4>
      </vt:variant>
      <vt:variant>
        <vt:lpstr>Named Ranges</vt:lpstr>
      </vt:variant>
      <vt:variant>
        <vt:i4>65</vt:i4>
      </vt:variant>
    </vt:vector>
  </HeadingPairs>
  <TitlesOfParts>
    <vt:vector size="123" baseType="lpstr">
      <vt:lpstr>COVER</vt:lpstr>
      <vt:lpstr> INDEX</vt:lpstr>
      <vt:lpstr>APP</vt:lpstr>
      <vt:lpstr>General Information</vt:lpstr>
      <vt:lpstr>Statement of Financial Position</vt:lpstr>
      <vt:lpstr>Statement of Financial Performa</vt:lpstr>
      <vt:lpstr>Cash Flow Statement</vt:lpstr>
      <vt:lpstr>Changes in Net assets</vt:lpstr>
      <vt:lpstr>Note 1 Accounting Policy</vt:lpstr>
      <vt:lpstr>Notes 2 - 9</vt:lpstr>
      <vt:lpstr>Note 10</vt:lpstr>
      <vt:lpstr>Nota 10a</vt:lpstr>
      <vt:lpstr>Note 10b</vt:lpstr>
      <vt:lpstr>Note 11-14</vt:lpstr>
      <vt:lpstr>Note 15</vt:lpstr>
      <vt:lpstr>Note 15a</vt:lpstr>
      <vt:lpstr>Note 16, 17</vt:lpstr>
      <vt:lpstr>Notes 18 - 35</vt:lpstr>
      <vt:lpstr>Note 35 (Continue..) - 36</vt:lpstr>
      <vt:lpstr>Note 37-38</vt:lpstr>
      <vt:lpstr>Note 39-46</vt:lpstr>
      <vt:lpstr>Appendix A</vt:lpstr>
      <vt:lpstr>Appendix B</vt:lpstr>
      <vt:lpstr>App B(1)</vt:lpstr>
      <vt:lpstr>App B (2)</vt:lpstr>
      <vt:lpstr>Appendix C</vt:lpstr>
      <vt:lpstr>App C (1)</vt:lpstr>
      <vt:lpstr>App C (2)</vt:lpstr>
      <vt:lpstr>Appendix D</vt:lpstr>
      <vt:lpstr>Appendix E(1)</vt:lpstr>
      <vt:lpstr>Appendix E(1)a</vt:lpstr>
      <vt:lpstr>Appendix E(2)</vt:lpstr>
      <vt:lpstr>Appendix F</vt:lpstr>
      <vt:lpstr>Appendix G</vt:lpstr>
      <vt:lpstr>main TB</vt:lpstr>
      <vt:lpstr>TRAIL BALANCE</vt:lpstr>
      <vt:lpstr>EMPLOYEE COST 0910</vt:lpstr>
      <vt:lpstr>WORK PAPER APP0910 E (1)</vt:lpstr>
      <vt:lpstr>WORK PAPER STATE COMPARITIVE</vt:lpstr>
      <vt:lpstr>WORK PAPER INCOME</vt:lpstr>
      <vt:lpstr>Note 48</vt:lpstr>
      <vt:lpstr>Financial Report p13</vt:lpstr>
      <vt:lpstr>Round up links</vt:lpstr>
      <vt:lpstr>Graphs - Linked </vt:lpstr>
      <vt:lpstr>Capital Exp by Asset Type </vt:lpstr>
      <vt:lpstr>Collection Rates</vt:lpstr>
      <vt:lpstr>Capital Expenditure &amp; Financing</vt:lpstr>
      <vt:lpstr>Roll Overs Capital Budget</vt:lpstr>
      <vt:lpstr>Accounting Ratios</vt:lpstr>
      <vt:lpstr>work paper employee cost 0809</vt:lpstr>
      <vt:lpstr>Sheet1</vt:lpstr>
      <vt:lpstr>work paper app0809 E(1)</vt:lpstr>
      <vt:lpstr>gen ext 0708</vt:lpstr>
      <vt:lpstr>Operating revenue Graph</vt:lpstr>
      <vt:lpstr>Operating Expenditure Graph</vt:lpstr>
      <vt:lpstr>Consumer debtors Graph</vt:lpstr>
      <vt:lpstr>Collection Rates Graph</vt:lpstr>
      <vt:lpstr>Capital exp by Asset Type</vt:lpstr>
      <vt:lpstr>'Note 1 Accounting Policy'!_Toc203654196</vt:lpstr>
      <vt:lpstr>' INDEX'!Print_Area</vt:lpstr>
      <vt:lpstr>APP!Print_Area</vt:lpstr>
      <vt:lpstr>'App B (2)'!Print_Area</vt:lpstr>
      <vt:lpstr>'App B(1)'!Print_Area</vt:lpstr>
      <vt:lpstr>'App C (1)'!Print_Area</vt:lpstr>
      <vt:lpstr>'App C (2)'!Print_Area</vt:lpstr>
      <vt:lpstr>'Appendix A'!Print_Area</vt:lpstr>
      <vt:lpstr>'Appendix B'!Print_Area</vt:lpstr>
      <vt:lpstr>'Appendix C'!Print_Area</vt:lpstr>
      <vt:lpstr>'Appendix D'!Print_Area</vt:lpstr>
      <vt:lpstr>'Appendix E(1)'!Print_Area</vt:lpstr>
      <vt:lpstr>'Appendix E(1)a'!Print_Area</vt:lpstr>
      <vt:lpstr>'Appendix E(2)'!Print_Area</vt:lpstr>
      <vt:lpstr>'Appendix F'!Print_Area</vt:lpstr>
      <vt:lpstr>'Appendix G'!Print_Area</vt:lpstr>
      <vt:lpstr>'Cash Flow Statement'!Print_Area</vt:lpstr>
      <vt:lpstr>'Changes in Net assets'!Print_Area</vt:lpstr>
      <vt:lpstr>COVER!Print_Area</vt:lpstr>
      <vt:lpstr>'General Information'!Print_Area</vt:lpstr>
      <vt:lpstr>'main TB'!Print_Area</vt:lpstr>
      <vt:lpstr>'Nota 10a'!Print_Area</vt:lpstr>
      <vt:lpstr>'Note 1 Accounting Policy'!Print_Area</vt:lpstr>
      <vt:lpstr>'Note 10'!Print_Area</vt:lpstr>
      <vt:lpstr>'Note 10b'!Print_Area</vt:lpstr>
      <vt:lpstr>'Note 11-14'!Print_Area</vt:lpstr>
      <vt:lpstr>'Note 15'!Print_Area</vt:lpstr>
      <vt:lpstr>'Note 15a'!Print_Area</vt:lpstr>
      <vt:lpstr>'Note 16, 17'!Print_Area</vt:lpstr>
      <vt:lpstr>'Note 35 (Continue..) - 36'!Print_Area</vt:lpstr>
      <vt:lpstr>'Note 37-38'!Print_Area</vt:lpstr>
      <vt:lpstr>'Note 39-46'!Print_Area</vt:lpstr>
      <vt:lpstr>'Note 48'!Print_Area</vt:lpstr>
      <vt:lpstr>'Notes 18 - 35'!Print_Area</vt:lpstr>
      <vt:lpstr>'Notes 2 - 9'!Print_Area</vt:lpstr>
      <vt:lpstr>'Statement of Financial Performa'!Print_Area</vt:lpstr>
      <vt:lpstr>'Statement of Financial Position'!Print_Area</vt:lpstr>
      <vt:lpstr>'TRAIL BALANCE'!Print_Area</vt:lpstr>
      <vt:lpstr>'work paper app0809 E(1)'!Print_Area</vt:lpstr>
      <vt:lpstr>'main TB'!Print_Titles</vt:lpstr>
      <vt:lpstr>'Note 1 Accounting Policy'!Print_Titles</vt:lpstr>
      <vt:lpstr>'Note 11-14'!Print_Titles</vt:lpstr>
      <vt:lpstr>'Note 15'!Print_Titles</vt:lpstr>
      <vt:lpstr>'Note 16, 17'!Print_Titles</vt:lpstr>
      <vt:lpstr>'Note 35 (Continue..) - 36'!Print_Titles</vt:lpstr>
      <vt:lpstr>'Note 37-38'!Print_Titles</vt:lpstr>
      <vt:lpstr>'Note 48'!Print_Titles</vt:lpstr>
      <vt:lpstr>'Notes 18 - 35'!Print_Titles</vt:lpstr>
      <vt:lpstr>'Notes 2 - 9'!Print_Titles</vt:lpstr>
      <vt:lpstr>'TRAIL BALANCE'!Print_Titles</vt:lpstr>
      <vt:lpstr>'gen ext 0708'!Query_from_ProMIS</vt:lpstr>
      <vt:lpstr>'main TB'!Query_from_ProMIS</vt:lpstr>
      <vt:lpstr>Sheet1!Query_from_ProMIS</vt:lpstr>
      <vt:lpstr>'TRAIL BALANCE'!Query_from_ProMIS</vt:lpstr>
      <vt:lpstr>'work paper app0809 E(1)'!Query_from_ProMIS</vt:lpstr>
      <vt:lpstr>'work paper employee cost 0809'!Query_from_ProMIS</vt:lpstr>
      <vt:lpstr>'WORK PAPER STATE COMPARITIVE'!Query_from_ProMIS</vt:lpstr>
      <vt:lpstr>'gen ext 0708'!Query_from_ProMIS_1</vt:lpstr>
      <vt:lpstr>Sheet1!Query_from_ProMIS_1</vt:lpstr>
      <vt:lpstr>'TRAIL BALANCE'!Query_from_ProMIS_1</vt:lpstr>
      <vt:lpstr>'work paper app0809 E(1)'!Query_from_ProMIS_1</vt:lpstr>
      <vt:lpstr>'work paper employee cost 0809'!Query_from_ProMIS_1</vt:lpstr>
      <vt:lpstr>'WORK PAPER STATE COMPARITIVE'!Query_from_ProMIS_1</vt:lpstr>
      <vt:lpstr>'WORK PAPER STATE COMPARITIVE'!Query_from_ProMIS_2</vt:lpstr>
      <vt:lpstr>'WORK PAPER STATE COMPARITIVE'!Query_from_ProMIS_3</vt:lpstr>
    </vt:vector>
  </TitlesOfParts>
  <Company>Private</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Heila Welgemoed</dc:creator>
  <cp:lastModifiedBy>faniep</cp:lastModifiedBy>
  <cp:lastPrinted>2010-12-14T12:31:13Z</cp:lastPrinted>
  <dcterms:created xsi:type="dcterms:W3CDTF">2008-06-30T11:37:03Z</dcterms:created>
  <dcterms:modified xsi:type="dcterms:W3CDTF">2010-12-14T13:51:54Z</dcterms:modified>
</cp:coreProperties>
</file>